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C:\Users\bspinto\Desktop\"/>
    </mc:Choice>
  </mc:AlternateContent>
  <bookViews>
    <workbookView xWindow="0" yWindow="0" windowWidth="24000" windowHeight="9735" tabRatio="897" activeTab="4"/>
  </bookViews>
  <sheets>
    <sheet name="Inicio" sheetId="1" r:id="rId1"/>
    <sheet name="Tiempo de ejecución" sheetId="18" r:id="rId2"/>
    <sheet name="Estado de Giros" sheetId="19" r:id="rId3"/>
    <sheet name="Giros Vs Tiempo" sheetId="20" r:id="rId4"/>
    <sheet name="Base de Datos" sheetId="2" r:id="rId5"/>
    <sheet name="Hoja1" sheetId="6" r:id="rId6"/>
    <sheet name="Instructivo" sheetId="14" r:id="rId7"/>
    <sheet name="Modificaciones" sheetId="17" r:id="rId8"/>
    <sheet name="Gráficos" sheetId="22" r:id="rId9"/>
    <sheet name="Hoja2" sheetId="21"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r:id="rId17"/>
    <sheet name="Presupuesto - PAA 2017 (2)" sheetId="32" r:id="rId18"/>
    <sheet name="liquidaciones " sheetId="31"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1" hidden="1">'Actualizada - presupuesto'!$B$6:$AZ$111</definedName>
    <definedName name="_xlnm._FilterDatabase" localSheetId="4" hidden="1">'Base de Datos'!$A$6:$AZ$600</definedName>
    <definedName name="_xlnm._FilterDatabase" localSheetId="9" hidden="1">Hoja2!$B$2:$AY$261</definedName>
    <definedName name="_xlnm._FilterDatabase" localSheetId="18" hidden="1">'liquidaciones '!$A$1:$I$457</definedName>
    <definedName name="_xlnm._FilterDatabase" localSheetId="7" hidden="1">Modificaciones!$A$6:$AW$601</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2017 (2)'!$A$2:$AA$265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7"/>
    <pivotCache cacheId="1" r:id="rId28"/>
    <pivotCache cacheId="14" r:id="rId29"/>
    <pivotCache cacheId="17" r:id="rId30"/>
    <pivotCache cacheId="20" r:id="rId31"/>
    <pivotCache cacheId="23" r:id="rId32"/>
    <pivotCache cacheId="30" r:id="rId33"/>
  </pivotCaches>
  <extLst>
    <ext xmlns:x14="http://schemas.microsoft.com/office/spreadsheetml/2009/9/main" uri="{BBE1A952-AA13-448e-AADC-164F8A28A991}">
      <x14:slicerCaches>
        <x14:slicerCache r:id="rId34"/>
        <x14:slicerCache r:id="rId35"/>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H387" i="32"/>
  <c r="H386" i="32" s="1"/>
  <c r="H385" i="32" s="1"/>
  <c r="H384" i="32" s="1"/>
  <c r="H383" i="32" s="1"/>
  <c r="G387" i="32"/>
  <c r="G386" i="32" s="1"/>
  <c r="G385" i="32" s="1"/>
  <c r="G384" i="32" s="1"/>
  <c r="G383" i="32" s="1"/>
  <c r="S386" i="32"/>
  <c r="R386" i="32"/>
  <c r="P386" i="32"/>
  <c r="I386" i="32"/>
  <c r="S385" i="32"/>
  <c r="R385" i="32"/>
  <c r="P385" i="32"/>
  <c r="I385" i="32"/>
  <c r="I384" i="32" s="1"/>
  <c r="I383" i="32" s="1"/>
  <c r="S384" i="32"/>
  <c r="R384" i="32"/>
  <c r="P384" i="32"/>
  <c r="S383" i="32"/>
  <c r="R383" i="32"/>
  <c r="T381" i="32"/>
  <c r="R381" i="32"/>
  <c r="E381" i="32"/>
  <c r="E379" i="32" s="1"/>
  <c r="E378" i="32" s="1"/>
  <c r="D381" i="32"/>
  <c r="S379" i="32"/>
  <c r="R379" i="32"/>
  <c r="P379" i="32"/>
  <c r="N379" i="32"/>
  <c r="N378" i="32" s="1"/>
  <c r="S378" i="32"/>
  <c r="R378" i="32"/>
  <c r="P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N236" i="32" s="1"/>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K217" i="32"/>
  <c r="J217" i="32"/>
  <c r="S216" i="32"/>
  <c r="R216" i="32"/>
  <c r="P216" i="32"/>
  <c r="J216" i="32"/>
  <c r="K216" i="32" s="1"/>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F205" i="32"/>
  <c r="S204" i="32"/>
  <c r="R204" i="32"/>
  <c r="P204" i="32"/>
  <c r="N204" i="32"/>
  <c r="K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E186" i="32"/>
  <c r="N186" i="32" s="1"/>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K171" i="32"/>
  <c r="J171" i="32"/>
  <c r="L169" i="32"/>
  <c r="S167" i="32"/>
  <c r="R167" i="32"/>
  <c r="P167" i="32"/>
  <c r="N167" i="32"/>
  <c r="K167" i="32"/>
  <c r="J167" i="32"/>
  <c r="L167" i="32" s="1"/>
  <c r="L165" i="32"/>
  <c r="S163" i="32"/>
  <c r="R163" i="32"/>
  <c r="P163" i="32"/>
  <c r="N163" i="32"/>
  <c r="K163" i="32"/>
  <c r="J163" i="32"/>
  <c r="L163" i="32" s="1"/>
  <c r="L161" i="32"/>
  <c r="S159" i="32"/>
  <c r="R159" i="32"/>
  <c r="P159" i="32"/>
  <c r="N159" i="32"/>
  <c r="N158" i="32" s="1"/>
  <c r="K159" i="32"/>
  <c r="J159" i="32"/>
  <c r="L159" i="32" s="1"/>
  <c r="S158" i="32"/>
  <c r="R158" i="32"/>
  <c r="P158" i="32"/>
  <c r="L156" i="32"/>
  <c r="L154" i="32" s="1"/>
  <c r="S154" i="32"/>
  <c r="R154" i="32"/>
  <c r="P154" i="32"/>
  <c r="J154" i="32"/>
  <c r="N154" i="32" s="1"/>
  <c r="T149" i="32"/>
  <c r="S149" i="32"/>
  <c r="R149" i="32"/>
  <c r="P149" i="32"/>
  <c r="O149" i="32"/>
  <c r="J149" i="32"/>
  <c r="L149" i="32" s="1"/>
  <c r="L147" i="32" s="1"/>
  <c r="F149" i="32"/>
  <c r="E149" i="32"/>
  <c r="E152" i="32" s="1"/>
  <c r="N152" i="32" s="1"/>
  <c r="D149" i="32"/>
  <c r="C149" i="32"/>
  <c r="S147" i="32"/>
  <c r="R147" i="32"/>
  <c r="P147" i="32"/>
  <c r="F147" i="32"/>
  <c r="S145" i="32"/>
  <c r="R145" i="32"/>
  <c r="P145" i="32"/>
  <c r="T144" i="32"/>
  <c r="S144" i="32"/>
  <c r="R144" i="32"/>
  <c r="P144" i="32"/>
  <c r="O144" i="32"/>
  <c r="J144" i="32"/>
  <c r="N144" i="32" s="1"/>
  <c r="F144" i="32"/>
  <c r="E144" i="32"/>
  <c r="D144" i="32"/>
  <c r="C144" i="32"/>
  <c r="T143" i="32"/>
  <c r="S143" i="32"/>
  <c r="R143" i="32"/>
  <c r="P143" i="32"/>
  <c r="O143" i="32"/>
  <c r="J143" i="32"/>
  <c r="F143" i="32"/>
  <c r="E143" i="32"/>
  <c r="D143" i="32"/>
  <c r="C143" i="32"/>
  <c r="T142" i="32"/>
  <c r="S142" i="32"/>
  <c r="R142" i="32"/>
  <c r="P142" i="32"/>
  <c r="O142" i="32"/>
  <c r="J142" i="32"/>
  <c r="F142" i="32"/>
  <c r="E142" i="32"/>
  <c r="E145" i="32" s="1"/>
  <c r="N145" i="32" s="1"/>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N134" i="32" s="1"/>
  <c r="F134" i="32"/>
  <c r="E134" i="32"/>
  <c r="D134" i="32"/>
  <c r="C134" i="32"/>
  <c r="T133" i="32"/>
  <c r="S133" i="32"/>
  <c r="R133" i="32"/>
  <c r="P133" i="32"/>
  <c r="O133" i="32"/>
  <c r="J133" i="32"/>
  <c r="N133" i="32" s="1"/>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N130" i="32" s="1"/>
  <c r="F130" i="32"/>
  <c r="E130" i="32"/>
  <c r="D130" i="32"/>
  <c r="C130" i="32"/>
  <c r="T129" i="32"/>
  <c r="S129" i="32"/>
  <c r="R129" i="32"/>
  <c r="P129" i="32"/>
  <c r="O129" i="32"/>
  <c r="J129" i="32"/>
  <c r="N129" i="32" s="1"/>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N126" i="32" s="1"/>
  <c r="F126" i="32"/>
  <c r="E126" i="32"/>
  <c r="D126" i="32"/>
  <c r="C126" i="32"/>
  <c r="T125" i="32"/>
  <c r="S125" i="32"/>
  <c r="R125" i="32"/>
  <c r="P125" i="32"/>
  <c r="O125" i="32"/>
  <c r="J125" i="32"/>
  <c r="N125" i="32" s="1"/>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N120" i="32" s="1"/>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N113" i="32" s="1"/>
  <c r="F113" i="32"/>
  <c r="E113" i="32"/>
  <c r="D113" i="32"/>
  <c r="C113" i="32"/>
  <c r="T112" i="32"/>
  <c r="S112" i="32"/>
  <c r="R112" i="32"/>
  <c r="P112" i="32"/>
  <c r="O112" i="32"/>
  <c r="J112" i="32"/>
  <c r="F112" i="32"/>
  <c r="E112" i="32"/>
  <c r="D112" i="32"/>
  <c r="C112" i="32"/>
  <c r="T111" i="32"/>
  <c r="S111" i="32"/>
  <c r="R111" i="32"/>
  <c r="P111" i="32"/>
  <c r="O111" i="32"/>
  <c r="J111" i="32"/>
  <c r="N111" i="32" s="1"/>
  <c r="F111" i="32"/>
  <c r="E111" i="32"/>
  <c r="D111" i="32"/>
  <c r="C111" i="32"/>
  <c r="T110" i="32"/>
  <c r="S110" i="32"/>
  <c r="R110" i="32"/>
  <c r="P110" i="32"/>
  <c r="O110" i="32"/>
  <c r="J110" i="32"/>
  <c r="N110" i="32" s="1"/>
  <c r="F110" i="32"/>
  <c r="E110" i="32"/>
  <c r="D110" i="32"/>
  <c r="C110" i="32"/>
  <c r="T109" i="32"/>
  <c r="S109" i="32"/>
  <c r="R109" i="32"/>
  <c r="P109" i="32"/>
  <c r="O109" i="32"/>
  <c r="J109" i="32"/>
  <c r="N109" i="32" s="1"/>
  <c r="F109" i="32"/>
  <c r="E109" i="32"/>
  <c r="D109" i="32"/>
  <c r="C109" i="32"/>
  <c r="T108" i="32"/>
  <c r="S108" i="32"/>
  <c r="R108" i="32"/>
  <c r="P108" i="32"/>
  <c r="O108" i="32"/>
  <c r="J108" i="32"/>
  <c r="F108" i="32"/>
  <c r="E108" i="32"/>
  <c r="D108" i="32"/>
  <c r="C108" i="32"/>
  <c r="T107" i="32"/>
  <c r="S107" i="32"/>
  <c r="R107" i="32"/>
  <c r="P107" i="32"/>
  <c r="O107" i="32"/>
  <c r="J107" i="32"/>
  <c r="N107" i="32" s="1"/>
  <c r="F107" i="32"/>
  <c r="E107" i="32"/>
  <c r="D107" i="32"/>
  <c r="C107" i="32"/>
  <c r="T106" i="32"/>
  <c r="S106" i="32"/>
  <c r="R106" i="32"/>
  <c r="P106" i="32"/>
  <c r="O106" i="32"/>
  <c r="J106" i="32"/>
  <c r="N106" i="32" s="1"/>
  <c r="F106" i="32"/>
  <c r="E106" i="32"/>
  <c r="D106" i="32"/>
  <c r="C106" i="32"/>
  <c r="T105" i="32"/>
  <c r="S105" i="32"/>
  <c r="R105" i="32"/>
  <c r="P105" i="32"/>
  <c r="O105" i="32"/>
  <c r="J105" i="32"/>
  <c r="N105" i="32" s="1"/>
  <c r="F105" i="32"/>
  <c r="E105" i="32"/>
  <c r="D105" i="32"/>
  <c r="C105" i="32"/>
  <c r="T104" i="32"/>
  <c r="S104" i="32"/>
  <c r="R104" i="32"/>
  <c r="P104" i="32"/>
  <c r="O104" i="32"/>
  <c r="J104" i="32"/>
  <c r="F104" i="32"/>
  <c r="E104" i="32"/>
  <c r="D104" i="32"/>
  <c r="C104" i="32"/>
  <c r="T103" i="32"/>
  <c r="S103" i="32"/>
  <c r="R103" i="32"/>
  <c r="P103" i="32"/>
  <c r="O103" i="32"/>
  <c r="J103" i="32"/>
  <c r="N103" i="32" s="1"/>
  <c r="F103" i="32"/>
  <c r="E103" i="32"/>
  <c r="D103" i="32"/>
  <c r="C103" i="32"/>
  <c r="T102" i="32"/>
  <c r="S102" i="32"/>
  <c r="R102" i="32"/>
  <c r="P102" i="32"/>
  <c r="O102" i="32"/>
  <c r="J102" i="32"/>
  <c r="N102" i="32" s="1"/>
  <c r="F102" i="32"/>
  <c r="E102" i="32"/>
  <c r="E114" i="32" s="1"/>
  <c r="N114" i="32" s="1"/>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E98" i="32" s="1"/>
  <c r="N98" i="32" s="1"/>
  <c r="D93" i="32"/>
  <c r="C93" i="32"/>
  <c r="S91" i="32"/>
  <c r="R91" i="32"/>
  <c r="P91" i="32"/>
  <c r="F91" i="32"/>
  <c r="S90" i="32"/>
  <c r="R90" i="32"/>
  <c r="F90" i="32"/>
  <c r="S88" i="32"/>
  <c r="R88" i="32"/>
  <c r="P88" i="32"/>
  <c r="T87" i="32"/>
  <c r="S87" i="32"/>
  <c r="R87" i="32"/>
  <c r="P87" i="32"/>
  <c r="O87" i="32"/>
  <c r="J87" i="32"/>
  <c r="F87" i="32"/>
  <c r="E87" i="32"/>
  <c r="E88" i="32" s="1"/>
  <c r="N88" i="32" s="1"/>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E80" i="32" s="1"/>
  <c r="N80" i="32" s="1"/>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N70" i="32" s="1"/>
  <c r="F70" i="32"/>
  <c r="E70" i="32"/>
  <c r="D70" i="32"/>
  <c r="C70" i="32"/>
  <c r="T69" i="32"/>
  <c r="S69" i="32"/>
  <c r="R69" i="32"/>
  <c r="P69" i="32"/>
  <c r="O69" i="32"/>
  <c r="J69" i="32"/>
  <c r="N69" i="32" s="1"/>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N66" i="32" s="1"/>
  <c r="F66" i="32"/>
  <c r="E66" i="32"/>
  <c r="D66" i="32"/>
  <c r="C66" i="32"/>
  <c r="T65" i="32"/>
  <c r="S65" i="32"/>
  <c r="R65" i="32"/>
  <c r="P65" i="32"/>
  <c r="O65" i="32"/>
  <c r="J65" i="32"/>
  <c r="N65" i="32" s="1"/>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N62" i="32" s="1"/>
  <c r="F62" i="32"/>
  <c r="E62" i="32"/>
  <c r="D62" i="32"/>
  <c r="C62" i="32"/>
  <c r="T61" i="32"/>
  <c r="S61" i="32"/>
  <c r="R61" i="32"/>
  <c r="P61" i="32"/>
  <c r="O61" i="32"/>
  <c r="J61" i="32"/>
  <c r="N61" i="32" s="1"/>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N56" i="32" s="1"/>
  <c r="F56" i="32"/>
  <c r="E56" i="32"/>
  <c r="D56" i="32"/>
  <c r="C56" i="32"/>
  <c r="T55" i="32"/>
  <c r="S55" i="32"/>
  <c r="R55" i="32"/>
  <c r="P55" i="32"/>
  <c r="O55" i="32"/>
  <c r="J55" i="32"/>
  <c r="N55" i="32" s="1"/>
  <c r="F55" i="32"/>
  <c r="E55" i="32"/>
  <c r="D55" i="32"/>
  <c r="C55" i="32"/>
  <c r="T54" i="32"/>
  <c r="S54" i="32"/>
  <c r="R54" i="32"/>
  <c r="P54" i="32"/>
  <c r="O54" i="32"/>
  <c r="J54" i="32"/>
  <c r="F54" i="32"/>
  <c r="E54" i="32"/>
  <c r="D54" i="32"/>
  <c r="C54" i="32"/>
  <c r="T53" i="32"/>
  <c r="S53" i="32"/>
  <c r="R53" i="32"/>
  <c r="P53" i="32"/>
  <c r="O53" i="32"/>
  <c r="J53" i="32"/>
  <c r="F53" i="32"/>
  <c r="E53" i="32"/>
  <c r="E72" i="32" s="1"/>
  <c r="N72" i="32" s="1"/>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L44" i="32" s="1"/>
  <c r="F44" i="32"/>
  <c r="E44" i="32"/>
  <c r="D44" i="32"/>
  <c r="C44" i="32"/>
  <c r="T43" i="32"/>
  <c r="S43" i="32"/>
  <c r="R43" i="32"/>
  <c r="P43" i="32"/>
  <c r="O43" i="32"/>
  <c r="J43" i="32"/>
  <c r="L43" i="32" s="1"/>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L40" i="32" s="1"/>
  <c r="F40" i="32"/>
  <c r="E40" i="32"/>
  <c r="D40" i="32"/>
  <c r="C40" i="32"/>
  <c r="T39" i="32"/>
  <c r="S39" i="32"/>
  <c r="R39" i="32"/>
  <c r="P39" i="32"/>
  <c r="O39" i="32"/>
  <c r="J39" i="32"/>
  <c r="N39" i="32" s="1"/>
  <c r="F39" i="32"/>
  <c r="E39" i="32"/>
  <c r="D39" i="32"/>
  <c r="C39" i="32"/>
  <c r="S37" i="32"/>
  <c r="R37" i="32"/>
  <c r="P37" i="32"/>
  <c r="S34" i="32"/>
  <c r="R34" i="32"/>
  <c r="P34" i="32"/>
  <c r="K34" i="32"/>
  <c r="J34" i="32"/>
  <c r="F34" i="32"/>
  <c r="S31" i="32"/>
  <c r="R31" i="32"/>
  <c r="P31" i="32"/>
  <c r="N31" i="32"/>
  <c r="L31" i="32"/>
  <c r="T30" i="32"/>
  <c r="S30" i="32"/>
  <c r="R30" i="32"/>
  <c r="P30" i="32"/>
  <c r="O30" i="32"/>
  <c r="J30" i="32"/>
  <c r="N30" i="32" s="1"/>
  <c r="F30" i="32"/>
  <c r="E30" i="32"/>
  <c r="D30" i="32"/>
  <c r="C30" i="32"/>
  <c r="T29" i="32"/>
  <c r="S29" i="32"/>
  <c r="R29" i="32"/>
  <c r="P29" i="32"/>
  <c r="O29" i="32"/>
  <c r="J29" i="32"/>
  <c r="F29" i="32"/>
  <c r="E29" i="32"/>
  <c r="D29" i="32"/>
  <c r="C29" i="32"/>
  <c r="T28" i="32"/>
  <c r="S28" i="32"/>
  <c r="R28" i="32"/>
  <c r="P28" i="32"/>
  <c r="O28" i="32"/>
  <c r="J28" i="32"/>
  <c r="N28" i="32" s="1"/>
  <c r="F28" i="32"/>
  <c r="E28" i="32"/>
  <c r="D28" i="32"/>
  <c r="C28" i="32"/>
  <c r="S27" i="32"/>
  <c r="R27" i="32"/>
  <c r="P27" i="32"/>
  <c r="O27" i="32"/>
  <c r="J27" i="32"/>
  <c r="F27" i="32"/>
  <c r="E27" i="32"/>
  <c r="D27" i="32"/>
  <c r="C27" i="32"/>
  <c r="S26" i="32"/>
  <c r="R26" i="32"/>
  <c r="P26" i="32"/>
  <c r="O26" i="32"/>
  <c r="J26" i="32"/>
  <c r="N26" i="32" s="1"/>
  <c r="F26" i="32"/>
  <c r="E26" i="32"/>
  <c r="D26" i="32"/>
  <c r="C26" i="32"/>
  <c r="T25" i="32"/>
  <c r="S25" i="32"/>
  <c r="R25" i="32"/>
  <c r="P25" i="32"/>
  <c r="O25" i="32"/>
  <c r="J25" i="32"/>
  <c r="N25" i="32" s="1"/>
  <c r="F25" i="32"/>
  <c r="E25" i="32"/>
  <c r="D25" i="32"/>
  <c r="C25" i="32"/>
  <c r="T24" i="32"/>
  <c r="S24" i="32"/>
  <c r="R24" i="32"/>
  <c r="P24" i="32"/>
  <c r="O24" i="32"/>
  <c r="J24" i="32"/>
  <c r="F24" i="32"/>
  <c r="E24" i="32"/>
  <c r="D24" i="32"/>
  <c r="C24" i="32"/>
  <c r="T23" i="32"/>
  <c r="S23" i="32"/>
  <c r="R23" i="32"/>
  <c r="P23" i="32"/>
  <c r="O23" i="32"/>
  <c r="J23" i="32"/>
  <c r="N23" i="32" s="1"/>
  <c r="F23" i="32"/>
  <c r="E23" i="32"/>
  <c r="D23" i="32"/>
  <c r="C23" i="32"/>
  <c r="T22" i="32"/>
  <c r="S22" i="32"/>
  <c r="R22" i="32"/>
  <c r="P22" i="32"/>
  <c r="O22" i="32"/>
  <c r="J22" i="32"/>
  <c r="N22" i="32" s="1"/>
  <c r="F22" i="32"/>
  <c r="E22" i="32"/>
  <c r="D22" i="32"/>
  <c r="C22" i="32"/>
  <c r="S21" i="32"/>
  <c r="R21" i="32"/>
  <c r="P21" i="32"/>
  <c r="O21" i="32"/>
  <c r="J21" i="32"/>
  <c r="N21" i="32" s="1"/>
  <c r="F21" i="32"/>
  <c r="E21" i="32"/>
  <c r="D21" i="32"/>
  <c r="C21" i="32"/>
  <c r="T20" i="32"/>
  <c r="S20" i="32"/>
  <c r="R20" i="32"/>
  <c r="P20" i="32"/>
  <c r="O20" i="32"/>
  <c r="J20" i="32"/>
  <c r="N20" i="32" s="1"/>
  <c r="F20" i="32"/>
  <c r="E20" i="32"/>
  <c r="D20" i="32"/>
  <c r="C20" i="32"/>
  <c r="S19" i="32"/>
  <c r="R19" i="32"/>
  <c r="P19" i="32"/>
  <c r="O19" i="32"/>
  <c r="J19" i="32"/>
  <c r="F19" i="32"/>
  <c r="E19" i="32"/>
  <c r="D19" i="32"/>
  <c r="C19" i="32"/>
  <c r="T18" i="32"/>
  <c r="S18" i="32"/>
  <c r="R18" i="32"/>
  <c r="P18" i="32"/>
  <c r="O18" i="32"/>
  <c r="J18" i="32"/>
  <c r="N18" i="32" s="1"/>
  <c r="F18" i="32"/>
  <c r="E18" i="32"/>
  <c r="D18" i="32"/>
  <c r="C18" i="32"/>
  <c r="T17" i="32"/>
  <c r="S17" i="32"/>
  <c r="R17" i="32"/>
  <c r="P17" i="32"/>
  <c r="O17" i="32"/>
  <c r="J17" i="32"/>
  <c r="N17" i="32" s="1"/>
  <c r="F17" i="32"/>
  <c r="E17" i="32"/>
  <c r="D17" i="32"/>
  <c r="C17" i="32"/>
  <c r="T16" i="32"/>
  <c r="S16" i="32"/>
  <c r="R16" i="32"/>
  <c r="P16" i="32"/>
  <c r="O16" i="32"/>
  <c r="J16" i="32"/>
  <c r="N16" i="32" s="1"/>
  <c r="F16" i="32"/>
  <c r="E16" i="32"/>
  <c r="D16" i="32"/>
  <c r="C16" i="32"/>
  <c r="T15" i="32"/>
  <c r="S15" i="32"/>
  <c r="R15" i="32"/>
  <c r="P15" i="32"/>
  <c r="O15" i="32"/>
  <c r="J15" i="32"/>
  <c r="F15" i="32"/>
  <c r="E15" i="32"/>
  <c r="D15" i="32"/>
  <c r="C15" i="32"/>
  <c r="T14" i="32"/>
  <c r="S14" i="32"/>
  <c r="R14" i="32"/>
  <c r="P14" i="32"/>
  <c r="O14" i="32"/>
  <c r="J14" i="32"/>
  <c r="N14" i="32" s="1"/>
  <c r="F14" i="32"/>
  <c r="E14" i="32"/>
  <c r="D14" i="32"/>
  <c r="C14" i="32"/>
  <c r="S13" i="32"/>
  <c r="R13" i="32"/>
  <c r="P13" i="32"/>
  <c r="O13" i="32"/>
  <c r="J13" i="32"/>
  <c r="F13" i="32"/>
  <c r="E13" i="32"/>
  <c r="D13" i="32"/>
  <c r="C13" i="32"/>
  <c r="T12" i="32"/>
  <c r="S12" i="32"/>
  <c r="R12" i="32"/>
  <c r="P12" i="32"/>
  <c r="O12" i="32"/>
  <c r="J12" i="32"/>
  <c r="N12" i="32" s="1"/>
  <c r="F12" i="32"/>
  <c r="E12" i="32"/>
  <c r="D12" i="32"/>
  <c r="C12" i="32"/>
  <c r="S11" i="32"/>
  <c r="R11" i="32"/>
  <c r="P11" i="32"/>
  <c r="O11" i="32"/>
  <c r="J11" i="32"/>
  <c r="N11" i="32" s="1"/>
  <c r="F11" i="32"/>
  <c r="E11" i="32"/>
  <c r="D11" i="32"/>
  <c r="C11" i="32"/>
  <c r="S10" i="32"/>
  <c r="R10" i="32"/>
  <c r="P10" i="32"/>
  <c r="O10" i="32"/>
  <c r="J10" i="32"/>
  <c r="F10" i="32"/>
  <c r="E10" i="32"/>
  <c r="D10" i="32"/>
  <c r="C10" i="32"/>
  <c r="I8" i="32"/>
  <c r="I7" i="32"/>
  <c r="I6" i="32" s="1"/>
  <c r="I5" i="32" s="1"/>
  <c r="I4" i="32" s="1"/>
  <c r="H7" i="32"/>
  <c r="G7" i="32"/>
  <c r="G6" i="32" s="1"/>
  <c r="G5" i="32" s="1"/>
  <c r="G4" i="32" s="1"/>
  <c r="H6" i="32"/>
  <c r="H5" i="32" s="1"/>
  <c r="H4" i="32" s="1"/>
  <c r="L158" i="32" l="1"/>
  <c r="I3" i="32"/>
  <c r="N27" i="32"/>
  <c r="N53" i="32"/>
  <c r="N57" i="32"/>
  <c r="L238" i="32"/>
  <c r="N58" i="32"/>
  <c r="E136" i="32"/>
  <c r="N136" i="32" s="1"/>
  <c r="N122" i="32"/>
  <c r="N142" i="32"/>
  <c r="N185" i="32"/>
  <c r="E194" i="32"/>
  <c r="N194" i="32" s="1"/>
  <c r="L193" i="32"/>
  <c r="E202" i="32"/>
  <c r="N202" i="32" s="1"/>
  <c r="E241" i="32"/>
  <c r="E354" i="32"/>
  <c r="E353" i="32" s="1"/>
  <c r="E373" i="32"/>
  <c r="E388" i="32"/>
  <c r="E387" i="32" s="1"/>
  <c r="E386" i="32" s="1"/>
  <c r="E385" i="32" s="1"/>
  <c r="E384" i="32" s="1"/>
  <c r="E383" i="32" s="1"/>
  <c r="N13" i="32"/>
  <c r="N54" i="32"/>
  <c r="N15" i="32"/>
  <c r="N19" i="32"/>
  <c r="N24" i="32"/>
  <c r="N29" i="32"/>
  <c r="L34" i="32"/>
  <c r="N34" i="32" s="1"/>
  <c r="N45" i="32"/>
  <c r="N59" i="32"/>
  <c r="N63" i="32"/>
  <c r="N67" i="32"/>
  <c r="N71" i="32"/>
  <c r="N104" i="32"/>
  <c r="N108" i="32"/>
  <c r="N112" i="32"/>
  <c r="N123" i="32"/>
  <c r="N127" i="32"/>
  <c r="N131" i="32"/>
  <c r="N135" i="32"/>
  <c r="N10" i="32"/>
  <c r="N119" i="32"/>
  <c r="N143" i="32"/>
  <c r="N60" i="32"/>
  <c r="N64" i="32"/>
  <c r="N68" i="32"/>
  <c r="N124" i="32"/>
  <c r="N128" i="32"/>
  <c r="N132" i="32"/>
  <c r="J158" i="32"/>
  <c r="K158" i="32" s="1"/>
  <c r="E214" i="32"/>
  <c r="E239" i="32"/>
  <c r="N239" i="32" s="1"/>
  <c r="E47" i="32"/>
  <c r="N47" i="32" s="1"/>
  <c r="E368" i="32"/>
  <c r="N121" i="32"/>
  <c r="L192" i="32"/>
  <c r="L244" i="32"/>
  <c r="J147" i="32"/>
  <c r="K147" i="32" s="1"/>
  <c r="J264" i="32"/>
  <c r="K264" i="32" s="1"/>
  <c r="E317" i="32"/>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L188" i="32"/>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L37" i="32" s="1"/>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L234" i="32" s="1"/>
  <c r="L233" i="32" s="1"/>
  <c r="N237" i="32"/>
  <c r="E277" i="32"/>
  <c r="E313" i="32"/>
  <c r="J251" i="32"/>
  <c r="K251" i="32" s="1"/>
  <c r="E307" i="32"/>
  <c r="AO607" i="2"/>
  <c r="AN607" i="2"/>
  <c r="S607" i="2"/>
  <c r="T607" i="2" s="1"/>
  <c r="R607" i="2"/>
  <c r="Q607" i="2"/>
  <c r="O607" i="2"/>
  <c r="AO606" i="2"/>
  <c r="AN606" i="2"/>
  <c r="S606" i="2"/>
  <c r="T606" i="2" s="1"/>
  <c r="R606" i="2"/>
  <c r="Q606" i="2"/>
  <c r="O606" i="2"/>
  <c r="AO605" i="2"/>
  <c r="AN605" i="2"/>
  <c r="S605" i="2"/>
  <c r="T605" i="2" s="1"/>
  <c r="R605" i="2"/>
  <c r="Q605" i="2"/>
  <c r="O605" i="2"/>
  <c r="AO604" i="2"/>
  <c r="AN604" i="2"/>
  <c r="S604" i="2"/>
  <c r="T604" i="2" s="1"/>
  <c r="R604" i="2"/>
  <c r="Q604" i="2"/>
  <c r="O604" i="2"/>
  <c r="AO603" i="2"/>
  <c r="AN603" i="2"/>
  <c r="S603" i="2"/>
  <c r="T603" i="2" s="1"/>
  <c r="R603" i="2"/>
  <c r="Q603" i="2"/>
  <c r="O603" i="2"/>
  <c r="AO602" i="2"/>
  <c r="AN602" i="2"/>
  <c r="S602" i="2"/>
  <c r="T602" i="2" s="1"/>
  <c r="R602" i="2"/>
  <c r="Q602" i="2"/>
  <c r="O602" i="2"/>
  <c r="AO601" i="2"/>
  <c r="AN601" i="2"/>
  <c r="R601" i="2"/>
  <c r="Q601" i="2"/>
  <c r="O601" i="2"/>
  <c r="M34" i="32" l="1"/>
  <c r="E290" i="32"/>
  <c r="N249" i="32"/>
  <c r="E312" i="32"/>
  <c r="J50" i="32"/>
  <c r="N75" i="32"/>
  <c r="L51" i="32"/>
  <c r="N51" i="32" s="1"/>
  <c r="N221" i="32"/>
  <c r="N217" i="32" s="1"/>
  <c r="N216" i="32" s="1"/>
  <c r="N188" i="32"/>
  <c r="L140" i="32"/>
  <c r="N140" i="32" s="1"/>
  <c r="N139" i="32" s="1"/>
  <c r="L241" i="32"/>
  <c r="L231" i="32" s="1"/>
  <c r="L230" i="32" s="1"/>
  <c r="L229" i="32" s="1"/>
  <c r="L228" i="32" s="1"/>
  <c r="L227" i="32" s="1"/>
  <c r="L226" i="32" s="1"/>
  <c r="L100" i="32"/>
  <c r="N100" i="32" s="1"/>
  <c r="K100" i="32"/>
  <c r="L8" i="32"/>
  <c r="L7" i="32" s="1"/>
  <c r="L6" i="32" s="1"/>
  <c r="L5" i="32" s="1"/>
  <c r="K8" i="32"/>
  <c r="J233" i="32"/>
  <c r="N234" i="32"/>
  <c r="N233" i="32" s="1"/>
  <c r="J116" i="32"/>
  <c r="K116" i="32" s="1"/>
  <c r="K117" i="32"/>
  <c r="K209" i="32"/>
  <c r="N251" i="32"/>
  <c r="E276" i="32"/>
  <c r="L209" i="32"/>
  <c r="N209" i="32" s="1"/>
  <c r="L82" i="32"/>
  <c r="N176" i="32"/>
  <c r="N175" i="32" s="1"/>
  <c r="J175" i="32"/>
  <c r="K176" i="32"/>
  <c r="E289" i="32"/>
  <c r="K180" i="32"/>
  <c r="N37"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S601" i="2" s="1"/>
  <c r="T601" i="2" s="1"/>
  <c r="AU601" i="17"/>
  <c r="J90" i="32" l="1"/>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1"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H387" i="30"/>
  <c r="H386" i="30" s="1"/>
  <c r="H385" i="30" s="1"/>
  <c r="H384" i="30" s="1"/>
  <c r="H383" i="30" s="1"/>
  <c r="G387" i="30"/>
  <c r="G386" i="30" s="1"/>
  <c r="G385" i="30" s="1"/>
  <c r="G384" i="30" s="1"/>
  <c r="G383" i="30" s="1"/>
  <c r="S386" i="30"/>
  <c r="R386" i="30"/>
  <c r="P386" i="30"/>
  <c r="I386" i="30"/>
  <c r="I385" i="30" s="1"/>
  <c r="I384" i="30" s="1"/>
  <c r="I383" i="30" s="1"/>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G276" i="30"/>
  <c r="G275" i="30" s="1"/>
  <c r="G274" i="30" s="1"/>
  <c r="G273" i="30" s="1"/>
  <c r="H275" i="30"/>
  <c r="H274" i="30" s="1"/>
  <c r="H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E241" i="30" s="1"/>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H230" i="30"/>
  <c r="H229" i="30" s="1"/>
  <c r="H228" i="30" s="1"/>
  <c r="H227" i="30" s="1"/>
  <c r="G230" i="30"/>
  <c r="G229" i="30" s="1"/>
  <c r="G228" i="30" s="1"/>
  <c r="G227" i="30" s="1"/>
  <c r="G226" i="30" s="1"/>
  <c r="S229" i="30"/>
  <c r="R229" i="30"/>
  <c r="P229" i="30"/>
  <c r="S228" i="30"/>
  <c r="R228" i="30"/>
  <c r="P228" i="30"/>
  <c r="I228" i="30"/>
  <c r="I227" i="30" s="1"/>
  <c r="I226" i="30" s="1"/>
  <c r="S227" i="30"/>
  <c r="R227" i="30"/>
  <c r="P227" i="30"/>
  <c r="S226" i="30"/>
  <c r="R226" i="30"/>
  <c r="H226" i="30"/>
  <c r="S224" i="30"/>
  <c r="R224" i="30"/>
  <c r="P224" i="30"/>
  <c r="O224" i="30"/>
  <c r="J224" i="30"/>
  <c r="D224" i="30"/>
  <c r="S223" i="30"/>
  <c r="R223" i="30"/>
  <c r="P223" i="30"/>
  <c r="O223" i="30"/>
  <c r="J223" i="30"/>
  <c r="N223" i="30" s="1"/>
  <c r="D223" i="30"/>
  <c r="S221" i="30"/>
  <c r="R221" i="30"/>
  <c r="P221" i="30"/>
  <c r="L219" i="30"/>
  <c r="S217" i="30"/>
  <c r="R217" i="30"/>
  <c r="P217" i="30"/>
  <c r="L217" i="30"/>
  <c r="L216" i="30" s="1"/>
  <c r="K217" i="30"/>
  <c r="J217" i="30"/>
  <c r="J216" i="30" s="1"/>
  <c r="K216" i="30" s="1"/>
  <c r="S216" i="30"/>
  <c r="R216" i="30"/>
  <c r="P216" i="30"/>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J158" i="30" s="1"/>
  <c r="K158" i="30" s="1"/>
  <c r="S158" i="30"/>
  <c r="R158" i="30"/>
  <c r="P158" i="30"/>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M34" i="30"/>
  <c r="L34" i="30"/>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G7" i="30"/>
  <c r="G6" i="30" s="1"/>
  <c r="G5" i="30" s="1"/>
  <c r="G4" i="30" s="1"/>
  <c r="I6" i="30"/>
  <c r="I5" i="30" s="1"/>
  <c r="I4" i="30" s="1"/>
  <c r="I3" i="30" s="1"/>
  <c r="H5" i="30"/>
  <c r="H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R197" i="28"/>
  <c r="Q197" i="28"/>
  <c r="O197" i="28"/>
  <c r="G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K175" i="28"/>
  <c r="J175" i="28"/>
  <c r="H175" i="28"/>
  <c r="G175" i="28"/>
  <c r="R174" i="28"/>
  <c r="Q174" i="28"/>
  <c r="O174" i="28"/>
  <c r="M174" i="28"/>
  <c r="K174" i="28"/>
  <c r="J174" i="28"/>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L141" i="28"/>
  <c r="J141" i="28"/>
  <c r="K141" i="28" s="1"/>
  <c r="H141" i="28"/>
  <c r="G141" i="28"/>
  <c r="I139" i="28"/>
  <c r="R137" i="28"/>
  <c r="Q137" i="28"/>
  <c r="O137" i="28"/>
  <c r="M137" i="28"/>
  <c r="J137" i="28"/>
  <c r="H137" i="28"/>
  <c r="H132" i="28" s="1"/>
  <c r="G137" i="28"/>
  <c r="I135" i="28"/>
  <c r="R133" i="28"/>
  <c r="Q133" i="28"/>
  <c r="O133" i="28"/>
  <c r="M133" i="28"/>
  <c r="J133" i="28"/>
  <c r="K133" i="28" s="1"/>
  <c r="H133" i="28"/>
  <c r="G133" i="28"/>
  <c r="R132" i="28"/>
  <c r="Q132" i="28"/>
  <c r="O132" i="28"/>
  <c r="I130" i="28"/>
  <c r="R128" i="28"/>
  <c r="Q128" i="28"/>
  <c r="O128" i="28"/>
  <c r="M128" i="28"/>
  <c r="L128" i="28"/>
  <c r="K128" i="28"/>
  <c r="J128" i="28"/>
  <c r="H128" i="28"/>
  <c r="G128" i="28"/>
  <c r="M126" i="28"/>
  <c r="P125" i="28"/>
  <c r="I125" i="28"/>
  <c r="C125" i="28"/>
  <c r="R123" i="28"/>
  <c r="Q123" i="28"/>
  <c r="O123" i="28"/>
  <c r="H123" i="28"/>
  <c r="G123" i="28"/>
  <c r="G117" i="28" s="1"/>
  <c r="P121" i="28"/>
  <c r="I121" i="28"/>
  <c r="C121" i="28"/>
  <c r="P120" i="28"/>
  <c r="I120" i="28"/>
  <c r="C120" i="28"/>
  <c r="R118" i="28"/>
  <c r="Q118" i="28"/>
  <c r="O118" i="28"/>
  <c r="H118" i="28"/>
  <c r="H117" i="28" s="1"/>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G98" i="28"/>
  <c r="G97" i="28" s="1"/>
  <c r="R97" i="28"/>
  <c r="Q97" i="28"/>
  <c r="O97" i="28"/>
  <c r="H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H6" i="28" s="1"/>
  <c r="H5" i="28" s="1"/>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S386" i="26"/>
  <c r="R386" i="26"/>
  <c r="P386" i="26"/>
  <c r="S385" i="26"/>
  <c r="R385" i="26"/>
  <c r="P385" i="26"/>
  <c r="S384" i="26"/>
  <c r="R384" i="26"/>
  <c r="P384" i="26"/>
  <c r="S383" i="26"/>
  <c r="R383" i="26"/>
  <c r="G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H230" i="26"/>
  <c r="G230" i="26"/>
  <c r="G229" i="26" s="1"/>
  <c r="G228" i="26" s="1"/>
  <c r="G227" i="26" s="1"/>
  <c r="S229" i="26"/>
  <c r="R229" i="26"/>
  <c r="P229" i="26"/>
  <c r="I229" i="26"/>
  <c r="I228" i="26" s="1"/>
  <c r="I227" i="26" s="1"/>
  <c r="I226" i="26" s="1"/>
  <c r="H229" i="26"/>
  <c r="H228" i="26" s="1"/>
  <c r="H227" i="26" s="1"/>
  <c r="H226" i="26" s="1"/>
  <c r="S228" i="26"/>
  <c r="R228" i="26"/>
  <c r="P228" i="26"/>
  <c r="S227" i="26"/>
  <c r="R227" i="26"/>
  <c r="P227" i="26"/>
  <c r="S226" i="26"/>
  <c r="R226" i="26"/>
  <c r="G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F204" i="26"/>
  <c r="S202" i="26"/>
  <c r="R202" i="26"/>
  <c r="P202" i="26"/>
  <c r="O202" i="26"/>
  <c r="N202" i="26"/>
  <c r="E202" i="26"/>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L167" i="26"/>
  <c r="L28" i="27" s="1"/>
  <c r="K167" i="26"/>
  <c r="K28" i="27" s="1"/>
  <c r="J167" i="26"/>
  <c r="J28" i="27" s="1"/>
  <c r="L165" i="26"/>
  <c r="S163" i="26"/>
  <c r="R163" i="26"/>
  <c r="P163" i="26"/>
  <c r="N163" i="26"/>
  <c r="N27" i="27" s="1"/>
  <c r="L163" i="26"/>
  <c r="L27" i="27" s="1"/>
  <c r="K163" i="26"/>
  <c r="K27" i="27" s="1"/>
  <c r="J163" i="26"/>
  <c r="J27" i="27" s="1"/>
  <c r="L161" i="26"/>
  <c r="S159" i="26"/>
  <c r="R159" i="26"/>
  <c r="P159" i="26"/>
  <c r="N159" i="26"/>
  <c r="L159" i="26"/>
  <c r="L26" i="27" s="1"/>
  <c r="K159" i="26"/>
  <c r="K26" i="27" s="1"/>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I3"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F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F254" i="21"/>
  <c r="G254" i="21" s="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F242" i="21"/>
  <c r="G242" i="21" s="1"/>
  <c r="E241" i="21"/>
  <c r="F241" i="21" s="1"/>
  <c r="C241" i="21"/>
  <c r="B241" i="21"/>
  <c r="H240" i="21"/>
  <c r="G240" i="21"/>
  <c r="F240" i="21"/>
  <c r="H239" i="21"/>
  <c r="F239" i="21"/>
  <c r="G239" i="21" s="1"/>
  <c r="E238" i="21"/>
  <c r="C238" i="21"/>
  <c r="B238" i="21"/>
  <c r="E237" i="21"/>
  <c r="F237" i="21" s="1"/>
  <c r="C237" i="21"/>
  <c r="B237" i="21"/>
  <c r="H236" i="21"/>
  <c r="F236" i="21"/>
  <c r="G236" i="21" s="1"/>
  <c r="H235" i="21"/>
  <c r="F235" i="21"/>
  <c r="G235" i="21" s="1"/>
  <c r="H234" i="21"/>
  <c r="F234" i="21"/>
  <c r="G234" i="21" s="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G226" i="21"/>
  <c r="F226" i="2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F218" i="21"/>
  <c r="G218" i="21" s="1"/>
  <c r="H217" i="21"/>
  <c r="F217" i="21"/>
  <c r="G217" i="21" s="1"/>
  <c r="H216" i="21"/>
  <c r="F216" i="21"/>
  <c r="G216" i="21" s="1"/>
  <c r="E215" i="21"/>
  <c r="C215" i="21"/>
  <c r="B215" i="21"/>
  <c r="H214" i="21"/>
  <c r="G214" i="21"/>
  <c r="F214" i="2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G187" i="21"/>
  <c r="F187" i="21"/>
  <c r="H186" i="21"/>
  <c r="F186" i="21"/>
  <c r="G186" i="21" s="1"/>
  <c r="H185" i="21"/>
  <c r="F185" i="21"/>
  <c r="G185" i="21" s="1"/>
  <c r="H184" i="21"/>
  <c r="F184" i="21"/>
  <c r="G184" i="21" s="1"/>
  <c r="H183" i="21"/>
  <c r="G183" i="21"/>
  <c r="F183" i="21"/>
  <c r="H182" i="21"/>
  <c r="F182" i="21"/>
  <c r="G182" i="21" s="1"/>
  <c r="H181" i="21"/>
  <c r="F181" i="21"/>
  <c r="G181" i="21" s="1"/>
  <c r="H180" i="21"/>
  <c r="F180" i="21"/>
  <c r="G180" i="21" s="1"/>
  <c r="H179" i="21"/>
  <c r="F179" i="21"/>
  <c r="G179" i="21" s="1"/>
  <c r="H178" i="21"/>
  <c r="F178" i="21"/>
  <c r="G178" i="21" s="1"/>
  <c r="H177" i="21"/>
  <c r="F177" i="21"/>
  <c r="G177" i="21" s="1"/>
  <c r="H176" i="21"/>
  <c r="F176" i="21"/>
  <c r="G176" i="21" s="1"/>
  <c r="H175" i="21"/>
  <c r="G175" i="21"/>
  <c r="F175" i="21"/>
  <c r="E174" i="21"/>
  <c r="H174" i="21" s="1"/>
  <c r="C174" i="21"/>
  <c r="B174" i="21"/>
  <c r="H173" i="21"/>
  <c r="F173" i="21"/>
  <c r="G173" i="21" s="1"/>
  <c r="H172" i="21"/>
  <c r="F172" i="21"/>
  <c r="G172" i="21" s="1"/>
  <c r="H171" i="21"/>
  <c r="G171" i="21"/>
  <c r="F171" i="2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G159" i="21"/>
  <c r="F159" i="21"/>
  <c r="H158" i="21"/>
  <c r="F158" i="21"/>
  <c r="G158" i="21" s="1"/>
  <c r="H157" i="21"/>
  <c r="F157" i="21"/>
  <c r="G157" i="21" s="1"/>
  <c r="H156" i="21"/>
  <c r="F156" i="21"/>
  <c r="G156" i="21" s="1"/>
  <c r="H155" i="21"/>
  <c r="G155" i="21"/>
  <c r="F155" i="21"/>
  <c r="H154" i="21"/>
  <c r="F154" i="21"/>
  <c r="G154" i="21" s="1"/>
  <c r="H153" i="21"/>
  <c r="F153" i="21"/>
  <c r="G153" i="21" s="1"/>
  <c r="H152" i="21"/>
  <c r="F152" i="21"/>
  <c r="G152" i="21" s="1"/>
  <c r="H151" i="21"/>
  <c r="F151" i="21"/>
  <c r="G151" i="21" s="1"/>
  <c r="H150" i="21"/>
  <c r="F150" i="21"/>
  <c r="G150" i="21" s="1"/>
  <c r="H149" i="21"/>
  <c r="F149" i="21"/>
  <c r="G149" i="21" s="1"/>
  <c r="H148" i="21"/>
  <c r="F148" i="21"/>
  <c r="G148" i="21" s="1"/>
  <c r="H147" i="21"/>
  <c r="G147" i="21"/>
  <c r="F147" i="2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G127" i="21"/>
  <c r="F127" i="2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F119" i="21"/>
  <c r="G119" i="21" s="1"/>
  <c r="H118" i="21"/>
  <c r="F118" i="21"/>
  <c r="G118" i="21" s="1"/>
  <c r="H117" i="21"/>
  <c r="F117" i="21"/>
  <c r="G117" i="21" s="1"/>
  <c r="H116" i="21"/>
  <c r="F116" i="21"/>
  <c r="G116" i="21" s="1"/>
  <c r="H115" i="21"/>
  <c r="G115" i="21"/>
  <c r="F115" i="21"/>
  <c r="H114" i="21"/>
  <c r="F114" i="21"/>
  <c r="G114" i="21" s="1"/>
  <c r="H113" i="21"/>
  <c r="G113" i="21"/>
  <c r="F113" i="21"/>
  <c r="H112" i="21"/>
  <c r="F112" i="21"/>
  <c r="G112" i="21" s="1"/>
  <c r="H111" i="21"/>
  <c r="G111" i="21"/>
  <c r="F111" i="21"/>
  <c r="H110" i="21"/>
  <c r="G110" i="21"/>
  <c r="F110" i="21"/>
  <c r="H109" i="21"/>
  <c r="F109" i="21"/>
  <c r="G109" i="21" s="1"/>
  <c r="H108" i="21"/>
  <c r="F108" i="21"/>
  <c r="G108" i="21" s="1"/>
  <c r="H107" i="21"/>
  <c r="F107" i="21"/>
  <c r="G107" i="21" s="1"/>
  <c r="H106" i="21"/>
  <c r="F106" i="21"/>
  <c r="G106" i="21" s="1"/>
  <c r="H105" i="21"/>
  <c r="F105" i="21"/>
  <c r="G105" i="21" s="1"/>
  <c r="H104" i="21"/>
  <c r="F104" i="21"/>
  <c r="G104" i="21" s="1"/>
  <c r="H103" i="21"/>
  <c r="G103" i="21"/>
  <c r="F103" i="21"/>
  <c r="H102" i="21"/>
  <c r="F102" i="21"/>
  <c r="G102" i="21" s="1"/>
  <c r="H101" i="21"/>
  <c r="F101" i="21"/>
  <c r="G101" i="21" s="1"/>
  <c r="H100" i="21"/>
  <c r="F100" i="21"/>
  <c r="G100" i="21" s="1"/>
  <c r="H99" i="21"/>
  <c r="G99" i="21"/>
  <c r="F99" i="21"/>
  <c r="H98" i="21"/>
  <c r="F98" i="21"/>
  <c r="G98" i="21" s="1"/>
  <c r="H97" i="21"/>
  <c r="F97" i="21"/>
  <c r="G97" i="21" s="1"/>
  <c r="H96" i="21"/>
  <c r="F96" i="21"/>
  <c r="G96" i="21" s="1"/>
  <c r="H95" i="21"/>
  <c r="G95" i="21"/>
  <c r="F95" i="2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F83" i="21"/>
  <c r="G83" i="21" s="1"/>
  <c r="H82" i="21"/>
  <c r="F82" i="21"/>
  <c r="G82" i="21" s="1"/>
  <c r="H81" i="21"/>
  <c r="F81" i="21"/>
  <c r="G81" i="21" s="1"/>
  <c r="H80" i="21"/>
  <c r="F80" i="21"/>
  <c r="G80" i="21" s="1"/>
  <c r="H79" i="21"/>
  <c r="G79" i="21"/>
  <c r="F79" i="21"/>
  <c r="H78" i="21"/>
  <c r="F78" i="21"/>
  <c r="G78" i="21" s="1"/>
  <c r="H77" i="21"/>
  <c r="F77" i="21"/>
  <c r="G77" i="21" s="1"/>
  <c r="H76" i="21"/>
  <c r="F76" i="21"/>
  <c r="G76" i="21" s="1"/>
  <c r="H75" i="21"/>
  <c r="G75" i="21"/>
  <c r="F75" i="21"/>
  <c r="H74" i="21"/>
  <c r="F74" i="21"/>
  <c r="G74" i="21" s="1"/>
  <c r="H73" i="21"/>
  <c r="F73" i="21"/>
  <c r="G73" i="21" s="1"/>
  <c r="H72" i="21"/>
  <c r="F72" i="21"/>
  <c r="G72" i="21" s="1"/>
  <c r="H71" i="21"/>
  <c r="F71" i="21"/>
  <c r="G71" i="21" s="1"/>
  <c r="H70" i="21"/>
  <c r="F70" i="21"/>
  <c r="G70" i="21" s="1"/>
  <c r="H69" i="21"/>
  <c r="F69" i="21"/>
  <c r="G69" i="21" s="1"/>
  <c r="H68" i="21"/>
  <c r="F68" i="21"/>
  <c r="G68" i="21" s="1"/>
  <c r="H67" i="21"/>
  <c r="G67" i="21"/>
  <c r="F67" i="21"/>
  <c r="H66" i="21"/>
  <c r="F66" i="21"/>
  <c r="G66" i="21" s="1"/>
  <c r="H65" i="21"/>
  <c r="F65" i="21"/>
  <c r="G65" i="21" s="1"/>
  <c r="H64" i="21"/>
  <c r="F64" i="21"/>
  <c r="G64" i="21" s="1"/>
  <c r="H63" i="21"/>
  <c r="F63" i="21"/>
  <c r="G63" i="21" s="1"/>
  <c r="H62" i="21"/>
  <c r="F62" i="21"/>
  <c r="G62" i="21" s="1"/>
  <c r="H61" i="21"/>
  <c r="F61" i="21"/>
  <c r="G61" i="21" s="1"/>
  <c r="H60" i="21"/>
  <c r="F60" i="21"/>
  <c r="G60" i="21" s="1"/>
  <c r="H59" i="21"/>
  <c r="G59" i="21"/>
  <c r="F59" i="21"/>
  <c r="H58" i="21"/>
  <c r="F58" i="21"/>
  <c r="G58" i="21" s="1"/>
  <c r="H57" i="21"/>
  <c r="F57" i="21"/>
  <c r="G57" i="21" s="1"/>
  <c r="H56" i="21"/>
  <c r="F56" i="21"/>
  <c r="G56" i="21" s="1"/>
  <c r="H55" i="21"/>
  <c r="F55" i="21"/>
  <c r="G55" i="21" s="1"/>
  <c r="H54" i="21"/>
  <c r="F54" i="21"/>
  <c r="G54" i="21" s="1"/>
  <c r="H53" i="21"/>
  <c r="F53" i="21"/>
  <c r="G53" i="21" s="1"/>
  <c r="H52" i="21"/>
  <c r="F52" i="21"/>
  <c r="G52" i="21" s="1"/>
  <c r="H51" i="21"/>
  <c r="G51" i="21"/>
  <c r="F51" i="21"/>
  <c r="H50" i="21"/>
  <c r="F50" i="21"/>
  <c r="G50" i="21" s="1"/>
  <c r="I49" i="21"/>
  <c r="AI49" i="21" s="1"/>
  <c r="H49" i="21"/>
  <c r="F49" i="21"/>
  <c r="G49" i="21" s="1"/>
  <c r="H48" i="21"/>
  <c r="G48" i="21"/>
  <c r="F48" i="21"/>
  <c r="H47" i="21"/>
  <c r="F47" i="21"/>
  <c r="G47" i="21" s="1"/>
  <c r="H46" i="21"/>
  <c r="G46" i="21"/>
  <c r="F46" i="21"/>
  <c r="H45" i="21"/>
  <c r="G45" i="21"/>
  <c r="F45" i="21"/>
  <c r="H44" i="21"/>
  <c r="F44" i="21"/>
  <c r="G44" i="21" s="1"/>
  <c r="H43" i="21"/>
  <c r="F43" i="21"/>
  <c r="G43" i="21" s="1"/>
  <c r="H42" i="21"/>
  <c r="F42" i="21"/>
  <c r="G42" i="21" s="1"/>
  <c r="H41" i="21"/>
  <c r="F41" i="21"/>
  <c r="G41" i="21" s="1"/>
  <c r="H40" i="21"/>
  <c r="F40" i="21"/>
  <c r="G40" i="21" s="1"/>
  <c r="H39" i="21"/>
  <c r="F39" i="21"/>
  <c r="G39" i="21" s="1"/>
  <c r="H38" i="21"/>
  <c r="G38" i="21"/>
  <c r="F38" i="21"/>
  <c r="H37" i="21"/>
  <c r="F37" i="21"/>
  <c r="G37" i="21" s="1"/>
  <c r="H36" i="21"/>
  <c r="F36" i="21"/>
  <c r="G36" i="21" s="1"/>
  <c r="H35" i="21"/>
  <c r="F35" i="21"/>
  <c r="G35" i="21" s="1"/>
  <c r="H34" i="21"/>
  <c r="F34" i="21"/>
  <c r="G34" i="21" s="1"/>
  <c r="H33" i="21"/>
  <c r="F33" i="21"/>
  <c r="G33" i="21" s="1"/>
  <c r="H32" i="21"/>
  <c r="G32" i="21"/>
  <c r="F32" i="21"/>
  <c r="H31" i="21"/>
  <c r="F31" i="21"/>
  <c r="G31" i="21" s="1"/>
  <c r="H30" i="21"/>
  <c r="F30" i="21"/>
  <c r="G30" i="21" s="1"/>
  <c r="H29" i="21"/>
  <c r="G29" i="21"/>
  <c r="F29" i="21"/>
  <c r="H28" i="21"/>
  <c r="F28" i="21"/>
  <c r="G28" i="21" s="1"/>
  <c r="H27" i="21"/>
  <c r="F27" i="21"/>
  <c r="G27" i="21" s="1"/>
  <c r="H26" i="21"/>
  <c r="G26" i="21"/>
  <c r="F26" i="21"/>
  <c r="H25" i="21"/>
  <c r="F25" i="21"/>
  <c r="G25" i="21" s="1"/>
  <c r="H24" i="21"/>
  <c r="F24" i="21"/>
  <c r="G24" i="21" s="1"/>
  <c r="H23" i="21"/>
  <c r="F23" i="21"/>
  <c r="G23" i="21" s="1"/>
  <c r="H22" i="21"/>
  <c r="G22" i="21"/>
  <c r="F22" i="21"/>
  <c r="H21" i="21"/>
  <c r="F21" i="21"/>
  <c r="G21" i="21" s="1"/>
  <c r="H20" i="21"/>
  <c r="F20" i="21"/>
  <c r="G20" i="21" s="1"/>
  <c r="H19" i="21"/>
  <c r="F19" i="21"/>
  <c r="G19" i="21" s="1"/>
  <c r="H18" i="21"/>
  <c r="F18" i="21"/>
  <c r="G18" i="21" s="1"/>
  <c r="H17" i="21"/>
  <c r="F17" i="21"/>
  <c r="G17" i="21" s="1"/>
  <c r="H16" i="21"/>
  <c r="F16" i="21"/>
  <c r="G16" i="21" s="1"/>
  <c r="H15" i="21"/>
  <c r="F15" i="21"/>
  <c r="G15" i="21" s="1"/>
  <c r="H14" i="21"/>
  <c r="F14" i="21"/>
  <c r="G14" i="21" s="1"/>
  <c r="H13" i="21"/>
  <c r="F13" i="21"/>
  <c r="G13" i="21" s="1"/>
  <c r="H12" i="21"/>
  <c r="F12" i="21"/>
  <c r="G12" i="21" s="1"/>
  <c r="H11" i="21"/>
  <c r="F11" i="21"/>
  <c r="G11" i="21" s="1"/>
  <c r="H10" i="21"/>
  <c r="F10" i="21"/>
  <c r="G10" i="21" s="1"/>
  <c r="H9" i="21"/>
  <c r="F9" i="21"/>
  <c r="G9" i="21" s="1"/>
  <c r="H8" i="21"/>
  <c r="F8" i="21"/>
  <c r="G8" i="21" s="1"/>
  <c r="H7" i="21"/>
  <c r="F7" i="21"/>
  <c r="G7" i="21" s="1"/>
  <c r="H6" i="21"/>
  <c r="F6" i="21"/>
  <c r="G6" i="21" s="1"/>
  <c r="H5" i="21"/>
  <c r="F5" i="21"/>
  <c r="G5" i="21" s="1"/>
  <c r="H4" i="21"/>
  <c r="F4" i="21"/>
  <c r="G4" i="21" s="1"/>
  <c r="H3" i="21"/>
  <c r="F3" i="21"/>
  <c r="G3" i="21" s="1"/>
  <c r="O1" i="21"/>
  <c r="AU588" i="17"/>
  <c r="AA588" i="17"/>
  <c r="S588" i="2" s="1"/>
  <c r="T588" i="2" s="1"/>
  <c r="Q588" i="17"/>
  <c r="H588" i="17"/>
  <c r="G588" i="17"/>
  <c r="F588" i="17"/>
  <c r="E588" i="17"/>
  <c r="D588" i="17"/>
  <c r="C588" i="17"/>
  <c r="B588" i="17"/>
  <c r="AU587" i="17"/>
  <c r="AA587" i="17"/>
  <c r="S587" i="2" s="1"/>
  <c r="T587" i="2" s="1"/>
  <c r="Q587" i="17"/>
  <c r="H587" i="17"/>
  <c r="G587" i="17"/>
  <c r="F587" i="17"/>
  <c r="E587" i="17"/>
  <c r="D587" i="17"/>
  <c r="C587" i="17"/>
  <c r="B587" i="17"/>
  <c r="AU586" i="17"/>
  <c r="AA586" i="17"/>
  <c r="S586" i="2" s="1"/>
  <c r="T586" i="2" s="1"/>
  <c r="Q586" i="17"/>
  <c r="H586" i="17"/>
  <c r="G586" i="17"/>
  <c r="F586" i="17"/>
  <c r="E586" i="17"/>
  <c r="D586" i="17"/>
  <c r="C586" i="17"/>
  <c r="B586" i="17"/>
  <c r="AU585" i="17"/>
  <c r="AA585" i="17"/>
  <c r="S585" i="2" s="1"/>
  <c r="T585" i="2" s="1"/>
  <c r="Q585" i="17"/>
  <c r="H585" i="17"/>
  <c r="G585" i="17"/>
  <c r="F585" i="17"/>
  <c r="E585" i="17"/>
  <c r="D585" i="17"/>
  <c r="C585" i="17"/>
  <c r="B585" i="17"/>
  <c r="AU584" i="17"/>
  <c r="AA584" i="17"/>
  <c r="S584" i="2" s="1"/>
  <c r="T584" i="2" s="1"/>
  <c r="Q584" i="17"/>
  <c r="H584" i="17"/>
  <c r="G584" i="17"/>
  <c r="F584" i="17"/>
  <c r="E584" i="17"/>
  <c r="D584" i="17"/>
  <c r="C584" i="17"/>
  <c r="B584" i="17"/>
  <c r="AU583" i="17"/>
  <c r="AA583" i="17"/>
  <c r="S583" i="2" s="1"/>
  <c r="T583" i="2" s="1"/>
  <c r="Q583" i="17"/>
  <c r="H583" i="17"/>
  <c r="G583" i="17"/>
  <c r="F583" i="17"/>
  <c r="E583" i="17"/>
  <c r="D583" i="17"/>
  <c r="C583" i="17"/>
  <c r="B583" i="17"/>
  <c r="AU582" i="17"/>
  <c r="AA582" i="17"/>
  <c r="S582" i="2" s="1"/>
  <c r="T582" i="2" s="1"/>
  <c r="Q582" i="17"/>
  <c r="H582" i="17"/>
  <c r="G582" i="17"/>
  <c r="F582" i="17"/>
  <c r="E582" i="17"/>
  <c r="D582" i="17"/>
  <c r="C582" i="17"/>
  <c r="B582" i="17"/>
  <c r="AU581" i="17"/>
  <c r="AA581" i="17"/>
  <c r="S581" i="2" s="1"/>
  <c r="T581" i="2" s="1"/>
  <c r="Q581" i="17"/>
  <c r="H581" i="17"/>
  <c r="G581" i="17"/>
  <c r="F581" i="17"/>
  <c r="E581" i="17"/>
  <c r="D581" i="17"/>
  <c r="C581" i="17"/>
  <c r="B581" i="17"/>
  <c r="AU580" i="17"/>
  <c r="AA580" i="17"/>
  <c r="S580" i="2" s="1"/>
  <c r="T580" i="2" s="1"/>
  <c r="Q580" i="17"/>
  <c r="H580" i="17"/>
  <c r="G580" i="17"/>
  <c r="F580" i="17"/>
  <c r="E580" i="17"/>
  <c r="D580" i="17"/>
  <c r="C580" i="17"/>
  <c r="B580" i="17"/>
  <c r="AU579" i="17"/>
  <c r="AA579" i="17"/>
  <c r="S579" i="2" s="1"/>
  <c r="T579" i="2" s="1"/>
  <c r="Q579" i="17"/>
  <c r="H579" i="17"/>
  <c r="G579" i="17"/>
  <c r="F579" i="17"/>
  <c r="E579" i="17"/>
  <c r="D579" i="17"/>
  <c r="C579" i="17"/>
  <c r="B579" i="17"/>
  <c r="AU578" i="17"/>
  <c r="AA578" i="17"/>
  <c r="S578" i="2" s="1"/>
  <c r="T578" i="2" s="1"/>
  <c r="Q578" i="17"/>
  <c r="H578" i="17"/>
  <c r="G578" i="17"/>
  <c r="F578" i="17"/>
  <c r="E578" i="17"/>
  <c r="D578" i="17"/>
  <c r="C578" i="17"/>
  <c r="B578" i="17"/>
  <c r="AU577" i="17"/>
  <c r="AA577" i="17"/>
  <c r="S577" i="2" s="1"/>
  <c r="T577" i="2" s="1"/>
  <c r="Q577" i="17"/>
  <c r="H577" i="17"/>
  <c r="G577" i="17"/>
  <c r="F577" i="17"/>
  <c r="E577" i="17"/>
  <c r="D577" i="17"/>
  <c r="C577" i="17"/>
  <c r="B577" i="17"/>
  <c r="AU576" i="17"/>
  <c r="AA576" i="17"/>
  <c r="S576" i="2" s="1"/>
  <c r="T576" i="2" s="1"/>
  <c r="Q576" i="17"/>
  <c r="H576" i="17"/>
  <c r="G576" i="17"/>
  <c r="F576" i="17"/>
  <c r="E576" i="17"/>
  <c r="D576" i="17"/>
  <c r="C576" i="17"/>
  <c r="B576" i="17"/>
  <c r="AU575" i="17"/>
  <c r="AA575" i="17"/>
  <c r="S575" i="2" s="1"/>
  <c r="T575" i="2" s="1"/>
  <c r="Q575" i="17"/>
  <c r="H575" i="17"/>
  <c r="G575" i="17"/>
  <c r="F575" i="17"/>
  <c r="E575" i="17"/>
  <c r="D575" i="17"/>
  <c r="C575" i="17"/>
  <c r="B575" i="17"/>
  <c r="AU574" i="17"/>
  <c r="AA574" i="17"/>
  <c r="S574" i="2" s="1"/>
  <c r="T574" i="2" s="1"/>
  <c r="Q574" i="17"/>
  <c r="H574" i="17"/>
  <c r="G574" i="17"/>
  <c r="F574" i="17"/>
  <c r="E574" i="17"/>
  <c r="D574" i="17"/>
  <c r="C574" i="17"/>
  <c r="B574" i="17"/>
  <c r="AU573" i="17"/>
  <c r="AA573" i="17"/>
  <c r="S573" i="2" s="1"/>
  <c r="T573" i="2" s="1"/>
  <c r="Q573" i="17"/>
  <c r="H573" i="17"/>
  <c r="G573" i="17"/>
  <c r="F573" i="17"/>
  <c r="E573" i="17"/>
  <c r="D573" i="17"/>
  <c r="C573" i="17"/>
  <c r="B573" i="17"/>
  <c r="AU572" i="17"/>
  <c r="AA572" i="17"/>
  <c r="S572" i="2" s="1"/>
  <c r="T572" i="2" s="1"/>
  <c r="Q572" i="17"/>
  <c r="H572" i="17"/>
  <c r="G572" i="17"/>
  <c r="F572" i="17"/>
  <c r="E572" i="17"/>
  <c r="D572" i="17"/>
  <c r="C572" i="17"/>
  <c r="B572" i="17"/>
  <c r="AU571" i="17"/>
  <c r="AA571" i="17"/>
  <c r="S571" i="2" s="1"/>
  <c r="T571" i="2" s="1"/>
  <c r="Q571" i="17"/>
  <c r="H571" i="17"/>
  <c r="G571" i="17"/>
  <c r="F571" i="17"/>
  <c r="E571" i="17"/>
  <c r="D571" i="17"/>
  <c r="C571" i="17"/>
  <c r="B571" i="17"/>
  <c r="AU570" i="17"/>
  <c r="AA570" i="17"/>
  <c r="S570" i="2" s="1"/>
  <c r="T570" i="2" s="1"/>
  <c r="Q570" i="17"/>
  <c r="H570" i="17"/>
  <c r="G570" i="17"/>
  <c r="F570" i="17"/>
  <c r="E570" i="17"/>
  <c r="D570" i="17"/>
  <c r="C570" i="17"/>
  <c r="B570" i="17"/>
  <c r="AU569" i="17"/>
  <c r="AA569" i="17"/>
  <c r="S569" i="2" s="1"/>
  <c r="T569" i="2" s="1"/>
  <c r="Q569" i="17"/>
  <c r="H569" i="17"/>
  <c r="G569" i="17"/>
  <c r="F569" i="17"/>
  <c r="E569" i="17"/>
  <c r="D569" i="17"/>
  <c r="C569" i="17"/>
  <c r="B569" i="17"/>
  <c r="AU568" i="17"/>
  <c r="AA568" i="17"/>
  <c r="S568" i="2" s="1"/>
  <c r="T568" i="2" s="1"/>
  <c r="Q568" i="17"/>
  <c r="H568" i="17"/>
  <c r="G568" i="17"/>
  <c r="F568" i="17"/>
  <c r="E568" i="17"/>
  <c r="D568" i="17"/>
  <c r="C568" i="17"/>
  <c r="B568" i="17"/>
  <c r="AU567" i="17"/>
  <c r="AA567" i="17"/>
  <c r="S567" i="2" s="1"/>
  <c r="T567" i="2" s="1"/>
  <c r="Q567" i="17"/>
  <c r="H567" i="17"/>
  <c r="G567" i="17"/>
  <c r="F567" i="17"/>
  <c r="E567" i="17"/>
  <c r="D567" i="17"/>
  <c r="C567" i="17"/>
  <c r="B567" i="17"/>
  <c r="AU566" i="17"/>
  <c r="AA566" i="17"/>
  <c r="S566" i="2" s="1"/>
  <c r="T566" i="2" s="1"/>
  <c r="Q566" i="17"/>
  <c r="H566" i="17"/>
  <c r="G566" i="17"/>
  <c r="F566" i="17"/>
  <c r="E566" i="17"/>
  <c r="D566" i="17"/>
  <c r="C566" i="17"/>
  <c r="B566" i="17"/>
  <c r="AU565" i="17"/>
  <c r="AA565" i="17"/>
  <c r="S565" i="2" s="1"/>
  <c r="T565" i="2" s="1"/>
  <c r="Q565" i="17"/>
  <c r="H565" i="17"/>
  <c r="G565" i="17"/>
  <c r="F565" i="17"/>
  <c r="E565" i="17"/>
  <c r="D565" i="17"/>
  <c r="C565" i="17"/>
  <c r="B565" i="17"/>
  <c r="AU564" i="17"/>
  <c r="AA564" i="17"/>
  <c r="S564" i="2" s="1"/>
  <c r="T564" i="2" s="1"/>
  <c r="Q564" i="17"/>
  <c r="H564" i="17"/>
  <c r="G564" i="17"/>
  <c r="F564" i="17"/>
  <c r="E564" i="17"/>
  <c r="D564" i="17"/>
  <c r="C564" i="17"/>
  <c r="B564" i="17"/>
  <c r="AU563" i="17"/>
  <c r="AA563" i="17"/>
  <c r="S563" i="2" s="1"/>
  <c r="T563" i="2" s="1"/>
  <c r="Q563" i="17"/>
  <c r="H563" i="17"/>
  <c r="G563" i="17"/>
  <c r="F563" i="17"/>
  <c r="E563" i="17"/>
  <c r="D563" i="17"/>
  <c r="C563" i="17"/>
  <c r="B563" i="17"/>
  <c r="AU562" i="17"/>
  <c r="AA562" i="17"/>
  <c r="Q562" i="17"/>
  <c r="H562" i="17"/>
  <c r="G562" i="17"/>
  <c r="F562" i="17"/>
  <c r="E562" i="17"/>
  <c r="D562" i="17"/>
  <c r="C562" i="17"/>
  <c r="B562" i="17"/>
  <c r="AU561" i="17"/>
  <c r="AA561" i="17"/>
  <c r="S561" i="2" s="1"/>
  <c r="T561" i="2" s="1"/>
  <c r="Q561" i="17"/>
  <c r="H561" i="17"/>
  <c r="G561" i="17"/>
  <c r="F561" i="17"/>
  <c r="E561" i="17"/>
  <c r="D561" i="17"/>
  <c r="C561" i="17"/>
  <c r="B561" i="17"/>
  <c r="AU560" i="17"/>
  <c r="AA560" i="17"/>
  <c r="S560" i="2" s="1"/>
  <c r="T560" i="2" s="1"/>
  <c r="Q560" i="17"/>
  <c r="H560" i="17"/>
  <c r="G560" i="17"/>
  <c r="F560" i="17"/>
  <c r="E560" i="17"/>
  <c r="D560" i="17"/>
  <c r="C560" i="17"/>
  <c r="B560" i="17"/>
  <c r="AU559" i="17"/>
  <c r="AA559" i="17"/>
  <c r="S559" i="2" s="1"/>
  <c r="T559" i="2" s="1"/>
  <c r="Q559" i="17"/>
  <c r="H559" i="17"/>
  <c r="G559" i="17"/>
  <c r="F559" i="17"/>
  <c r="E559" i="17"/>
  <c r="D559" i="17"/>
  <c r="C559" i="17"/>
  <c r="B559" i="17"/>
  <c r="AU558" i="17"/>
  <c r="AA558" i="17"/>
  <c r="S558" i="2" s="1"/>
  <c r="T558" i="2" s="1"/>
  <c r="Q558" i="17"/>
  <c r="H558" i="17"/>
  <c r="G558" i="17"/>
  <c r="F558" i="17"/>
  <c r="E558" i="17"/>
  <c r="D558" i="17"/>
  <c r="C558" i="17"/>
  <c r="B558" i="17"/>
  <c r="AU557" i="17"/>
  <c r="AA557" i="17"/>
  <c r="S557" i="2" s="1"/>
  <c r="T557" i="2" s="1"/>
  <c r="Q557" i="17"/>
  <c r="H557" i="17"/>
  <c r="G557" i="17"/>
  <c r="F557" i="17"/>
  <c r="E557" i="17"/>
  <c r="D557" i="17"/>
  <c r="C557" i="17"/>
  <c r="B557" i="17"/>
  <c r="AU556" i="17"/>
  <c r="AA556" i="17"/>
  <c r="S556" i="2" s="1"/>
  <c r="T556" i="2" s="1"/>
  <c r="Q556" i="17"/>
  <c r="H556" i="17"/>
  <c r="G556" i="17"/>
  <c r="F556" i="17"/>
  <c r="E556" i="17"/>
  <c r="D556" i="17"/>
  <c r="C556" i="17"/>
  <c r="B556" i="17"/>
  <c r="AU555" i="17"/>
  <c r="AA555" i="17"/>
  <c r="S555" i="2" s="1"/>
  <c r="T555" i="2" s="1"/>
  <c r="Q555" i="17"/>
  <c r="H555" i="17"/>
  <c r="G555" i="17"/>
  <c r="F555" i="17"/>
  <c r="E555" i="17"/>
  <c r="D555" i="17"/>
  <c r="C555" i="17"/>
  <c r="B555" i="17"/>
  <c r="AU554" i="17"/>
  <c r="AA554" i="17"/>
  <c r="S554" i="2" s="1"/>
  <c r="T554" i="2" s="1"/>
  <c r="Q554" i="17"/>
  <c r="H554" i="17"/>
  <c r="G554" i="17"/>
  <c r="F554" i="17"/>
  <c r="E554" i="17"/>
  <c r="D554" i="17"/>
  <c r="C554" i="17"/>
  <c r="B554" i="17"/>
  <c r="AU553" i="17"/>
  <c r="AA553" i="17"/>
  <c r="S553" i="2" s="1"/>
  <c r="T553" i="2" s="1"/>
  <c r="Q553" i="17"/>
  <c r="H553" i="17"/>
  <c r="G553" i="17"/>
  <c r="F553" i="17"/>
  <c r="E553" i="17"/>
  <c r="D553" i="17"/>
  <c r="C553" i="17"/>
  <c r="B553" i="17"/>
  <c r="AU552" i="17"/>
  <c r="AA552" i="17"/>
  <c r="S552" i="2" s="1"/>
  <c r="T552" i="2" s="1"/>
  <c r="Q552" i="17"/>
  <c r="H552" i="17"/>
  <c r="G552" i="17"/>
  <c r="F552" i="17"/>
  <c r="E552" i="17"/>
  <c r="D552" i="17"/>
  <c r="C552" i="17"/>
  <c r="B552" i="17"/>
  <c r="AU551" i="17"/>
  <c r="AA551" i="17"/>
  <c r="S551" i="2" s="1"/>
  <c r="T551" i="2" s="1"/>
  <c r="Q551" i="17"/>
  <c r="H551" i="17"/>
  <c r="G551" i="17"/>
  <c r="F551" i="17"/>
  <c r="E551" i="17"/>
  <c r="D551" i="17"/>
  <c r="C551" i="17"/>
  <c r="B551" i="17"/>
  <c r="AU550" i="17"/>
  <c r="AA550" i="17"/>
  <c r="S550" i="2" s="1"/>
  <c r="T550" i="2" s="1"/>
  <c r="Q550" i="17"/>
  <c r="H550" i="17"/>
  <c r="G550" i="17"/>
  <c r="F550" i="17"/>
  <c r="E550" i="17"/>
  <c r="D550" i="17"/>
  <c r="C550" i="17"/>
  <c r="B550" i="17"/>
  <c r="AU549" i="17"/>
  <c r="AA549" i="17"/>
  <c r="S549" i="2" s="1"/>
  <c r="T549" i="2" s="1"/>
  <c r="Q549" i="17"/>
  <c r="H549" i="17"/>
  <c r="G549" i="17"/>
  <c r="F549" i="17"/>
  <c r="E549" i="17"/>
  <c r="D549" i="17"/>
  <c r="C549" i="17"/>
  <c r="B549" i="17"/>
  <c r="AU548" i="17"/>
  <c r="AA548" i="17"/>
  <c r="S548" i="2" s="1"/>
  <c r="T548" i="2" s="1"/>
  <c r="Q548" i="17"/>
  <c r="H548" i="17"/>
  <c r="G548" i="17"/>
  <c r="F548" i="17"/>
  <c r="E548" i="17"/>
  <c r="D548" i="17"/>
  <c r="C548" i="17"/>
  <c r="B548" i="17"/>
  <c r="AU547" i="17"/>
  <c r="AA547" i="17"/>
  <c r="S547" i="2" s="1"/>
  <c r="T547" i="2" s="1"/>
  <c r="Q547" i="17"/>
  <c r="H547" i="17"/>
  <c r="G547" i="17"/>
  <c r="F547" i="17"/>
  <c r="E547" i="17"/>
  <c r="D547" i="17"/>
  <c r="C547" i="17"/>
  <c r="B547" i="17"/>
  <c r="AU546" i="17"/>
  <c r="AA546" i="17"/>
  <c r="S546" i="2" s="1"/>
  <c r="T546" i="2" s="1"/>
  <c r="Q546" i="17"/>
  <c r="H546" i="17"/>
  <c r="G546" i="17"/>
  <c r="F546" i="17"/>
  <c r="E546" i="17"/>
  <c r="D546" i="17"/>
  <c r="C546" i="17"/>
  <c r="B546" i="17"/>
  <c r="AU545" i="17"/>
  <c r="AA545" i="17"/>
  <c r="S545" i="2" s="1"/>
  <c r="T545" i="2" s="1"/>
  <c r="Q545" i="17"/>
  <c r="H545" i="17"/>
  <c r="G545" i="17"/>
  <c r="F545" i="17"/>
  <c r="E545" i="17"/>
  <c r="D545" i="17"/>
  <c r="C545" i="17"/>
  <c r="B545" i="17"/>
  <c r="AU544" i="17"/>
  <c r="AA544" i="17"/>
  <c r="S544" i="2" s="1"/>
  <c r="T544" i="2" s="1"/>
  <c r="Q544" i="17"/>
  <c r="H544" i="17"/>
  <c r="G544" i="17"/>
  <c r="F544" i="17"/>
  <c r="E544" i="17"/>
  <c r="D544" i="17"/>
  <c r="C544" i="17"/>
  <c r="B544" i="17"/>
  <c r="AU543" i="17"/>
  <c r="AA543" i="17"/>
  <c r="S543" i="2" s="1"/>
  <c r="T543" i="2" s="1"/>
  <c r="Q543" i="17"/>
  <c r="H543" i="17"/>
  <c r="G543" i="17"/>
  <c r="F543" i="17"/>
  <c r="E543" i="17"/>
  <c r="D543" i="17"/>
  <c r="C543" i="17"/>
  <c r="B543" i="17"/>
  <c r="AU542" i="17"/>
  <c r="AA542" i="17"/>
  <c r="S542" i="2" s="1"/>
  <c r="T542" i="2" s="1"/>
  <c r="Q542" i="17"/>
  <c r="H542" i="17"/>
  <c r="G542" i="17"/>
  <c r="F542" i="17"/>
  <c r="E542" i="17"/>
  <c r="D542" i="17"/>
  <c r="C542" i="17"/>
  <c r="B542" i="17"/>
  <c r="AU541" i="17"/>
  <c r="AA541" i="17"/>
  <c r="S541" i="2" s="1"/>
  <c r="T541" i="2" s="1"/>
  <c r="Q541" i="17"/>
  <c r="H541" i="17"/>
  <c r="G541" i="17"/>
  <c r="F541" i="17"/>
  <c r="E541" i="17"/>
  <c r="D541" i="17"/>
  <c r="C541" i="17"/>
  <c r="B541" i="17"/>
  <c r="AU540" i="17"/>
  <c r="AA540" i="17"/>
  <c r="S540" i="2" s="1"/>
  <c r="T540" i="2" s="1"/>
  <c r="Q540" i="17"/>
  <c r="H540" i="17"/>
  <c r="G540" i="17"/>
  <c r="F540" i="17"/>
  <c r="E540" i="17"/>
  <c r="D540" i="17"/>
  <c r="C540" i="17"/>
  <c r="B540" i="17"/>
  <c r="AU539" i="17"/>
  <c r="AA539" i="17"/>
  <c r="Q539" i="17"/>
  <c r="H539" i="17"/>
  <c r="G539" i="17"/>
  <c r="F539" i="17"/>
  <c r="E539" i="17"/>
  <c r="D539" i="17"/>
  <c r="C539" i="17"/>
  <c r="B539" i="17"/>
  <c r="AU538" i="17"/>
  <c r="AA538" i="17"/>
  <c r="S538" i="2" s="1"/>
  <c r="T538" i="2" s="1"/>
  <c r="Q538" i="17"/>
  <c r="H538" i="17"/>
  <c r="G538" i="17"/>
  <c r="F538" i="17"/>
  <c r="E538" i="17"/>
  <c r="D538" i="17"/>
  <c r="C538" i="17"/>
  <c r="B538" i="17"/>
  <c r="AU537" i="17"/>
  <c r="AA537" i="17"/>
  <c r="S537" i="2" s="1"/>
  <c r="T537" i="2" s="1"/>
  <c r="Q537" i="17"/>
  <c r="H537" i="17"/>
  <c r="G537" i="17"/>
  <c r="F537" i="17"/>
  <c r="E537" i="17"/>
  <c r="D537" i="17"/>
  <c r="C537" i="17"/>
  <c r="B537" i="17"/>
  <c r="AU536" i="17"/>
  <c r="AA536" i="17"/>
  <c r="S536" i="2" s="1"/>
  <c r="T536" i="2" s="1"/>
  <c r="Q536" i="17"/>
  <c r="H536" i="17"/>
  <c r="G536" i="17"/>
  <c r="F536" i="17"/>
  <c r="E536" i="17"/>
  <c r="D536" i="17"/>
  <c r="C536" i="17"/>
  <c r="B536" i="17"/>
  <c r="AU535" i="17"/>
  <c r="AA535" i="17"/>
  <c r="S535" i="2" s="1"/>
  <c r="T535" i="2" s="1"/>
  <c r="AQ535" i="2" s="1"/>
  <c r="Q535" i="17"/>
  <c r="H535" i="17"/>
  <c r="G535" i="17"/>
  <c r="F535" i="17"/>
  <c r="E535" i="17"/>
  <c r="D535" i="17"/>
  <c r="C535" i="17"/>
  <c r="B535" i="17"/>
  <c r="AU534" i="17"/>
  <c r="AA534" i="17"/>
  <c r="S534" i="2" s="1"/>
  <c r="T534" i="2" s="1"/>
  <c r="Q534" i="17"/>
  <c r="H534" i="17"/>
  <c r="G534" i="17"/>
  <c r="F534" i="17"/>
  <c r="E534" i="17"/>
  <c r="D534" i="17"/>
  <c r="C534" i="17"/>
  <c r="B534" i="17"/>
  <c r="AU533" i="17"/>
  <c r="AA533" i="17"/>
  <c r="S533" i="2" s="1"/>
  <c r="T533" i="2" s="1"/>
  <c r="Q533" i="17"/>
  <c r="H533" i="17"/>
  <c r="G533" i="17"/>
  <c r="F533" i="17"/>
  <c r="E533" i="17"/>
  <c r="D533" i="17"/>
  <c r="C533" i="17"/>
  <c r="B533" i="17"/>
  <c r="AU532" i="17"/>
  <c r="AA532" i="17"/>
  <c r="S532" i="2" s="1"/>
  <c r="T532" i="2" s="1"/>
  <c r="Q532" i="17"/>
  <c r="H532" i="17"/>
  <c r="G532" i="17"/>
  <c r="F532" i="17"/>
  <c r="E532" i="17"/>
  <c r="D532" i="17"/>
  <c r="C532" i="17"/>
  <c r="B532" i="17"/>
  <c r="AU531" i="17"/>
  <c r="AA531" i="17"/>
  <c r="S531" i="2" s="1"/>
  <c r="T531" i="2" s="1"/>
  <c r="Q531" i="17"/>
  <c r="H531" i="17"/>
  <c r="G531" i="17"/>
  <c r="F531" i="17"/>
  <c r="E531" i="17"/>
  <c r="D531" i="17"/>
  <c r="C531" i="17"/>
  <c r="B531" i="17"/>
  <c r="AU530" i="17"/>
  <c r="AA530" i="17"/>
  <c r="S530" i="2" s="1"/>
  <c r="T530" i="2" s="1"/>
  <c r="Q530" i="17"/>
  <c r="H530" i="17"/>
  <c r="G530" i="17"/>
  <c r="F530" i="17"/>
  <c r="E530" i="17"/>
  <c r="D530" i="17"/>
  <c r="C530" i="17"/>
  <c r="B530" i="17"/>
  <c r="AU529" i="17"/>
  <c r="AA529" i="17"/>
  <c r="S529" i="2" s="1"/>
  <c r="T529" i="2" s="1"/>
  <c r="Q529" i="17"/>
  <c r="H529" i="17"/>
  <c r="G529" i="17"/>
  <c r="F529" i="17"/>
  <c r="E529" i="17"/>
  <c r="D529" i="17"/>
  <c r="C529" i="17"/>
  <c r="B529" i="17"/>
  <c r="AU528" i="17"/>
  <c r="AA528" i="17"/>
  <c r="S528" i="2" s="1"/>
  <c r="T528" i="2" s="1"/>
  <c r="Q528" i="17"/>
  <c r="H528" i="17"/>
  <c r="G528" i="17"/>
  <c r="F528" i="17"/>
  <c r="E528" i="17"/>
  <c r="D528" i="17"/>
  <c r="C528" i="17"/>
  <c r="B528" i="17"/>
  <c r="AU527" i="17"/>
  <c r="AA527" i="17"/>
  <c r="S527" i="2" s="1"/>
  <c r="T527" i="2" s="1"/>
  <c r="Q527" i="17"/>
  <c r="H527" i="17"/>
  <c r="G527" i="17"/>
  <c r="F527" i="17"/>
  <c r="E527" i="17"/>
  <c r="D527" i="17"/>
  <c r="C527" i="17"/>
  <c r="B527" i="17"/>
  <c r="AU526" i="17"/>
  <c r="AA526" i="17"/>
  <c r="S526" i="2" s="1"/>
  <c r="T526" i="2" s="1"/>
  <c r="Q526" i="17"/>
  <c r="H526" i="17"/>
  <c r="G526" i="17"/>
  <c r="F526" i="17"/>
  <c r="E526" i="17"/>
  <c r="D526" i="17"/>
  <c r="C526" i="17"/>
  <c r="B526" i="17"/>
  <c r="AU525" i="17"/>
  <c r="AA525" i="17"/>
  <c r="S525" i="2" s="1"/>
  <c r="T525" i="2" s="1"/>
  <c r="Q525" i="17"/>
  <c r="H525" i="17"/>
  <c r="G525" i="17"/>
  <c r="F525" i="17"/>
  <c r="E525" i="17"/>
  <c r="D525" i="17"/>
  <c r="C525" i="17"/>
  <c r="B525" i="17"/>
  <c r="AU524" i="17"/>
  <c r="AA524" i="17"/>
  <c r="S524" i="2" s="1"/>
  <c r="T524" i="2" s="1"/>
  <c r="Q524" i="17"/>
  <c r="H524" i="17"/>
  <c r="G524" i="17"/>
  <c r="F524" i="17"/>
  <c r="E524" i="17"/>
  <c r="D524" i="17"/>
  <c r="C524" i="17"/>
  <c r="B524" i="17"/>
  <c r="AU523" i="17"/>
  <c r="AA523" i="17"/>
  <c r="S523" i="2" s="1"/>
  <c r="T523" i="2" s="1"/>
  <c r="Q523" i="17"/>
  <c r="H523" i="17"/>
  <c r="G523" i="17"/>
  <c r="F523" i="17"/>
  <c r="E523" i="17"/>
  <c r="D523" i="17"/>
  <c r="C523" i="17"/>
  <c r="B523" i="17"/>
  <c r="AU522" i="17"/>
  <c r="AA522" i="17"/>
  <c r="S522" i="2" s="1"/>
  <c r="T522" i="2" s="1"/>
  <c r="Q522" i="17"/>
  <c r="H522" i="17"/>
  <c r="G522" i="17"/>
  <c r="F522" i="17"/>
  <c r="E522" i="17"/>
  <c r="D522" i="17"/>
  <c r="C522" i="17"/>
  <c r="B522" i="17"/>
  <c r="AU521" i="17"/>
  <c r="AA521" i="17"/>
  <c r="S521" i="2" s="1"/>
  <c r="T521" i="2" s="1"/>
  <c r="Q521" i="17"/>
  <c r="H521" i="17"/>
  <c r="G521" i="17"/>
  <c r="F521" i="17"/>
  <c r="E521" i="17"/>
  <c r="D521" i="17"/>
  <c r="C521" i="17"/>
  <c r="B521" i="17"/>
  <c r="AU520" i="17"/>
  <c r="AA520" i="17"/>
  <c r="S520" i="2" s="1"/>
  <c r="T520" i="2" s="1"/>
  <c r="AQ520" i="2" s="1"/>
  <c r="Q520" i="17"/>
  <c r="H520" i="17"/>
  <c r="G520" i="17"/>
  <c r="F520" i="17"/>
  <c r="E520" i="17"/>
  <c r="D520" i="17"/>
  <c r="C520" i="17"/>
  <c r="B520" i="17"/>
  <c r="AA519" i="17"/>
  <c r="S519" i="2" s="1"/>
  <c r="T519" i="2" s="1"/>
  <c r="Q519" i="17"/>
  <c r="H519" i="17"/>
  <c r="G519" i="17"/>
  <c r="F519" i="17"/>
  <c r="E519" i="17"/>
  <c r="D519" i="17"/>
  <c r="C519" i="17"/>
  <c r="B519" i="17"/>
  <c r="AU518" i="17"/>
  <c r="AA518" i="17"/>
  <c r="S518" i="2" s="1"/>
  <c r="T518" i="2" s="1"/>
  <c r="Q518" i="17"/>
  <c r="H518" i="17"/>
  <c r="G518" i="17"/>
  <c r="F518" i="17"/>
  <c r="E518" i="17"/>
  <c r="D518" i="17"/>
  <c r="C518" i="17"/>
  <c r="B518" i="17"/>
  <c r="AU517" i="17"/>
  <c r="AA517" i="17"/>
  <c r="S517" i="2" s="1"/>
  <c r="T517" i="2" s="1"/>
  <c r="AQ517" i="2" s="1"/>
  <c r="Q517" i="17"/>
  <c r="H517" i="17"/>
  <c r="G517" i="17"/>
  <c r="F517" i="17"/>
  <c r="E517" i="17"/>
  <c r="D517" i="17"/>
  <c r="C517" i="17"/>
  <c r="B517" i="17"/>
  <c r="AU516" i="17"/>
  <c r="AA516" i="17"/>
  <c r="S516" i="2" s="1"/>
  <c r="T516" i="2" s="1"/>
  <c r="Q516" i="17"/>
  <c r="H516" i="17"/>
  <c r="G516" i="17"/>
  <c r="F516" i="17"/>
  <c r="E516" i="17"/>
  <c r="D516" i="17"/>
  <c r="C516" i="17"/>
  <c r="B516" i="17"/>
  <c r="AU515" i="17"/>
  <c r="AA515" i="17"/>
  <c r="S515" i="2" s="1"/>
  <c r="T515" i="2" s="1"/>
  <c r="Q515" i="17"/>
  <c r="H515" i="17"/>
  <c r="G515" i="17"/>
  <c r="F515" i="17"/>
  <c r="E515" i="17"/>
  <c r="D515" i="17"/>
  <c r="C515" i="17"/>
  <c r="B515" i="17"/>
  <c r="AU514" i="17"/>
  <c r="AA514" i="17"/>
  <c r="S514" i="2" s="1"/>
  <c r="T514" i="2" s="1"/>
  <c r="AQ514" i="2" s="1"/>
  <c r="Q514" i="17"/>
  <c r="H514" i="17"/>
  <c r="G514" i="17"/>
  <c r="F514" i="17"/>
  <c r="E514" i="17"/>
  <c r="D514" i="17"/>
  <c r="C514" i="17"/>
  <c r="B514" i="17"/>
  <c r="AU513" i="17"/>
  <c r="AA513" i="17"/>
  <c r="S513" i="2" s="1"/>
  <c r="T513" i="2" s="1"/>
  <c r="AQ513" i="2" s="1"/>
  <c r="Q513" i="17"/>
  <c r="H513" i="17"/>
  <c r="G513" i="17"/>
  <c r="F513" i="17"/>
  <c r="E513" i="17"/>
  <c r="D513" i="17"/>
  <c r="C513" i="17"/>
  <c r="B513" i="17"/>
  <c r="AU512" i="17"/>
  <c r="AA512" i="17"/>
  <c r="S512" i="2" s="1"/>
  <c r="T512" i="2" s="1"/>
  <c r="AQ512" i="2" s="1"/>
  <c r="Q512" i="17"/>
  <c r="H512" i="17"/>
  <c r="G512" i="17"/>
  <c r="F512" i="17"/>
  <c r="E512" i="17"/>
  <c r="D512" i="17"/>
  <c r="C512" i="17"/>
  <c r="B512" i="17"/>
  <c r="AU511" i="17"/>
  <c r="AA511" i="17"/>
  <c r="S511" i="2" s="1"/>
  <c r="T511" i="2" s="1"/>
  <c r="AQ511" i="2" s="1"/>
  <c r="Q511" i="17"/>
  <c r="H511" i="17"/>
  <c r="G511" i="17"/>
  <c r="F511" i="17"/>
  <c r="E511" i="17"/>
  <c r="D511" i="17"/>
  <c r="C511" i="17"/>
  <c r="B511" i="17"/>
  <c r="AU510" i="17"/>
  <c r="AA510" i="17"/>
  <c r="S510" i="2" s="1"/>
  <c r="T510" i="2" s="1"/>
  <c r="Q510" i="17"/>
  <c r="H510" i="17"/>
  <c r="G510" i="17"/>
  <c r="F510" i="17"/>
  <c r="E510" i="17"/>
  <c r="D510" i="17"/>
  <c r="C510" i="17"/>
  <c r="B510" i="17"/>
  <c r="AU509" i="17"/>
  <c r="AA509" i="17"/>
  <c r="S509" i="2" s="1"/>
  <c r="T509" i="2" s="1"/>
  <c r="AQ509" i="2" s="1"/>
  <c r="Q509" i="17"/>
  <c r="H509" i="17"/>
  <c r="G509" i="17"/>
  <c r="F509" i="17"/>
  <c r="E509" i="17"/>
  <c r="D509" i="17"/>
  <c r="C509" i="17"/>
  <c r="B509" i="17"/>
  <c r="AU508" i="17"/>
  <c r="AA508" i="17"/>
  <c r="S508" i="2" s="1"/>
  <c r="T508" i="2" s="1"/>
  <c r="AQ508" i="2" s="1"/>
  <c r="Q508" i="17"/>
  <c r="H508" i="17"/>
  <c r="G508" i="17"/>
  <c r="F508" i="17"/>
  <c r="E508" i="17"/>
  <c r="D508" i="17"/>
  <c r="C508" i="17"/>
  <c r="B508" i="17"/>
  <c r="AU507" i="17"/>
  <c r="AA507" i="17"/>
  <c r="S507" i="2" s="1"/>
  <c r="T507" i="2" s="1"/>
  <c r="AQ507" i="2" s="1"/>
  <c r="Q507" i="17"/>
  <c r="H507" i="17"/>
  <c r="G507" i="17"/>
  <c r="F507" i="17"/>
  <c r="E507" i="17"/>
  <c r="D507" i="17"/>
  <c r="C507" i="17"/>
  <c r="B507" i="17"/>
  <c r="AU506" i="17"/>
  <c r="AA506" i="17"/>
  <c r="S506" i="2" s="1"/>
  <c r="T506" i="2" s="1"/>
  <c r="AQ506" i="2" s="1"/>
  <c r="Q506" i="17"/>
  <c r="H506" i="17"/>
  <c r="G506" i="17"/>
  <c r="F506" i="17"/>
  <c r="E506" i="17"/>
  <c r="D506" i="17"/>
  <c r="C506" i="17"/>
  <c r="B506" i="17"/>
  <c r="AU505" i="17"/>
  <c r="AA505" i="17"/>
  <c r="S505" i="2" s="1"/>
  <c r="T505" i="2" s="1"/>
  <c r="Q505" i="17"/>
  <c r="H505" i="17"/>
  <c r="G505" i="17"/>
  <c r="F505" i="17"/>
  <c r="E505" i="17"/>
  <c r="D505" i="17"/>
  <c r="C505" i="17"/>
  <c r="B505" i="17"/>
  <c r="AU504" i="17"/>
  <c r="AA504" i="17"/>
  <c r="S504" i="2" s="1"/>
  <c r="T504" i="2" s="1"/>
  <c r="Q504" i="17"/>
  <c r="H504" i="17"/>
  <c r="G504" i="17"/>
  <c r="F504" i="17"/>
  <c r="E504" i="17"/>
  <c r="D504" i="17"/>
  <c r="C504" i="17"/>
  <c r="B504" i="17"/>
  <c r="AU503" i="17"/>
  <c r="AA503" i="17"/>
  <c r="S503" i="2" s="1"/>
  <c r="T503" i="2" s="1"/>
  <c r="Q503" i="17"/>
  <c r="H503" i="17"/>
  <c r="G503" i="17"/>
  <c r="F503" i="17"/>
  <c r="E503" i="17"/>
  <c r="D503" i="17"/>
  <c r="C503" i="17"/>
  <c r="B503" i="17"/>
  <c r="AU502" i="17"/>
  <c r="AA502" i="17"/>
  <c r="S502" i="2" s="1"/>
  <c r="T502" i="2" s="1"/>
  <c r="Q502" i="17"/>
  <c r="H502" i="17"/>
  <c r="G502" i="17"/>
  <c r="F502" i="17"/>
  <c r="E502" i="17"/>
  <c r="D502" i="17"/>
  <c r="C502" i="17"/>
  <c r="B502" i="17"/>
  <c r="AU501" i="17"/>
  <c r="AA501" i="17"/>
  <c r="S501" i="2" s="1"/>
  <c r="T501" i="2" s="1"/>
  <c r="Q501" i="17"/>
  <c r="H501" i="17"/>
  <c r="G501" i="17"/>
  <c r="F501" i="17"/>
  <c r="E501" i="17"/>
  <c r="D501" i="17"/>
  <c r="C501" i="17"/>
  <c r="B501" i="17"/>
  <c r="AU500" i="17"/>
  <c r="AA500" i="17"/>
  <c r="S500" i="2" s="1"/>
  <c r="T500" i="2" s="1"/>
  <c r="Q500" i="17"/>
  <c r="H500" i="17"/>
  <c r="G500" i="17"/>
  <c r="F500" i="17"/>
  <c r="E500" i="17"/>
  <c r="D500" i="17"/>
  <c r="C500" i="17"/>
  <c r="B500" i="17"/>
  <c r="AU499" i="17"/>
  <c r="AA499" i="17"/>
  <c r="Q499" i="17"/>
  <c r="H499" i="17"/>
  <c r="G499" i="17"/>
  <c r="F499" i="17"/>
  <c r="E499" i="17"/>
  <c r="D499" i="17"/>
  <c r="C499" i="17"/>
  <c r="B499" i="17"/>
  <c r="AU498" i="17"/>
  <c r="AA498" i="17"/>
  <c r="S498" i="2" s="1"/>
  <c r="T498" i="2" s="1"/>
  <c r="Q498" i="17"/>
  <c r="H498" i="17"/>
  <c r="G498" i="17"/>
  <c r="F498" i="17"/>
  <c r="E498" i="17"/>
  <c r="D498" i="17"/>
  <c r="C498" i="17"/>
  <c r="B498" i="17"/>
  <c r="AU497" i="17"/>
  <c r="AA497" i="17"/>
  <c r="S497" i="2" s="1"/>
  <c r="T497" i="2" s="1"/>
  <c r="Q497" i="17"/>
  <c r="H497" i="17"/>
  <c r="G497" i="17"/>
  <c r="F497" i="17"/>
  <c r="E497" i="17"/>
  <c r="D497" i="17"/>
  <c r="C497" i="17"/>
  <c r="B497" i="17"/>
  <c r="AU496" i="17"/>
  <c r="AA496" i="17"/>
  <c r="S496" i="2" s="1"/>
  <c r="T496" i="2" s="1"/>
  <c r="Q496" i="17"/>
  <c r="H496" i="17"/>
  <c r="G496" i="17"/>
  <c r="F496" i="17"/>
  <c r="E496" i="17"/>
  <c r="D496" i="17"/>
  <c r="C496" i="17"/>
  <c r="B496" i="17"/>
  <c r="AU495" i="17"/>
  <c r="AA495" i="17"/>
  <c r="S495" i="2" s="1"/>
  <c r="T495" i="2" s="1"/>
  <c r="Q495" i="17"/>
  <c r="H495" i="17"/>
  <c r="G495" i="17"/>
  <c r="F495" i="17"/>
  <c r="E495" i="17"/>
  <c r="D495" i="17"/>
  <c r="C495" i="17"/>
  <c r="B495" i="17"/>
  <c r="AU494" i="17"/>
  <c r="AA494" i="17"/>
  <c r="S494" i="2" s="1"/>
  <c r="T494" i="2" s="1"/>
  <c r="Q494" i="17"/>
  <c r="H494" i="17"/>
  <c r="G494" i="17"/>
  <c r="F494" i="17"/>
  <c r="E494" i="17"/>
  <c r="D494" i="17"/>
  <c r="C494" i="17"/>
  <c r="B494" i="17"/>
  <c r="AU493" i="17"/>
  <c r="AA493" i="17"/>
  <c r="S493" i="2" s="1"/>
  <c r="T493" i="2" s="1"/>
  <c r="Q493" i="17"/>
  <c r="H493" i="17"/>
  <c r="G493" i="17"/>
  <c r="F493" i="17"/>
  <c r="E493" i="17"/>
  <c r="D493" i="17"/>
  <c r="C493" i="17"/>
  <c r="B493" i="17"/>
  <c r="AU492" i="17"/>
  <c r="AA492" i="17"/>
  <c r="S492" i="2" s="1"/>
  <c r="T492" i="2" s="1"/>
  <c r="Q492" i="17"/>
  <c r="H492" i="17"/>
  <c r="G492" i="17"/>
  <c r="F492" i="17"/>
  <c r="E492" i="17"/>
  <c r="D492" i="17"/>
  <c r="C492" i="17"/>
  <c r="B492" i="17"/>
  <c r="AU491" i="17"/>
  <c r="AA491" i="17"/>
  <c r="S491" i="2" s="1"/>
  <c r="T491" i="2" s="1"/>
  <c r="Q491" i="17"/>
  <c r="H491" i="17"/>
  <c r="G491" i="17"/>
  <c r="F491" i="17"/>
  <c r="E491" i="17"/>
  <c r="D491" i="17"/>
  <c r="C491" i="17"/>
  <c r="B491" i="17"/>
  <c r="AU490" i="17"/>
  <c r="AA490" i="17"/>
  <c r="S490" i="2" s="1"/>
  <c r="T490" i="2" s="1"/>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S487" i="2" s="1"/>
  <c r="T487" i="2" s="1"/>
  <c r="Q487" i="17"/>
  <c r="H487" i="17"/>
  <c r="G487" i="17"/>
  <c r="F487" i="17"/>
  <c r="E487" i="17"/>
  <c r="D487" i="17"/>
  <c r="C487" i="17"/>
  <c r="B487" i="17"/>
  <c r="AU486" i="17"/>
  <c r="AA486" i="17"/>
  <c r="S486" i="2" s="1"/>
  <c r="T486" i="2" s="1"/>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U483" i="17"/>
  <c r="AB483" i="17"/>
  <c r="AA483" i="17"/>
  <c r="S483" i="2" s="1"/>
  <c r="T483" i="2" s="1"/>
  <c r="Q483" i="17"/>
  <c r="H483" i="17"/>
  <c r="G483" i="17"/>
  <c r="F483" i="17"/>
  <c r="E483" i="17"/>
  <c r="D483" i="17"/>
  <c r="C483" i="17"/>
  <c r="B483" i="17"/>
  <c r="AU482" i="17"/>
  <c r="AA482" i="17"/>
  <c r="S482" i="2" s="1"/>
  <c r="T482" i="2" s="1"/>
  <c r="Q482" i="17"/>
  <c r="H482" i="17"/>
  <c r="G482" i="17"/>
  <c r="F482" i="17"/>
  <c r="E482" i="17"/>
  <c r="D482" i="17"/>
  <c r="C482" i="17"/>
  <c r="B482" i="17"/>
  <c r="AU481" i="17"/>
  <c r="AA481" i="17"/>
  <c r="S481" i="2" s="1"/>
  <c r="T481" i="2" s="1"/>
  <c r="Q481" i="17"/>
  <c r="H481" i="17"/>
  <c r="G481" i="17"/>
  <c r="F481" i="17"/>
  <c r="E481" i="17"/>
  <c r="D481" i="17"/>
  <c r="C481" i="17"/>
  <c r="B481" i="17"/>
  <c r="AU480" i="17"/>
  <c r="AA480" i="17"/>
  <c r="S480" i="2" s="1"/>
  <c r="T480" i="2" s="1"/>
  <c r="Q480" i="17"/>
  <c r="H480" i="17"/>
  <c r="G480" i="17"/>
  <c r="F480" i="17"/>
  <c r="E480" i="17"/>
  <c r="D480" i="17"/>
  <c r="C480" i="17"/>
  <c r="B480" i="17"/>
  <c r="AU479" i="17"/>
  <c r="AA479" i="17"/>
  <c r="S479" i="2" s="1"/>
  <c r="T479" i="2" s="1"/>
  <c r="Q479" i="17"/>
  <c r="H479" i="17"/>
  <c r="G479" i="17"/>
  <c r="F479" i="17"/>
  <c r="E479" i="17"/>
  <c r="D479" i="17"/>
  <c r="C479" i="17"/>
  <c r="B479" i="17"/>
  <c r="AU478" i="17"/>
  <c r="AA478" i="17"/>
  <c r="S478" i="2" s="1"/>
  <c r="T478" i="2" s="1"/>
  <c r="Q478" i="17"/>
  <c r="H478" i="17"/>
  <c r="G478" i="17"/>
  <c r="F478" i="17"/>
  <c r="E478" i="17"/>
  <c r="D478" i="17"/>
  <c r="C478" i="17"/>
  <c r="B478" i="17"/>
  <c r="AU477" i="17"/>
  <c r="AA477" i="17"/>
  <c r="S477" i="2" s="1"/>
  <c r="T477" i="2" s="1"/>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S474" i="2" s="1"/>
  <c r="T474" i="2" s="1"/>
  <c r="AW105" i="24" s="1"/>
  <c r="Q474" i="17"/>
  <c r="H474" i="17"/>
  <c r="G474" i="17"/>
  <c r="F474" i="17"/>
  <c r="E474" i="17"/>
  <c r="D474" i="17"/>
  <c r="C474" i="17"/>
  <c r="B474" i="17"/>
  <c r="AU473" i="17"/>
  <c r="AA473" i="17"/>
  <c r="S473" i="2" s="1"/>
  <c r="T473" i="2" s="1"/>
  <c r="Q473" i="17"/>
  <c r="H473" i="17"/>
  <c r="G473" i="17"/>
  <c r="F473" i="17"/>
  <c r="E473" i="17"/>
  <c r="D473" i="17"/>
  <c r="C473" i="17"/>
  <c r="B473" i="17"/>
  <c r="AU472" i="17"/>
  <c r="AA472" i="17"/>
  <c r="S472" i="2" s="1"/>
  <c r="T472" i="2" s="1"/>
  <c r="Q472" i="17"/>
  <c r="H472" i="17"/>
  <c r="G472" i="17"/>
  <c r="F472" i="17"/>
  <c r="E472" i="17"/>
  <c r="D472" i="17"/>
  <c r="C472" i="17"/>
  <c r="B472" i="17"/>
  <c r="AU471" i="17"/>
  <c r="AA471" i="17"/>
  <c r="S471" i="2" s="1"/>
  <c r="T471" i="2" s="1"/>
  <c r="Q471" i="17"/>
  <c r="H471" i="17"/>
  <c r="G471" i="17"/>
  <c r="F471" i="17"/>
  <c r="E471" i="17"/>
  <c r="D471" i="17"/>
  <c r="C471" i="17"/>
  <c r="B471" i="17"/>
  <c r="AU470" i="17"/>
  <c r="AA470" i="17"/>
  <c r="S470" i="2" s="1"/>
  <c r="T470" i="2" s="1"/>
  <c r="Q470" i="17"/>
  <c r="H470" i="17"/>
  <c r="G470" i="17"/>
  <c r="F470" i="17"/>
  <c r="E470" i="17"/>
  <c r="D470" i="17"/>
  <c r="C470" i="17"/>
  <c r="B470" i="17"/>
  <c r="AU469" i="17"/>
  <c r="AA469" i="17"/>
  <c r="S469" i="2" s="1"/>
  <c r="T469" i="2" s="1"/>
  <c r="Q469" i="17"/>
  <c r="H469" i="17"/>
  <c r="G469" i="17"/>
  <c r="F469" i="17"/>
  <c r="E469" i="17"/>
  <c r="D469" i="17"/>
  <c r="C469" i="17"/>
  <c r="B469" i="17"/>
  <c r="AU468" i="17"/>
  <c r="AA468" i="17"/>
  <c r="S468" i="2" s="1"/>
  <c r="T468" i="2" s="1"/>
  <c r="Q468" i="17"/>
  <c r="H468" i="17"/>
  <c r="G468" i="17"/>
  <c r="F468" i="17"/>
  <c r="E468" i="17"/>
  <c r="D468" i="17"/>
  <c r="C468" i="17"/>
  <c r="B468" i="17"/>
  <c r="AU467" i="17"/>
  <c r="AA467" i="17"/>
  <c r="S467" i="2" s="1"/>
  <c r="T467" i="2" s="1"/>
  <c r="Q467" i="17"/>
  <c r="H467" i="17"/>
  <c r="G467" i="17"/>
  <c r="F467" i="17"/>
  <c r="E467" i="17"/>
  <c r="D467" i="17"/>
  <c r="C467" i="17"/>
  <c r="B467" i="17"/>
  <c r="AU466" i="17"/>
  <c r="AA466" i="17"/>
  <c r="Q466" i="17"/>
  <c r="H466" i="17"/>
  <c r="G466" i="17"/>
  <c r="F466" i="17"/>
  <c r="E466" i="17"/>
  <c r="D466" i="17"/>
  <c r="C466" i="17"/>
  <c r="B466" i="17"/>
  <c r="AU465" i="17"/>
  <c r="AA465" i="17"/>
  <c r="S465" i="2" s="1"/>
  <c r="T465" i="2" s="1"/>
  <c r="Q465" i="17"/>
  <c r="H465" i="17"/>
  <c r="G465" i="17"/>
  <c r="F465" i="17"/>
  <c r="E465" i="17"/>
  <c r="D465" i="17"/>
  <c r="C465" i="17"/>
  <c r="B465" i="17"/>
  <c r="AU464" i="17"/>
  <c r="AA464" i="17"/>
  <c r="S464" i="2" s="1"/>
  <c r="T464" i="2" s="1"/>
  <c r="Q464" i="17"/>
  <c r="H464" i="17"/>
  <c r="G464" i="17"/>
  <c r="F464" i="17"/>
  <c r="E464" i="17"/>
  <c r="D464" i="17"/>
  <c r="C464" i="17"/>
  <c r="B464" i="17"/>
  <c r="AU463" i="17"/>
  <c r="AA463" i="17"/>
  <c r="S463" i="2" s="1"/>
  <c r="T463" i="2" s="1"/>
  <c r="Q463" i="17"/>
  <c r="H463" i="17"/>
  <c r="G463" i="17"/>
  <c r="F463" i="17"/>
  <c r="E463" i="17"/>
  <c r="D463" i="17"/>
  <c r="C463" i="17"/>
  <c r="B463" i="17"/>
  <c r="AU462" i="17"/>
  <c r="AA462" i="17"/>
  <c r="S462" i="2" s="1"/>
  <c r="T462" i="2" s="1"/>
  <c r="Q462" i="17"/>
  <c r="H462" i="17"/>
  <c r="G462" i="17"/>
  <c r="F462" i="17"/>
  <c r="E462" i="17"/>
  <c r="D462" i="17"/>
  <c r="C462" i="17"/>
  <c r="B462" i="17"/>
  <c r="AU461" i="17"/>
  <c r="AA461" i="17"/>
  <c r="Q461" i="17"/>
  <c r="H461" i="17"/>
  <c r="G461" i="17"/>
  <c r="F461" i="17"/>
  <c r="E461" i="17"/>
  <c r="D461" i="17"/>
  <c r="C461" i="17"/>
  <c r="B461" i="17"/>
  <c r="AU460" i="17"/>
  <c r="AA460" i="17"/>
  <c r="S460" i="2" s="1"/>
  <c r="T460" i="2" s="1"/>
  <c r="Q460" i="17"/>
  <c r="H460" i="17"/>
  <c r="G460" i="17"/>
  <c r="F460" i="17"/>
  <c r="E460" i="17"/>
  <c r="D460" i="17"/>
  <c r="C460" i="17"/>
  <c r="B460" i="17"/>
  <c r="AU459" i="17"/>
  <c r="AA459" i="17"/>
  <c r="S459" i="2" s="1"/>
  <c r="T459" i="2" s="1"/>
  <c r="Q459" i="17"/>
  <c r="H459" i="17"/>
  <c r="G459" i="17"/>
  <c r="F459" i="17"/>
  <c r="E459" i="17"/>
  <c r="D459" i="17"/>
  <c r="C459" i="17"/>
  <c r="B459" i="17"/>
  <c r="AU458" i="17"/>
  <c r="AA458" i="17"/>
  <c r="S458" i="2" s="1"/>
  <c r="T458" i="2" s="1"/>
  <c r="Q458" i="17"/>
  <c r="H458" i="17"/>
  <c r="G458" i="17"/>
  <c r="F458" i="17"/>
  <c r="E458" i="17"/>
  <c r="D458" i="17"/>
  <c r="C458" i="17"/>
  <c r="B458" i="17"/>
  <c r="AU457" i="17"/>
  <c r="AA457" i="17"/>
  <c r="S457" i="2" s="1"/>
  <c r="T457" i="2" s="1"/>
  <c r="Q457" i="17"/>
  <c r="H457" i="17"/>
  <c r="G457" i="17"/>
  <c r="F457" i="17"/>
  <c r="E457" i="17"/>
  <c r="D457" i="17"/>
  <c r="C457" i="17"/>
  <c r="B457" i="17"/>
  <c r="AU456" i="17"/>
  <c r="AA456" i="17"/>
  <c r="S456" i="2" s="1"/>
  <c r="T456" i="2" s="1"/>
  <c r="Q456" i="17"/>
  <c r="H456" i="17"/>
  <c r="G456" i="17"/>
  <c r="F456" i="17"/>
  <c r="E456" i="17"/>
  <c r="D456" i="17"/>
  <c r="C456" i="17"/>
  <c r="B456" i="17"/>
  <c r="AU455" i="17"/>
  <c r="AA455" i="17"/>
  <c r="S455" i="2" s="1"/>
  <c r="T455" i="2" s="1"/>
  <c r="Q455" i="17"/>
  <c r="H455" i="17"/>
  <c r="G455" i="17"/>
  <c r="F455" i="17"/>
  <c r="E455" i="17"/>
  <c r="D455" i="17"/>
  <c r="C455" i="17"/>
  <c r="B455" i="17"/>
  <c r="AU454" i="17"/>
  <c r="AA454" i="17"/>
  <c r="S454" i="2" s="1"/>
  <c r="T454" i="2" s="1"/>
  <c r="Q454" i="17"/>
  <c r="H454" i="17"/>
  <c r="G454" i="17"/>
  <c r="F454" i="17"/>
  <c r="E454" i="17"/>
  <c r="D454" i="17"/>
  <c r="C454" i="17"/>
  <c r="B454" i="17"/>
  <c r="AU453" i="17"/>
  <c r="AA453" i="17"/>
  <c r="S453" i="2" s="1"/>
  <c r="T453" i="2" s="1"/>
  <c r="Q453" i="17"/>
  <c r="H453" i="17"/>
  <c r="G453" i="17"/>
  <c r="F453" i="17"/>
  <c r="E453" i="17"/>
  <c r="D453" i="17"/>
  <c r="C453" i="17"/>
  <c r="B453" i="17"/>
  <c r="AU452" i="17"/>
  <c r="AA452" i="17"/>
  <c r="Q452" i="17"/>
  <c r="H452" i="17"/>
  <c r="G452" i="17"/>
  <c r="F452" i="17"/>
  <c r="E452" i="17"/>
  <c r="D452" i="17"/>
  <c r="C452" i="17"/>
  <c r="B452" i="17"/>
  <c r="AU451" i="17"/>
  <c r="AA451" i="17"/>
  <c r="S451" i="2" s="1"/>
  <c r="T451" i="2" s="1"/>
  <c r="Q451" i="17"/>
  <c r="H451" i="17"/>
  <c r="G451" i="17"/>
  <c r="F451" i="17"/>
  <c r="E451" i="17"/>
  <c r="D451" i="17"/>
  <c r="C451" i="17"/>
  <c r="B451" i="17"/>
  <c r="AU450" i="17"/>
  <c r="AA450" i="17"/>
  <c r="S450" i="2" s="1"/>
  <c r="T450" i="2" s="1"/>
  <c r="Q450" i="17"/>
  <c r="H450" i="17"/>
  <c r="G450" i="17"/>
  <c r="F450" i="17"/>
  <c r="E450" i="17"/>
  <c r="D450" i="17"/>
  <c r="C450" i="17"/>
  <c r="B450" i="17"/>
  <c r="AU449" i="17"/>
  <c r="AA449" i="17"/>
  <c r="Q449" i="17"/>
  <c r="H449" i="17"/>
  <c r="G449" i="17"/>
  <c r="F449" i="17"/>
  <c r="E449" i="17"/>
  <c r="D449" i="17"/>
  <c r="C449" i="17"/>
  <c r="B449" i="17"/>
  <c r="AU448" i="17"/>
  <c r="AA448" i="17"/>
  <c r="S448" i="2" s="1"/>
  <c r="T448" i="2" s="1"/>
  <c r="Q448" i="17"/>
  <c r="H448" i="17"/>
  <c r="G448" i="17"/>
  <c r="F448" i="17"/>
  <c r="E448" i="17"/>
  <c r="D448" i="17"/>
  <c r="C448" i="17"/>
  <c r="B448" i="17"/>
  <c r="AU447" i="17"/>
  <c r="AA447" i="17"/>
  <c r="S447" i="2" s="1"/>
  <c r="T447" i="2" s="1"/>
  <c r="Q447" i="17"/>
  <c r="H447" i="17"/>
  <c r="G447" i="17"/>
  <c r="F447" i="17"/>
  <c r="E447" i="17"/>
  <c r="D447" i="17"/>
  <c r="C447" i="17"/>
  <c r="B447" i="17"/>
  <c r="AU446" i="17"/>
  <c r="AA446" i="17"/>
  <c r="S446" i="2" s="1"/>
  <c r="T446" i="2" s="1"/>
  <c r="Q446" i="17"/>
  <c r="H446" i="17"/>
  <c r="G446" i="17"/>
  <c r="F446" i="17"/>
  <c r="E446" i="17"/>
  <c r="D446" i="17"/>
  <c r="C446" i="17"/>
  <c r="B446" i="17"/>
  <c r="AU445" i="17"/>
  <c r="AA445" i="17"/>
  <c r="S445" i="2" s="1"/>
  <c r="T445" i="2" s="1"/>
  <c r="Q445" i="17"/>
  <c r="H445" i="17"/>
  <c r="G445" i="17"/>
  <c r="F445" i="17"/>
  <c r="E445" i="17"/>
  <c r="D445" i="17"/>
  <c r="C445" i="17"/>
  <c r="B445" i="17"/>
  <c r="AU444" i="17"/>
  <c r="AA444" i="17"/>
  <c r="S444" i="2" s="1"/>
  <c r="T444" i="2" s="1"/>
  <c r="Q444" i="17"/>
  <c r="H444" i="17"/>
  <c r="G444" i="17"/>
  <c r="F444" i="17"/>
  <c r="E444" i="17"/>
  <c r="D444" i="17"/>
  <c r="C444" i="17"/>
  <c r="B444" i="17"/>
  <c r="AU443" i="17"/>
  <c r="AA443" i="17"/>
  <c r="S443" i="2" s="1"/>
  <c r="T443" i="2" s="1"/>
  <c r="Q443" i="17"/>
  <c r="H443" i="17"/>
  <c r="G443" i="17"/>
  <c r="F443" i="17"/>
  <c r="E443" i="17"/>
  <c r="D443" i="17"/>
  <c r="C443" i="17"/>
  <c r="B443" i="17"/>
  <c r="AU442" i="17"/>
  <c r="AA442" i="17"/>
  <c r="S442" i="2" s="1"/>
  <c r="T442" i="2" s="1"/>
  <c r="Q442" i="17"/>
  <c r="H442" i="17"/>
  <c r="G442" i="17"/>
  <c r="F442" i="17"/>
  <c r="E442" i="17"/>
  <c r="D442" i="17"/>
  <c r="C442" i="17"/>
  <c r="B442" i="17"/>
  <c r="AU441" i="17"/>
  <c r="AA441" i="17"/>
  <c r="S441" i="2" s="1"/>
  <c r="T441" i="2" s="1"/>
  <c r="Q441" i="17"/>
  <c r="H441" i="17"/>
  <c r="G441" i="17"/>
  <c r="F441" i="17"/>
  <c r="E441" i="17"/>
  <c r="D441" i="17"/>
  <c r="C441" i="17"/>
  <c r="B441" i="17"/>
  <c r="AU440" i="17"/>
  <c r="AA440" i="17"/>
  <c r="Q440" i="17"/>
  <c r="H440" i="17"/>
  <c r="G440" i="17"/>
  <c r="F440" i="17"/>
  <c r="E440" i="17"/>
  <c r="D440" i="17"/>
  <c r="C440" i="17"/>
  <c r="B440" i="17"/>
  <c r="AU439" i="17"/>
  <c r="AA439" i="17"/>
  <c r="S439" i="2" s="1"/>
  <c r="T439" i="2" s="1"/>
  <c r="Q439" i="17"/>
  <c r="H439" i="17"/>
  <c r="G439" i="17"/>
  <c r="F439" i="17"/>
  <c r="E439" i="17"/>
  <c r="D439" i="17"/>
  <c r="C439" i="17"/>
  <c r="B439" i="17"/>
  <c r="AU438" i="17"/>
  <c r="AA438" i="17"/>
  <c r="S438" i="2" s="1"/>
  <c r="T438" i="2" s="1"/>
  <c r="Q438" i="17"/>
  <c r="H438" i="17"/>
  <c r="G438" i="17"/>
  <c r="F438" i="17"/>
  <c r="E438" i="17"/>
  <c r="D438" i="17"/>
  <c r="C438" i="17"/>
  <c r="B438" i="17"/>
  <c r="AU437" i="17"/>
  <c r="AA437" i="17"/>
  <c r="S437" i="2" s="1"/>
  <c r="T437" i="2" s="1"/>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S433" i="2" s="1"/>
  <c r="T433" i="2" s="1"/>
  <c r="Q433" i="17"/>
  <c r="H433" i="17"/>
  <c r="G433" i="17"/>
  <c r="F433" i="17"/>
  <c r="E433" i="17"/>
  <c r="D433" i="17"/>
  <c r="C433" i="17"/>
  <c r="B433" i="17"/>
  <c r="AU432" i="17"/>
  <c r="AA432" i="17"/>
  <c r="S432" i="2" s="1"/>
  <c r="T432" i="2" s="1"/>
  <c r="Q432" i="17"/>
  <c r="H432" i="17"/>
  <c r="G432" i="17"/>
  <c r="F432" i="17"/>
  <c r="E432" i="17"/>
  <c r="D432" i="17"/>
  <c r="C432" i="17"/>
  <c r="B432" i="17"/>
  <c r="AU431" i="17"/>
  <c r="AA431" i="17"/>
  <c r="S431" i="2" s="1"/>
  <c r="T431" i="2" s="1"/>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S428" i="2" s="1"/>
  <c r="T428" i="2" s="1"/>
  <c r="Q428" i="17"/>
  <c r="H428" i="17"/>
  <c r="G428" i="17"/>
  <c r="F428" i="17"/>
  <c r="E428" i="17"/>
  <c r="D428" i="17"/>
  <c r="C428" i="17"/>
  <c r="B428" i="17"/>
  <c r="AU427" i="17"/>
  <c r="AA427" i="17"/>
  <c r="S427" i="2" s="1"/>
  <c r="T427" i="2" s="1"/>
  <c r="Q427" i="17"/>
  <c r="H427" i="17"/>
  <c r="G427" i="17"/>
  <c r="F427" i="17"/>
  <c r="E427" i="17"/>
  <c r="D427" i="17"/>
  <c r="C427" i="17"/>
  <c r="B427" i="17"/>
  <c r="AU426" i="17"/>
  <c r="AA426" i="17"/>
  <c r="S426" i="2" s="1"/>
  <c r="T426" i="2" s="1"/>
  <c r="Q426" i="17"/>
  <c r="H426" i="17"/>
  <c r="G426" i="17"/>
  <c r="F426" i="17"/>
  <c r="E426" i="17"/>
  <c r="D426" i="17"/>
  <c r="C426" i="17"/>
  <c r="B426" i="17"/>
  <c r="AU425" i="17"/>
  <c r="AA425" i="17"/>
  <c r="Q425" i="17"/>
  <c r="H425" i="17"/>
  <c r="G425" i="17"/>
  <c r="F425" i="17"/>
  <c r="E425" i="17"/>
  <c r="D425" i="17"/>
  <c r="C425" i="17"/>
  <c r="B425" i="17"/>
  <c r="AU424" i="17"/>
  <c r="AA424" i="17"/>
  <c r="S424" i="2" s="1"/>
  <c r="T424" i="2" s="1"/>
  <c r="Q424" i="17"/>
  <c r="H424" i="17"/>
  <c r="G424" i="17"/>
  <c r="F424" i="17"/>
  <c r="E424" i="17"/>
  <c r="D424" i="17"/>
  <c r="C424" i="17"/>
  <c r="B424" i="17"/>
  <c r="AU423" i="17"/>
  <c r="AA423" i="17"/>
  <c r="S423" i="2" s="1"/>
  <c r="T423" i="2" s="1"/>
  <c r="Q423" i="17"/>
  <c r="H423" i="17"/>
  <c r="G423" i="17"/>
  <c r="F423" i="17"/>
  <c r="E423" i="17"/>
  <c r="D423" i="17"/>
  <c r="C423" i="17"/>
  <c r="B423" i="17"/>
  <c r="AU422" i="17"/>
  <c r="AA422" i="17"/>
  <c r="S422" i="2" s="1"/>
  <c r="T422" i="2" s="1"/>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S418" i="2" s="1"/>
  <c r="T418" i="2" s="1"/>
  <c r="Q418" i="17"/>
  <c r="H418" i="17"/>
  <c r="G418" i="17"/>
  <c r="F418" i="17"/>
  <c r="E418" i="17"/>
  <c r="D418" i="17"/>
  <c r="C418" i="17"/>
  <c r="B418" i="17"/>
  <c r="AU417" i="17"/>
  <c r="AA417" i="17"/>
  <c r="S417" i="2" s="1"/>
  <c r="T417" i="2" s="1"/>
  <c r="Q417" i="17"/>
  <c r="H417" i="17"/>
  <c r="G417" i="17"/>
  <c r="F417" i="17"/>
  <c r="E417" i="17"/>
  <c r="D417" i="17"/>
  <c r="C417" i="17"/>
  <c r="B417" i="17"/>
  <c r="AU416" i="17"/>
  <c r="AA416" i="17"/>
  <c r="S416" i="2" s="1"/>
  <c r="T416" i="2" s="1"/>
  <c r="Q416" i="17"/>
  <c r="H416" i="17"/>
  <c r="G416" i="17"/>
  <c r="F416" i="17"/>
  <c r="E416" i="17"/>
  <c r="D416" i="17"/>
  <c r="C416" i="17"/>
  <c r="B416" i="17"/>
  <c r="AU415" i="17"/>
  <c r="AA415" i="17"/>
  <c r="Q415" i="17"/>
  <c r="H415" i="17"/>
  <c r="G415" i="17"/>
  <c r="F415" i="17"/>
  <c r="E415" i="17"/>
  <c r="D415" i="17"/>
  <c r="C415" i="17"/>
  <c r="B415" i="17"/>
  <c r="AU414" i="17"/>
  <c r="AA414" i="17"/>
  <c r="S414" i="2" s="1"/>
  <c r="T414" i="2" s="1"/>
  <c r="Q414" i="17"/>
  <c r="H414" i="17"/>
  <c r="G414" i="17"/>
  <c r="F414" i="17"/>
  <c r="E414" i="17"/>
  <c r="D414" i="17"/>
  <c r="C414" i="17"/>
  <c r="B414" i="17"/>
  <c r="AU413" i="17"/>
  <c r="AA413" i="17"/>
  <c r="S413" i="2" s="1"/>
  <c r="T413" i="2" s="1"/>
  <c r="Q413" i="17"/>
  <c r="H413" i="17"/>
  <c r="G413" i="17"/>
  <c r="F413" i="17"/>
  <c r="E413" i="17"/>
  <c r="D413" i="17"/>
  <c r="C413" i="17"/>
  <c r="B413" i="17"/>
  <c r="AU412" i="17"/>
  <c r="AA412" i="17"/>
  <c r="S412" i="2" s="1"/>
  <c r="T412" i="2" s="1"/>
  <c r="Q412" i="17"/>
  <c r="H412" i="17"/>
  <c r="G412" i="17"/>
  <c r="F412" i="17"/>
  <c r="E412" i="17"/>
  <c r="D412" i="17"/>
  <c r="C412" i="17"/>
  <c r="B412" i="17"/>
  <c r="AU411" i="17"/>
  <c r="AA411" i="17"/>
  <c r="S411" i="2" s="1"/>
  <c r="T411" i="2" s="1"/>
  <c r="Q411" i="17"/>
  <c r="H411" i="17"/>
  <c r="G411" i="17"/>
  <c r="F411" i="17"/>
  <c r="E411" i="17"/>
  <c r="D411" i="17"/>
  <c r="C411" i="17"/>
  <c r="B411" i="17"/>
  <c r="AU410" i="17"/>
  <c r="AA410" i="17"/>
  <c r="S410" i="2" s="1"/>
  <c r="T410" i="2" s="1"/>
  <c r="AQ410" i="2" s="1"/>
  <c r="Q410" i="17"/>
  <c r="H410" i="17"/>
  <c r="G410" i="17"/>
  <c r="F410" i="17"/>
  <c r="E410" i="17"/>
  <c r="D410" i="17"/>
  <c r="C410" i="17"/>
  <c r="B410" i="17"/>
  <c r="AU409" i="17"/>
  <c r="AA409" i="17"/>
  <c r="S409" i="2" s="1"/>
  <c r="T409" i="2" s="1"/>
  <c r="AQ409" i="2" s="1"/>
  <c r="Q409" i="17"/>
  <c r="H409" i="17"/>
  <c r="G409" i="17"/>
  <c r="F409" i="17"/>
  <c r="E409" i="17"/>
  <c r="D409" i="17"/>
  <c r="C409" i="17"/>
  <c r="B409" i="17"/>
  <c r="AU408" i="17"/>
  <c r="AA408" i="17"/>
  <c r="S408" i="2" s="1"/>
  <c r="T408" i="2" s="1"/>
  <c r="Q408" i="17"/>
  <c r="H408" i="17"/>
  <c r="G408" i="17"/>
  <c r="F408" i="17"/>
  <c r="E408" i="17"/>
  <c r="D408" i="17"/>
  <c r="C408" i="17"/>
  <c r="B408" i="17"/>
  <c r="AU407" i="17"/>
  <c r="AA407" i="17"/>
  <c r="S407" i="2" s="1"/>
  <c r="T407" i="2" s="1"/>
  <c r="Q407" i="17"/>
  <c r="H407" i="17"/>
  <c r="G407" i="17"/>
  <c r="F407" i="17"/>
  <c r="E407" i="17"/>
  <c r="D407" i="17"/>
  <c r="C407" i="17"/>
  <c r="B407" i="17"/>
  <c r="AU406" i="17"/>
  <c r="AA406" i="17"/>
  <c r="S406" i="2" s="1"/>
  <c r="T406" i="2" s="1"/>
  <c r="Q406" i="17"/>
  <c r="H406" i="17"/>
  <c r="G406" i="17"/>
  <c r="F406" i="17"/>
  <c r="E406" i="17"/>
  <c r="D406" i="17"/>
  <c r="C406" i="17"/>
  <c r="B406" i="17"/>
  <c r="AU405" i="17"/>
  <c r="AA405" i="17"/>
  <c r="S405" i="2" s="1"/>
  <c r="T405" i="2" s="1"/>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S401" i="2" s="1"/>
  <c r="T401" i="2" s="1"/>
  <c r="AQ401" i="2" s="1"/>
  <c r="Q401" i="17"/>
  <c r="H401" i="17"/>
  <c r="G401" i="17"/>
  <c r="F401" i="17"/>
  <c r="E401" i="17"/>
  <c r="D401" i="17"/>
  <c r="C401" i="17"/>
  <c r="B401" i="17"/>
  <c r="AU400" i="17"/>
  <c r="AA400" i="17"/>
  <c r="S400" i="2" s="1"/>
  <c r="T400" i="2" s="1"/>
  <c r="AQ400" i="2" s="1"/>
  <c r="Q400" i="17"/>
  <c r="H400" i="17"/>
  <c r="G400" i="17"/>
  <c r="F400" i="17"/>
  <c r="E400" i="17"/>
  <c r="D400" i="17"/>
  <c r="C400" i="17"/>
  <c r="B400" i="17"/>
  <c r="AU399" i="17"/>
  <c r="AA399" i="17"/>
  <c r="S399" i="2" s="1"/>
  <c r="T399" i="2" s="1"/>
  <c r="AQ399" i="2" s="1"/>
  <c r="Q399" i="17"/>
  <c r="H399" i="17"/>
  <c r="G399" i="17"/>
  <c r="F399" i="17"/>
  <c r="E399" i="17"/>
  <c r="D399" i="17"/>
  <c r="C399" i="17"/>
  <c r="B399" i="17"/>
  <c r="AU398" i="17"/>
  <c r="AA398" i="17"/>
  <c r="S398" i="2" s="1"/>
  <c r="T398" i="2" s="1"/>
  <c r="AQ398" i="2" s="1"/>
  <c r="Q398" i="17"/>
  <c r="H398" i="17"/>
  <c r="G398" i="17"/>
  <c r="F398" i="17"/>
  <c r="E398" i="17"/>
  <c r="D398" i="17"/>
  <c r="C398" i="17"/>
  <c r="B398" i="17"/>
  <c r="AU397" i="17"/>
  <c r="AA397" i="17"/>
  <c r="Q397" i="17"/>
  <c r="H397" i="17"/>
  <c r="G397" i="17"/>
  <c r="F397" i="17"/>
  <c r="E397" i="17"/>
  <c r="D397" i="17"/>
  <c r="C397" i="17"/>
  <c r="B397" i="17"/>
  <c r="AU396" i="17"/>
  <c r="AA396" i="17"/>
  <c r="S396" i="2" s="1"/>
  <c r="T396" i="2" s="1"/>
  <c r="AQ396" i="2" s="1"/>
  <c r="Q396" i="17"/>
  <c r="H396" i="17"/>
  <c r="G396" i="17"/>
  <c r="F396" i="17"/>
  <c r="E396" i="17"/>
  <c r="D396" i="17"/>
  <c r="C396" i="17"/>
  <c r="B396" i="17"/>
  <c r="AU395" i="17"/>
  <c r="AA395" i="17"/>
  <c r="S395" i="2" s="1"/>
  <c r="T395" i="2" s="1"/>
  <c r="AQ395" i="2" s="1"/>
  <c r="Q395" i="17"/>
  <c r="H395" i="17"/>
  <c r="G395" i="17"/>
  <c r="F395" i="17"/>
  <c r="E395" i="17"/>
  <c r="D395" i="17"/>
  <c r="C395" i="17"/>
  <c r="B395" i="17"/>
  <c r="AU394" i="17"/>
  <c r="AA394" i="17"/>
  <c r="S394" i="2" s="1"/>
  <c r="T394" i="2" s="1"/>
  <c r="AQ394" i="2" s="1"/>
  <c r="Q394" i="17"/>
  <c r="H394" i="17"/>
  <c r="G394" i="17"/>
  <c r="F394" i="17"/>
  <c r="E394" i="17"/>
  <c r="D394" i="17"/>
  <c r="C394" i="17"/>
  <c r="B394" i="17"/>
  <c r="AU393" i="17"/>
  <c r="AA393" i="17"/>
  <c r="S393" i="2" s="1"/>
  <c r="T393" i="2" s="1"/>
  <c r="AQ393" i="2" s="1"/>
  <c r="Q393" i="17"/>
  <c r="H393" i="17"/>
  <c r="G393" i="17"/>
  <c r="F393" i="17"/>
  <c r="E393" i="17"/>
  <c r="D393" i="17"/>
  <c r="C393" i="17"/>
  <c r="B393" i="17"/>
  <c r="AU392" i="17"/>
  <c r="AA392" i="17"/>
  <c r="S392" i="2" s="1"/>
  <c r="T392" i="2" s="1"/>
  <c r="AQ392" i="2" s="1"/>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S389" i="2" s="1"/>
  <c r="T389" i="2" s="1"/>
  <c r="AQ389" i="2" s="1"/>
  <c r="Q389" i="17"/>
  <c r="H389" i="17"/>
  <c r="G389" i="17"/>
  <c r="F389" i="17"/>
  <c r="E389" i="17"/>
  <c r="D389" i="17"/>
  <c r="C389" i="17"/>
  <c r="B389" i="17"/>
  <c r="AU388" i="17"/>
  <c r="AA388" i="17"/>
  <c r="S388" i="2" s="1"/>
  <c r="T388" i="2" s="1"/>
  <c r="AQ388" i="2" s="1"/>
  <c r="Q388" i="17"/>
  <c r="H388" i="17"/>
  <c r="G388" i="17"/>
  <c r="F388" i="17"/>
  <c r="E388" i="17"/>
  <c r="D388" i="17"/>
  <c r="C388" i="17"/>
  <c r="B388" i="17"/>
  <c r="AU387" i="17"/>
  <c r="AA387" i="17"/>
  <c r="S387" i="2" s="1"/>
  <c r="T387" i="2" s="1"/>
  <c r="AQ387" i="2" s="1"/>
  <c r="Q387" i="17"/>
  <c r="H387" i="17"/>
  <c r="G387" i="17"/>
  <c r="F387" i="17"/>
  <c r="E387" i="17"/>
  <c r="D387" i="17"/>
  <c r="C387" i="17"/>
  <c r="B387" i="17"/>
  <c r="AU386" i="17"/>
  <c r="AA386" i="17"/>
  <c r="S386" i="2" s="1"/>
  <c r="AV66" i="24" s="1"/>
  <c r="Q386" i="17"/>
  <c r="H386" i="17"/>
  <c r="G386" i="17"/>
  <c r="F386" i="17"/>
  <c r="E386" i="17"/>
  <c r="D386" i="17"/>
  <c r="C386" i="17"/>
  <c r="B386" i="17"/>
  <c r="AU385" i="17"/>
  <c r="AA385" i="17"/>
  <c r="S385" i="2" s="1"/>
  <c r="T385" i="2" s="1"/>
  <c r="AQ385" i="2" s="1"/>
  <c r="Q385" i="17"/>
  <c r="H385" i="17"/>
  <c r="G385" i="17"/>
  <c r="F385" i="17"/>
  <c r="E385" i="17"/>
  <c r="D385" i="17"/>
  <c r="C385" i="17"/>
  <c r="B385" i="17"/>
  <c r="AU384" i="17"/>
  <c r="AA384" i="17"/>
  <c r="S384" i="2" s="1"/>
  <c r="T384" i="2" s="1"/>
  <c r="AQ384" i="2" s="1"/>
  <c r="Q384" i="17"/>
  <c r="H384" i="17"/>
  <c r="G384" i="17"/>
  <c r="F384" i="17"/>
  <c r="E384" i="17"/>
  <c r="D384" i="17"/>
  <c r="C384" i="17"/>
  <c r="B384" i="17"/>
  <c r="AU383" i="17"/>
  <c r="AA383" i="17"/>
  <c r="S383" i="2" s="1"/>
  <c r="T383" i="2" s="1"/>
  <c r="AQ383" i="2" s="1"/>
  <c r="Q383" i="17"/>
  <c r="H383" i="17"/>
  <c r="G383" i="17"/>
  <c r="F383" i="17"/>
  <c r="E383" i="17"/>
  <c r="D383" i="17"/>
  <c r="C383" i="17"/>
  <c r="B383" i="17"/>
  <c r="AU382" i="17"/>
  <c r="AA382" i="17"/>
  <c r="S382" i="2" s="1"/>
  <c r="T382" i="2" s="1"/>
  <c r="AQ382" i="2" s="1"/>
  <c r="Q382" i="17"/>
  <c r="H382" i="17"/>
  <c r="G382" i="17"/>
  <c r="F382" i="17"/>
  <c r="E382" i="17"/>
  <c r="D382" i="17"/>
  <c r="C382" i="17"/>
  <c r="B382" i="17"/>
  <c r="AU381" i="17"/>
  <c r="Q381" i="17"/>
  <c r="H381" i="17"/>
  <c r="G381" i="17"/>
  <c r="F381" i="17"/>
  <c r="E381" i="17"/>
  <c r="D381" i="17"/>
  <c r="C381" i="17"/>
  <c r="B381" i="17"/>
  <c r="AU380" i="17"/>
  <c r="AA380" i="17"/>
  <c r="S380" i="2" s="1"/>
  <c r="T380" i="2" s="1"/>
  <c r="AQ380" i="2" s="1"/>
  <c r="Q380" i="17"/>
  <c r="H380" i="17"/>
  <c r="G380" i="17"/>
  <c r="F380" i="17"/>
  <c r="E380" i="17"/>
  <c r="D380" i="17"/>
  <c r="C380" i="17"/>
  <c r="B380" i="17"/>
  <c r="AU379" i="17"/>
  <c r="AA379" i="17"/>
  <c r="S379" i="2" s="1"/>
  <c r="T379" i="2" s="1"/>
  <c r="AQ379" i="2" s="1"/>
  <c r="Q379" i="17"/>
  <c r="H379" i="17"/>
  <c r="G379" i="17"/>
  <c r="F379" i="17"/>
  <c r="E379" i="17"/>
  <c r="D379" i="17"/>
  <c r="C379" i="17"/>
  <c r="B379" i="17"/>
  <c r="AU378" i="17"/>
  <c r="AA378" i="17"/>
  <c r="Q378" i="17"/>
  <c r="H378" i="17"/>
  <c r="G378" i="17"/>
  <c r="F378" i="17"/>
  <c r="E378" i="17"/>
  <c r="D378" i="17"/>
  <c r="C378" i="17"/>
  <c r="B378" i="17"/>
  <c r="AU377" i="17"/>
  <c r="AA377" i="17"/>
  <c r="S377" i="2" s="1"/>
  <c r="T377" i="2" s="1"/>
  <c r="AQ377" i="2" s="1"/>
  <c r="Q377" i="17"/>
  <c r="H377" i="17"/>
  <c r="G377" i="17"/>
  <c r="F377" i="17"/>
  <c r="E377" i="17"/>
  <c r="D377" i="17"/>
  <c r="C377" i="17"/>
  <c r="B377" i="17"/>
  <c r="AU376" i="17"/>
  <c r="AA376" i="17"/>
  <c r="S376" i="2" s="1"/>
  <c r="T376" i="2" s="1"/>
  <c r="AQ376" i="2" s="1"/>
  <c r="Q376" i="17"/>
  <c r="H376" i="17"/>
  <c r="G376" i="17"/>
  <c r="F376" i="17"/>
  <c r="E376" i="17"/>
  <c r="D376" i="17"/>
  <c r="C376" i="17"/>
  <c r="B376" i="17"/>
  <c r="AU375" i="17"/>
  <c r="AA375" i="17"/>
  <c r="Q375" i="17"/>
  <c r="H375" i="17"/>
  <c r="G375" i="17"/>
  <c r="F375" i="17"/>
  <c r="E375" i="17"/>
  <c r="D375" i="17"/>
  <c r="C375" i="17"/>
  <c r="B375" i="17"/>
  <c r="AU374" i="17"/>
  <c r="AA374" i="17"/>
  <c r="S374" i="2" s="1"/>
  <c r="T374" i="2" s="1"/>
  <c r="AQ374" i="2" s="1"/>
  <c r="Q374" i="17"/>
  <c r="H374" i="17"/>
  <c r="G374" i="17"/>
  <c r="F374" i="17"/>
  <c r="E374" i="17"/>
  <c r="D374" i="17"/>
  <c r="C374" i="17"/>
  <c r="B374" i="17"/>
  <c r="AU373" i="17"/>
  <c r="AA373" i="17"/>
  <c r="S373" i="2" s="1"/>
  <c r="T373" i="2" s="1"/>
  <c r="Q373" i="17"/>
  <c r="H373" i="17"/>
  <c r="G373" i="17"/>
  <c r="F373" i="17"/>
  <c r="E373" i="17"/>
  <c r="D373" i="17"/>
  <c r="C373" i="17"/>
  <c r="B373" i="17"/>
  <c r="AU372" i="17"/>
  <c r="AA372" i="17"/>
  <c r="S372" i="2" s="1"/>
  <c r="T372" i="2" s="1"/>
  <c r="AQ372" i="2" s="1"/>
  <c r="Q372" i="17"/>
  <c r="H372" i="17"/>
  <c r="G372" i="17"/>
  <c r="F372" i="17"/>
  <c r="E372" i="17"/>
  <c r="D372" i="17"/>
  <c r="C372" i="17"/>
  <c r="B372" i="17"/>
  <c r="AU371" i="17"/>
  <c r="AA371" i="17"/>
  <c r="S371" i="2" s="1"/>
  <c r="T371" i="2" s="1"/>
  <c r="AQ371" i="2" s="1"/>
  <c r="Q371" i="17"/>
  <c r="H371" i="17"/>
  <c r="G371" i="17"/>
  <c r="F371" i="17"/>
  <c r="E371" i="17"/>
  <c r="D371" i="17"/>
  <c r="C371" i="17"/>
  <c r="B371" i="17"/>
  <c r="AU370" i="17"/>
  <c r="AA370" i="17"/>
  <c r="S370" i="2" s="1"/>
  <c r="T370" i="2" s="1"/>
  <c r="AQ370" i="2" s="1"/>
  <c r="Q370" i="17"/>
  <c r="H370" i="17"/>
  <c r="G370" i="17"/>
  <c r="F370" i="17"/>
  <c r="E370" i="17"/>
  <c r="D370" i="17"/>
  <c r="C370" i="17"/>
  <c r="B370" i="17"/>
  <c r="AU369" i="17"/>
  <c r="AA369" i="17"/>
  <c r="Q369" i="17"/>
  <c r="H369" i="17"/>
  <c r="G369" i="17"/>
  <c r="F369" i="17"/>
  <c r="E369" i="17"/>
  <c r="D369" i="17"/>
  <c r="C369" i="17"/>
  <c r="B369" i="17"/>
  <c r="AU368" i="17"/>
  <c r="AA368" i="17"/>
  <c r="S368" i="2" s="1"/>
  <c r="Q368" i="17"/>
  <c r="H368" i="17"/>
  <c r="G368" i="17"/>
  <c r="F368" i="17"/>
  <c r="E368" i="17"/>
  <c r="D368" i="17"/>
  <c r="C368" i="17"/>
  <c r="B368" i="17"/>
  <c r="AU367" i="17"/>
  <c r="AA367" i="17"/>
  <c r="S367" i="2" s="1"/>
  <c r="T367" i="2" s="1"/>
  <c r="AQ367" i="2" s="1"/>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S364" i="2" s="1"/>
  <c r="Q364" i="17"/>
  <c r="H364" i="17"/>
  <c r="G364" i="17"/>
  <c r="F364" i="17"/>
  <c r="E364" i="17"/>
  <c r="D364" i="17"/>
  <c r="C364" i="17"/>
  <c r="B364" i="17"/>
  <c r="AU363" i="17"/>
  <c r="AA363" i="17"/>
  <c r="S363" i="2" s="1"/>
  <c r="Q363" i="17"/>
  <c r="H363" i="17"/>
  <c r="G363" i="17"/>
  <c r="F363" i="17"/>
  <c r="E363" i="17"/>
  <c r="D363" i="17"/>
  <c r="C363" i="17"/>
  <c r="B363" i="17"/>
  <c r="AU362" i="17"/>
  <c r="AA362" i="17"/>
  <c r="S362" i="2" s="1"/>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S359" i="2" s="1"/>
  <c r="T359" i="2" s="1"/>
  <c r="AQ359" i="2" s="1"/>
  <c r="Q359" i="17"/>
  <c r="H359" i="17"/>
  <c r="G359" i="17"/>
  <c r="F359" i="17"/>
  <c r="E359" i="17"/>
  <c r="D359" i="17"/>
  <c r="C359" i="17"/>
  <c r="B359" i="17"/>
  <c r="AU358" i="17"/>
  <c r="AA358" i="17"/>
  <c r="S358" i="2" s="1"/>
  <c r="Q358" i="17"/>
  <c r="H358" i="17"/>
  <c r="G358" i="17"/>
  <c r="F358" i="17"/>
  <c r="E358" i="17"/>
  <c r="D358" i="17"/>
  <c r="C358" i="17"/>
  <c r="B358" i="17"/>
  <c r="AU357" i="17"/>
  <c r="AA357" i="17"/>
  <c r="S357" i="2" s="1"/>
  <c r="T357" i="2" s="1"/>
  <c r="AQ357" i="2" s="1"/>
  <c r="Q357" i="17"/>
  <c r="H357" i="17"/>
  <c r="G357" i="17"/>
  <c r="F357" i="17"/>
  <c r="E357" i="17"/>
  <c r="D357" i="17"/>
  <c r="C357" i="17"/>
  <c r="B357" i="17"/>
  <c r="AU356" i="17"/>
  <c r="AA356" i="17"/>
  <c r="Q356" i="17"/>
  <c r="H356" i="17"/>
  <c r="G356" i="17"/>
  <c r="F356" i="17"/>
  <c r="E356" i="17"/>
  <c r="D356" i="17"/>
  <c r="C356" i="17"/>
  <c r="B356" i="17"/>
  <c r="AU355" i="17"/>
  <c r="AA355" i="17"/>
  <c r="S355" i="2" s="1"/>
  <c r="Q355" i="17"/>
  <c r="H355" i="17"/>
  <c r="G355" i="17"/>
  <c r="F355" i="17"/>
  <c r="E355" i="17"/>
  <c r="D355" i="17"/>
  <c r="C355" i="17"/>
  <c r="B355" i="17"/>
  <c r="AU354" i="17"/>
  <c r="AA354" i="17"/>
  <c r="Q354" i="17"/>
  <c r="H354" i="17"/>
  <c r="G354" i="17"/>
  <c r="F354" i="17"/>
  <c r="E354" i="17"/>
  <c r="D354" i="17"/>
  <c r="C354" i="17"/>
  <c r="B354" i="17"/>
  <c r="AU353" i="17"/>
  <c r="AA353" i="17"/>
  <c r="S353" i="2" s="1"/>
  <c r="Q353" i="17"/>
  <c r="H353" i="17"/>
  <c r="G353" i="17"/>
  <c r="F353" i="17"/>
  <c r="E353" i="17"/>
  <c r="D353" i="17"/>
  <c r="C353" i="17"/>
  <c r="B353" i="17"/>
  <c r="AU352" i="17"/>
  <c r="Q352" i="17"/>
  <c r="H352" i="17"/>
  <c r="G352" i="17"/>
  <c r="F352" i="17"/>
  <c r="E352" i="17"/>
  <c r="D352" i="17"/>
  <c r="C352" i="17"/>
  <c r="B352" i="17"/>
  <c r="AU351" i="17"/>
  <c r="AA351" i="17"/>
  <c r="S351" i="2" s="1"/>
  <c r="Q351" i="17"/>
  <c r="H351" i="17"/>
  <c r="G351" i="17"/>
  <c r="F351" i="17"/>
  <c r="E351" i="17"/>
  <c r="D351" i="17"/>
  <c r="C351" i="17"/>
  <c r="B351" i="17"/>
  <c r="AU350" i="17"/>
  <c r="AA350" i="17"/>
  <c r="S350" i="2" s="1"/>
  <c r="Q350" i="17"/>
  <c r="H350" i="17"/>
  <c r="G350" i="17"/>
  <c r="F350" i="17"/>
  <c r="E350" i="17"/>
  <c r="D350" i="17"/>
  <c r="C350" i="17"/>
  <c r="B350" i="17"/>
  <c r="AU349" i="17"/>
  <c r="AA349" i="17"/>
  <c r="S349" i="2" s="1"/>
  <c r="AV45" i="24" s="1"/>
  <c r="Q349" i="17"/>
  <c r="H349" i="17"/>
  <c r="G349" i="17"/>
  <c r="F349" i="17"/>
  <c r="E349" i="17"/>
  <c r="D349" i="17"/>
  <c r="C349" i="17"/>
  <c r="B349" i="17"/>
  <c r="AU348" i="17"/>
  <c r="AA348" i="17"/>
  <c r="S348" i="2" s="1"/>
  <c r="T348" i="2" s="1"/>
  <c r="AQ348" i="2" s="1"/>
  <c r="Q348" i="17"/>
  <c r="H348" i="17"/>
  <c r="G348" i="17"/>
  <c r="F348" i="17"/>
  <c r="E348" i="17"/>
  <c r="D348" i="17"/>
  <c r="C348" i="17"/>
  <c r="B348" i="17"/>
  <c r="AU347" i="17"/>
  <c r="AA347" i="17"/>
  <c r="S347" i="2" s="1"/>
  <c r="Q347" i="17"/>
  <c r="H347" i="17"/>
  <c r="G347" i="17"/>
  <c r="F347" i="17"/>
  <c r="E347" i="17"/>
  <c r="D347" i="17"/>
  <c r="C347" i="17"/>
  <c r="B347" i="17"/>
  <c r="AU346" i="17"/>
  <c r="AA346" i="17"/>
  <c r="S346" i="2" s="1"/>
  <c r="AV29" i="24" s="1"/>
  <c r="Q346" i="17"/>
  <c r="H346" i="17"/>
  <c r="G346" i="17"/>
  <c r="F346" i="17"/>
  <c r="E346" i="17"/>
  <c r="D346" i="17"/>
  <c r="C346" i="17"/>
  <c r="B346" i="17"/>
  <c r="AU345" i="17"/>
  <c r="AA345" i="17"/>
  <c r="S345" i="2" s="1"/>
  <c r="T345" i="2" s="1"/>
  <c r="AQ345" i="2" s="1"/>
  <c r="Q345" i="17"/>
  <c r="H345" i="17"/>
  <c r="G345" i="17"/>
  <c r="F345" i="17"/>
  <c r="E345" i="17"/>
  <c r="D345" i="17"/>
  <c r="C345" i="17"/>
  <c r="B345" i="17"/>
  <c r="AU344" i="17"/>
  <c r="AA344" i="17"/>
  <c r="S344" i="2" s="1"/>
  <c r="AV51" i="24" s="1"/>
  <c r="Q344" i="17"/>
  <c r="H344" i="17"/>
  <c r="G344" i="17"/>
  <c r="F344" i="17"/>
  <c r="E344" i="17"/>
  <c r="D344" i="17"/>
  <c r="C344" i="17"/>
  <c r="B344" i="17"/>
  <c r="AU343" i="17"/>
  <c r="AA343" i="17"/>
  <c r="S343" i="2" s="1"/>
  <c r="T343" i="2" s="1"/>
  <c r="AQ343" i="2" s="1"/>
  <c r="Q343" i="17"/>
  <c r="H343" i="17"/>
  <c r="G343" i="17"/>
  <c r="F343" i="17"/>
  <c r="E343" i="17"/>
  <c r="D343" i="17"/>
  <c r="C343" i="17"/>
  <c r="B343" i="17"/>
  <c r="AU342" i="17"/>
  <c r="AA342" i="17"/>
  <c r="S342" i="2" s="1"/>
  <c r="Q342" i="17"/>
  <c r="H342" i="17"/>
  <c r="G342" i="17"/>
  <c r="F342" i="17"/>
  <c r="E342" i="17"/>
  <c r="D342" i="17"/>
  <c r="C342" i="17"/>
  <c r="B342" i="17"/>
  <c r="AU341" i="17"/>
  <c r="AA341" i="17"/>
  <c r="S341" i="2" s="1"/>
  <c r="T341" i="2" s="1"/>
  <c r="AQ341" i="2" s="1"/>
  <c r="Q341" i="17"/>
  <c r="H341" i="17"/>
  <c r="G341" i="17"/>
  <c r="F341" i="17"/>
  <c r="E341" i="17"/>
  <c r="D341" i="17"/>
  <c r="C341" i="17"/>
  <c r="B341" i="17"/>
  <c r="AU340" i="17"/>
  <c r="AA340" i="17"/>
  <c r="S340" i="2" s="1"/>
  <c r="Q340" i="17"/>
  <c r="H340" i="17"/>
  <c r="G340" i="17"/>
  <c r="F340" i="17"/>
  <c r="E340" i="17"/>
  <c r="D340" i="17"/>
  <c r="C340" i="17"/>
  <c r="B340" i="17"/>
  <c r="AU339" i="17"/>
  <c r="AA339" i="17"/>
  <c r="S339" i="2" s="1"/>
  <c r="T339" i="2" s="1"/>
  <c r="AQ339" i="2" s="1"/>
  <c r="T46" i="26" s="1"/>
  <c r="Q339" i="17"/>
  <c r="H339" i="17"/>
  <c r="G339" i="17"/>
  <c r="F339" i="17"/>
  <c r="E339" i="17"/>
  <c r="D339" i="17"/>
  <c r="C339" i="17"/>
  <c r="B339" i="17"/>
  <c r="AU338" i="17"/>
  <c r="AA338" i="17"/>
  <c r="S338" i="2" s="1"/>
  <c r="Q338" i="17"/>
  <c r="H338" i="17"/>
  <c r="G338" i="17"/>
  <c r="F338" i="17"/>
  <c r="E338" i="17"/>
  <c r="D338" i="17"/>
  <c r="C338" i="17"/>
  <c r="B338" i="17"/>
  <c r="AU337" i="17"/>
  <c r="AA337" i="17"/>
  <c r="S337" i="2" s="1"/>
  <c r="T337" i="2" s="1"/>
  <c r="AQ337" i="2" s="1"/>
  <c r="Q337" i="17"/>
  <c r="H337" i="17"/>
  <c r="G337" i="17"/>
  <c r="F337" i="17"/>
  <c r="E337" i="17"/>
  <c r="D337" i="17"/>
  <c r="C337" i="17"/>
  <c r="B337" i="17"/>
  <c r="AU336" i="17"/>
  <c r="AA336" i="17"/>
  <c r="S336" i="2" s="1"/>
  <c r="T336" i="2" s="1"/>
  <c r="AQ336" i="2" s="1"/>
  <c r="T45" i="26" s="1"/>
  <c r="Q336" i="17"/>
  <c r="H336" i="17"/>
  <c r="G336" i="17"/>
  <c r="F336" i="17"/>
  <c r="E336" i="17"/>
  <c r="D336" i="17"/>
  <c r="C336" i="17"/>
  <c r="B336" i="17"/>
  <c r="AU335" i="17"/>
  <c r="AA335" i="17"/>
  <c r="Q335" i="17"/>
  <c r="H335" i="17"/>
  <c r="G335" i="17"/>
  <c r="F335" i="17"/>
  <c r="E335" i="17"/>
  <c r="D335" i="17"/>
  <c r="C335" i="17"/>
  <c r="B335" i="17"/>
  <c r="AU334" i="17"/>
  <c r="AA334" i="17"/>
  <c r="S334" i="2" s="1"/>
  <c r="T334" i="2" s="1"/>
  <c r="AQ334" i="2" s="1"/>
  <c r="T44" i="26" s="1"/>
  <c r="Q334" i="17"/>
  <c r="H334" i="17"/>
  <c r="G334" i="17"/>
  <c r="F334" i="17"/>
  <c r="E334" i="17"/>
  <c r="D334" i="17"/>
  <c r="C334" i="17"/>
  <c r="B334" i="17"/>
  <c r="AU333" i="17"/>
  <c r="AA333" i="17"/>
  <c r="S333" i="2" s="1"/>
  <c r="T333" i="2" s="1"/>
  <c r="AQ333" i="2" s="1"/>
  <c r="T43" i="26" s="1"/>
  <c r="Q333" i="17"/>
  <c r="H333" i="17"/>
  <c r="G333" i="17"/>
  <c r="F333" i="17"/>
  <c r="E333" i="17"/>
  <c r="D333" i="17"/>
  <c r="C333" i="17"/>
  <c r="B333" i="17"/>
  <c r="AU332" i="17"/>
  <c r="AA332" i="17"/>
  <c r="S332" i="2" s="1"/>
  <c r="T332" i="2" s="1"/>
  <c r="AQ332" i="2" s="1"/>
  <c r="Q332" i="17"/>
  <c r="H332" i="17"/>
  <c r="G332" i="17"/>
  <c r="F332" i="17"/>
  <c r="E332" i="17"/>
  <c r="D332" i="17"/>
  <c r="C332" i="17"/>
  <c r="B332" i="17"/>
  <c r="AU331" i="17"/>
  <c r="AA331" i="17"/>
  <c r="S331" i="2" s="1"/>
  <c r="T331" i="2" s="1"/>
  <c r="AQ331" i="2" s="1"/>
  <c r="T42" i="26" s="1"/>
  <c r="Q331" i="17"/>
  <c r="H331" i="17"/>
  <c r="G331" i="17"/>
  <c r="F331" i="17"/>
  <c r="E331" i="17"/>
  <c r="D331" i="17"/>
  <c r="C331" i="17"/>
  <c r="B331" i="17"/>
  <c r="AU330" i="17"/>
  <c r="AA330" i="17"/>
  <c r="Q330" i="17"/>
  <c r="H330" i="17"/>
  <c r="G330" i="17"/>
  <c r="F330" i="17"/>
  <c r="E330" i="17"/>
  <c r="D330" i="17"/>
  <c r="C330" i="17"/>
  <c r="B330" i="17"/>
  <c r="AU329" i="17"/>
  <c r="AA329" i="17"/>
  <c r="S329" i="2" s="1"/>
  <c r="T329" i="2" s="1"/>
  <c r="AQ329" i="2" s="1"/>
  <c r="T41" i="26" s="1"/>
  <c r="Q329" i="17"/>
  <c r="H329" i="17"/>
  <c r="G329" i="17"/>
  <c r="F329" i="17"/>
  <c r="E329" i="17"/>
  <c r="D329" i="17"/>
  <c r="C329" i="17"/>
  <c r="B329" i="17"/>
  <c r="AU328" i="17"/>
  <c r="AA328" i="17"/>
  <c r="S328" i="2" s="1"/>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S324" i="2" s="1"/>
  <c r="AV48" i="24" s="1"/>
  <c r="Q324" i="17"/>
  <c r="H324" i="17"/>
  <c r="G324" i="17"/>
  <c r="F324" i="17"/>
  <c r="E324" i="17"/>
  <c r="D324" i="17"/>
  <c r="C324" i="17"/>
  <c r="B324" i="17"/>
  <c r="AU323" i="17"/>
  <c r="AA323" i="17"/>
  <c r="Q323" i="17"/>
  <c r="H323" i="17"/>
  <c r="G323" i="17"/>
  <c r="F323" i="17"/>
  <c r="E323" i="17"/>
  <c r="D323" i="17"/>
  <c r="C323" i="17"/>
  <c r="B323" i="17"/>
  <c r="AU322" i="17"/>
  <c r="AA322" i="17"/>
  <c r="S322" i="2" s="1"/>
  <c r="T322" i="2" s="1"/>
  <c r="AQ322" i="2" s="1"/>
  <c r="Q322" i="17"/>
  <c r="H322" i="17"/>
  <c r="G322" i="17"/>
  <c r="F322" i="17"/>
  <c r="E322" i="17"/>
  <c r="D322" i="17"/>
  <c r="C322" i="17"/>
  <c r="B322" i="17"/>
  <c r="AU321" i="17"/>
  <c r="Q321" i="17"/>
  <c r="H321" i="17"/>
  <c r="G321" i="17"/>
  <c r="F321" i="17"/>
  <c r="E321" i="17"/>
  <c r="D321" i="17"/>
  <c r="C321" i="17"/>
  <c r="B321" i="17"/>
  <c r="AU320" i="17"/>
  <c r="AA320" i="17"/>
  <c r="S320" i="2" s="1"/>
  <c r="Q320" i="17"/>
  <c r="H320" i="17"/>
  <c r="G320" i="17"/>
  <c r="F320" i="17"/>
  <c r="E320" i="17"/>
  <c r="D320" i="17"/>
  <c r="C320" i="17"/>
  <c r="B320" i="17"/>
  <c r="AU319" i="17"/>
  <c r="AA319" i="17"/>
  <c r="Q319" i="17"/>
  <c r="H319" i="17"/>
  <c r="G319" i="17"/>
  <c r="F319" i="17"/>
  <c r="E319" i="17"/>
  <c r="D319" i="17"/>
  <c r="C319" i="17"/>
  <c r="B319" i="17"/>
  <c r="AU318" i="17"/>
  <c r="AA318" i="17"/>
  <c r="S318" i="2" s="1"/>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S315" i="2" s="1"/>
  <c r="Q315" i="17"/>
  <c r="H315" i="17"/>
  <c r="G315" i="17"/>
  <c r="F315" i="17"/>
  <c r="E315" i="17"/>
  <c r="D315" i="17"/>
  <c r="C315" i="17"/>
  <c r="B315" i="17"/>
  <c r="AU314" i="17"/>
  <c r="AA314" i="17"/>
  <c r="S314" i="2" s="1"/>
  <c r="Q314" i="17"/>
  <c r="H314" i="17"/>
  <c r="G314" i="17"/>
  <c r="F314" i="17"/>
  <c r="E314" i="17"/>
  <c r="D314" i="17"/>
  <c r="C314" i="17"/>
  <c r="B314" i="17"/>
  <c r="AU313" i="17"/>
  <c r="AA313" i="17"/>
  <c r="S313" i="2" s="1"/>
  <c r="Q313" i="17"/>
  <c r="H313" i="17"/>
  <c r="G313" i="17"/>
  <c r="F313" i="17"/>
  <c r="E313" i="17"/>
  <c r="D313" i="17"/>
  <c r="C313" i="17"/>
  <c r="B313" i="17"/>
  <c r="AU312" i="17"/>
  <c r="AA312" i="17"/>
  <c r="S312" i="2" s="1"/>
  <c r="Q312" i="17"/>
  <c r="H312" i="17"/>
  <c r="G312" i="17"/>
  <c r="F312" i="17"/>
  <c r="E312" i="17"/>
  <c r="D312" i="17"/>
  <c r="C312" i="17"/>
  <c r="B312" i="17"/>
  <c r="AU311" i="17"/>
  <c r="AA311" i="17"/>
  <c r="Q311" i="17"/>
  <c r="H311" i="17"/>
  <c r="G311" i="17"/>
  <c r="F311" i="17"/>
  <c r="E311" i="17"/>
  <c r="D311" i="17"/>
  <c r="C311" i="17"/>
  <c r="B311" i="17"/>
  <c r="AU310" i="17"/>
  <c r="AA310" i="17"/>
  <c r="S310" i="2" s="1"/>
  <c r="Q310" i="17"/>
  <c r="H310" i="17"/>
  <c r="G310" i="17"/>
  <c r="F310" i="17"/>
  <c r="E310" i="17"/>
  <c r="D310" i="17"/>
  <c r="C310" i="17"/>
  <c r="B310" i="17"/>
  <c r="AU309" i="17"/>
  <c r="Q309" i="17"/>
  <c r="H309" i="17"/>
  <c r="G309" i="17"/>
  <c r="F309" i="17"/>
  <c r="E309" i="17"/>
  <c r="D309" i="17"/>
  <c r="C309" i="17"/>
  <c r="B309" i="17"/>
  <c r="AU308" i="17"/>
  <c r="AA308" i="17"/>
  <c r="S308" i="2" s="1"/>
  <c r="Q308" i="17"/>
  <c r="H308" i="17"/>
  <c r="G308" i="17"/>
  <c r="F308" i="17"/>
  <c r="E308" i="17"/>
  <c r="D308" i="17"/>
  <c r="C308" i="17"/>
  <c r="B308" i="17"/>
  <c r="AU307" i="17"/>
  <c r="AA307" i="17"/>
  <c r="Q307" i="17"/>
  <c r="H307" i="17"/>
  <c r="G307" i="17"/>
  <c r="F307" i="17"/>
  <c r="E307" i="17"/>
  <c r="D307" i="17"/>
  <c r="C307" i="17"/>
  <c r="B307" i="17"/>
  <c r="AU306" i="17"/>
  <c r="AA306" i="17"/>
  <c r="S306" i="2" s="1"/>
  <c r="Q306" i="17"/>
  <c r="H306" i="17"/>
  <c r="G306" i="17"/>
  <c r="F306" i="17"/>
  <c r="E306" i="17"/>
  <c r="D306" i="17"/>
  <c r="C306" i="17"/>
  <c r="B306" i="17"/>
  <c r="AU305" i="17"/>
  <c r="AA305" i="17"/>
  <c r="S305" i="2" s="1"/>
  <c r="AV71" i="24" s="1"/>
  <c r="Q305" i="17"/>
  <c r="H305" i="17"/>
  <c r="G305" i="17"/>
  <c r="F305" i="17"/>
  <c r="E305" i="17"/>
  <c r="D305" i="17"/>
  <c r="C305" i="17"/>
  <c r="B305" i="17"/>
  <c r="AU304" i="17"/>
  <c r="AA304" i="17"/>
  <c r="S304" i="2" s="1"/>
  <c r="AV72" i="24" s="1"/>
  <c r="Q304" i="17"/>
  <c r="H304" i="17"/>
  <c r="G304" i="17"/>
  <c r="F304" i="17"/>
  <c r="E304" i="17"/>
  <c r="D304" i="17"/>
  <c r="C304" i="17"/>
  <c r="B304" i="17"/>
  <c r="AU303" i="17"/>
  <c r="AA303" i="17"/>
  <c r="S303" i="2" s="1"/>
  <c r="Q303" i="17"/>
  <c r="H303" i="17"/>
  <c r="G303" i="17"/>
  <c r="F303" i="17"/>
  <c r="E303" i="17"/>
  <c r="D303" i="17"/>
  <c r="C303" i="17"/>
  <c r="B303" i="17"/>
  <c r="AU302" i="17"/>
  <c r="AA302" i="17"/>
  <c r="Q302" i="17"/>
  <c r="H302" i="17"/>
  <c r="G302" i="17"/>
  <c r="F302" i="17"/>
  <c r="E302" i="17"/>
  <c r="D302" i="17"/>
  <c r="C302" i="17"/>
  <c r="B302" i="17"/>
  <c r="AU301" i="17"/>
  <c r="AA301" i="17"/>
  <c r="S301" i="2" s="1"/>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S298" i="2" s="1"/>
  <c r="Q298" i="17"/>
  <c r="H298" i="17"/>
  <c r="G298" i="17"/>
  <c r="F298" i="17"/>
  <c r="E298" i="17"/>
  <c r="D298" i="17"/>
  <c r="C298" i="17"/>
  <c r="B298" i="17"/>
  <c r="AH297" i="17"/>
  <c r="AU297" i="17" s="1"/>
  <c r="AA297" i="17"/>
  <c r="S297" i="2" s="1"/>
  <c r="Q297" i="17"/>
  <c r="H297" i="17"/>
  <c r="G297" i="17"/>
  <c r="F297" i="17"/>
  <c r="E297" i="17"/>
  <c r="D297" i="17"/>
  <c r="C297" i="17"/>
  <c r="B297" i="17"/>
  <c r="AU296" i="17"/>
  <c r="AF296" i="17"/>
  <c r="AA296" i="17"/>
  <c r="S296" i="2" s="1"/>
  <c r="Q296" i="17"/>
  <c r="H296" i="17"/>
  <c r="G296" i="17"/>
  <c r="F296" i="17"/>
  <c r="E296" i="17"/>
  <c r="D296" i="17"/>
  <c r="C296" i="17"/>
  <c r="B296" i="17"/>
  <c r="AU295" i="17"/>
  <c r="AA295" i="17"/>
  <c r="S295" i="2" s="1"/>
  <c r="AV78" i="24" s="1"/>
  <c r="Q295" i="17"/>
  <c r="H295" i="17"/>
  <c r="G295" i="17"/>
  <c r="F295" i="17"/>
  <c r="E295" i="17"/>
  <c r="D295" i="17"/>
  <c r="C295" i="17"/>
  <c r="B295" i="17"/>
  <c r="AU294" i="17"/>
  <c r="AA294" i="17"/>
  <c r="Q294" i="17"/>
  <c r="H294" i="17"/>
  <c r="G294" i="17"/>
  <c r="F294" i="17"/>
  <c r="E294" i="17"/>
  <c r="D294" i="17"/>
  <c r="C294" i="17"/>
  <c r="B294" i="17"/>
  <c r="AU293" i="17"/>
  <c r="AA293" i="17"/>
  <c r="S293" i="2" s="1"/>
  <c r="Q293" i="17"/>
  <c r="H293" i="17"/>
  <c r="G293" i="17"/>
  <c r="F293" i="17"/>
  <c r="E293" i="17"/>
  <c r="D293" i="17"/>
  <c r="C293" i="17"/>
  <c r="B293" i="17"/>
  <c r="AU292" i="17"/>
  <c r="AA292" i="17"/>
  <c r="Q292" i="17"/>
  <c r="H292" i="17"/>
  <c r="G292" i="17"/>
  <c r="F292" i="17"/>
  <c r="E292" i="17"/>
  <c r="D292" i="17"/>
  <c r="C292" i="17"/>
  <c r="B292" i="17"/>
  <c r="AU291" i="17"/>
  <c r="AA291" i="17"/>
  <c r="S291" i="2" s="1"/>
  <c r="Q291" i="17"/>
  <c r="H291" i="17"/>
  <c r="G291" i="17"/>
  <c r="F291" i="17"/>
  <c r="E291" i="17"/>
  <c r="D291" i="17"/>
  <c r="C291" i="17"/>
  <c r="B291" i="17"/>
  <c r="AU290" i="17"/>
  <c r="AA290" i="17"/>
  <c r="S290" i="2" s="1"/>
  <c r="Q290" i="17"/>
  <c r="H290" i="17"/>
  <c r="G290" i="17"/>
  <c r="F290" i="17"/>
  <c r="E290" i="17"/>
  <c r="D290" i="17"/>
  <c r="C290" i="17"/>
  <c r="B290" i="17"/>
  <c r="AU289" i="17"/>
  <c r="AA289" i="17"/>
  <c r="S289" i="2" s="1"/>
  <c r="T289" i="2" s="1"/>
  <c r="Q289" i="17"/>
  <c r="H289" i="17"/>
  <c r="G289" i="17"/>
  <c r="F289" i="17"/>
  <c r="E289" i="17"/>
  <c r="D289" i="17"/>
  <c r="C289" i="17"/>
  <c r="B289" i="17"/>
  <c r="AU288" i="17"/>
  <c r="AA288" i="17"/>
  <c r="S288" i="2" s="1"/>
  <c r="Q288" i="17"/>
  <c r="H288" i="17"/>
  <c r="G288" i="17"/>
  <c r="F288" i="17"/>
  <c r="E288" i="17"/>
  <c r="D288" i="17"/>
  <c r="C288" i="17"/>
  <c r="B288" i="17"/>
  <c r="AU287" i="17"/>
  <c r="AA287" i="17"/>
  <c r="S287" i="2" s="1"/>
  <c r="Q287" i="17"/>
  <c r="H287" i="17"/>
  <c r="G287" i="17"/>
  <c r="F287" i="17"/>
  <c r="E287" i="17"/>
  <c r="D287" i="17"/>
  <c r="C287" i="17"/>
  <c r="B287" i="17"/>
  <c r="AU286" i="17"/>
  <c r="AA286" i="17"/>
  <c r="S286" i="2" s="1"/>
  <c r="Q286" i="17"/>
  <c r="H286" i="17"/>
  <c r="G286" i="17"/>
  <c r="F286" i="17"/>
  <c r="E286" i="17"/>
  <c r="D286" i="17"/>
  <c r="C286" i="17"/>
  <c r="B286" i="17"/>
  <c r="AU285" i="17"/>
  <c r="AA285" i="17"/>
  <c r="S285" i="2" s="1"/>
  <c r="Q285" i="17"/>
  <c r="H285" i="17"/>
  <c r="G285" i="17"/>
  <c r="F285" i="17"/>
  <c r="E285" i="17"/>
  <c r="D285" i="17"/>
  <c r="C285" i="17"/>
  <c r="B285" i="17"/>
  <c r="AU284" i="17"/>
  <c r="AA284" i="17"/>
  <c r="S284" i="2" s="1"/>
  <c r="Q284" i="17"/>
  <c r="H284" i="17"/>
  <c r="G284" i="17"/>
  <c r="F284" i="17"/>
  <c r="E284" i="17"/>
  <c r="D284" i="17"/>
  <c r="C284" i="17"/>
  <c r="B284" i="17"/>
  <c r="AU283" i="17"/>
  <c r="AA283" i="17"/>
  <c r="S283" i="2" s="1"/>
  <c r="AV17" i="24" s="1"/>
  <c r="Q283" i="17"/>
  <c r="H283" i="17"/>
  <c r="G283" i="17"/>
  <c r="F283" i="17"/>
  <c r="E283" i="17"/>
  <c r="D283" i="17"/>
  <c r="C283" i="17"/>
  <c r="B283" i="17"/>
  <c r="AU282" i="17"/>
  <c r="AA282" i="17"/>
  <c r="Q282" i="17"/>
  <c r="H282" i="17"/>
  <c r="G282" i="17"/>
  <c r="F282" i="17"/>
  <c r="E282" i="17"/>
  <c r="D282" i="17"/>
  <c r="C282" i="17"/>
  <c r="B282" i="17"/>
  <c r="AU281" i="17"/>
  <c r="AA281" i="17"/>
  <c r="S281" i="2" s="1"/>
  <c r="Q281" i="17"/>
  <c r="H281" i="17"/>
  <c r="G281" i="17"/>
  <c r="F281" i="17"/>
  <c r="E281" i="17"/>
  <c r="D281" i="17"/>
  <c r="C281" i="17"/>
  <c r="B281" i="17"/>
  <c r="AU280" i="17"/>
  <c r="AA280" i="17"/>
  <c r="S280" i="2" s="1"/>
  <c r="Q280" i="17"/>
  <c r="H280" i="17"/>
  <c r="G280" i="17"/>
  <c r="F280" i="17"/>
  <c r="E280" i="17"/>
  <c r="D280" i="17"/>
  <c r="C280" i="17"/>
  <c r="B280" i="17"/>
  <c r="AU279" i="17"/>
  <c r="AA279" i="17"/>
  <c r="S279" i="2" s="1"/>
  <c r="AV18" i="24" s="1"/>
  <c r="Q279" i="17"/>
  <c r="H279" i="17"/>
  <c r="G279" i="17"/>
  <c r="F279" i="17"/>
  <c r="E279" i="17"/>
  <c r="D279" i="17"/>
  <c r="C279" i="17"/>
  <c r="B279" i="17"/>
  <c r="AU278" i="17"/>
  <c r="AA278" i="17"/>
  <c r="S278" i="2" s="1"/>
  <c r="Q278" i="17"/>
  <c r="H278" i="17"/>
  <c r="G278" i="17"/>
  <c r="F278" i="17"/>
  <c r="E278" i="17"/>
  <c r="D278" i="17"/>
  <c r="C278" i="17"/>
  <c r="B278" i="17"/>
  <c r="AU277" i="17"/>
  <c r="AA277" i="17"/>
  <c r="Q277" i="17"/>
  <c r="H277" i="17"/>
  <c r="G277" i="17"/>
  <c r="F277" i="17"/>
  <c r="E277" i="17"/>
  <c r="D277" i="17"/>
  <c r="C277" i="17"/>
  <c r="B277" i="17"/>
  <c r="AU276" i="17"/>
  <c r="AA276" i="17"/>
  <c r="S276" i="2" s="1"/>
  <c r="AV9" i="24" s="1"/>
  <c r="Q276" i="17"/>
  <c r="H276" i="17"/>
  <c r="G276" i="17"/>
  <c r="F276" i="17"/>
  <c r="E276" i="17"/>
  <c r="D276" i="17"/>
  <c r="C276" i="17"/>
  <c r="B276" i="17"/>
  <c r="AU275" i="17"/>
  <c r="AA275" i="17"/>
  <c r="S275" i="2" s="1"/>
  <c r="T275" i="2" s="1"/>
  <c r="Q275" i="17"/>
  <c r="H275" i="17"/>
  <c r="G275" i="17"/>
  <c r="F275" i="17"/>
  <c r="E275" i="17"/>
  <c r="D275" i="17"/>
  <c r="C275" i="17"/>
  <c r="B275" i="17"/>
  <c r="AU274" i="17"/>
  <c r="AA274" i="17"/>
  <c r="S274" i="2" s="1"/>
  <c r="AV14" i="24" s="1"/>
  <c r="Q274" i="17"/>
  <c r="H274" i="17"/>
  <c r="G274" i="17"/>
  <c r="F274" i="17"/>
  <c r="E274" i="17"/>
  <c r="D274" i="17"/>
  <c r="C274" i="17"/>
  <c r="B274" i="17"/>
  <c r="AU273" i="17"/>
  <c r="AA273" i="17"/>
  <c r="S273" i="2" s="1"/>
  <c r="T273" i="2" s="1"/>
  <c r="Q273" i="17"/>
  <c r="H273" i="17"/>
  <c r="G273" i="17"/>
  <c r="F273" i="17"/>
  <c r="E273" i="17"/>
  <c r="D273" i="17"/>
  <c r="C273" i="17"/>
  <c r="B273" i="17"/>
  <c r="AU272" i="17"/>
  <c r="AA272" i="17"/>
  <c r="S272" i="2" s="1"/>
  <c r="T272" i="2" s="1"/>
  <c r="S356" i="32" s="1"/>
  <c r="Q272" i="17"/>
  <c r="H272" i="17"/>
  <c r="G272" i="17"/>
  <c r="F272" i="17"/>
  <c r="E272" i="17"/>
  <c r="D272" i="17"/>
  <c r="C272" i="17"/>
  <c r="B272" i="17"/>
  <c r="AU271" i="17"/>
  <c r="AA271" i="17"/>
  <c r="S271" i="2" s="1"/>
  <c r="AV20" i="24" s="1"/>
  <c r="Q271" i="17"/>
  <c r="H271" i="17"/>
  <c r="G271" i="17"/>
  <c r="F271" i="17"/>
  <c r="E271" i="17"/>
  <c r="D271" i="17"/>
  <c r="C271" i="17"/>
  <c r="B271" i="17"/>
  <c r="AU270" i="17"/>
  <c r="AA270" i="17"/>
  <c r="Q270" i="17"/>
  <c r="H270" i="17"/>
  <c r="G270" i="17"/>
  <c r="F270" i="17"/>
  <c r="E270" i="17"/>
  <c r="D270" i="17"/>
  <c r="C270" i="17"/>
  <c r="B270" i="17"/>
  <c r="AU269" i="17"/>
  <c r="AA269" i="17"/>
  <c r="S269" i="2" s="1"/>
  <c r="T269" i="2" s="1"/>
  <c r="Q269" i="17"/>
  <c r="H269" i="17"/>
  <c r="G269" i="17"/>
  <c r="F269" i="17"/>
  <c r="E269" i="17"/>
  <c r="D269" i="17"/>
  <c r="C269" i="17"/>
  <c r="B269" i="17"/>
  <c r="AU268" i="17"/>
  <c r="AA268" i="17"/>
  <c r="S268" i="2" s="1"/>
  <c r="T268" i="2" s="1"/>
  <c r="Q268" i="17"/>
  <c r="H268" i="17"/>
  <c r="G268" i="17"/>
  <c r="F268" i="17"/>
  <c r="E268" i="17"/>
  <c r="D268" i="17"/>
  <c r="C268" i="17"/>
  <c r="B268" i="17"/>
  <c r="AU267" i="17"/>
  <c r="AA267" i="17"/>
  <c r="Q267" i="17"/>
  <c r="H267" i="17"/>
  <c r="G267" i="17"/>
  <c r="F267" i="17"/>
  <c r="E267" i="17"/>
  <c r="D267" i="17"/>
  <c r="C267" i="17"/>
  <c r="B267" i="17"/>
  <c r="AU266" i="17"/>
  <c r="AA266" i="17"/>
  <c r="S266" i="2" s="1"/>
  <c r="T266" i="2" s="1"/>
  <c r="Q266" i="17"/>
  <c r="H266" i="17"/>
  <c r="G266" i="17"/>
  <c r="F266" i="17"/>
  <c r="E266" i="17"/>
  <c r="D266" i="17"/>
  <c r="C266" i="17"/>
  <c r="B266" i="17"/>
  <c r="AU265" i="17"/>
  <c r="AA265" i="17"/>
  <c r="S265" i="2" s="1"/>
  <c r="Q265" i="17"/>
  <c r="H265" i="17"/>
  <c r="G265" i="17"/>
  <c r="F265" i="17"/>
  <c r="E265" i="17"/>
  <c r="D265" i="17"/>
  <c r="C265" i="17"/>
  <c r="B265" i="17"/>
  <c r="AU264" i="17"/>
  <c r="AA264" i="17"/>
  <c r="S264" i="2" s="1"/>
  <c r="Q264" i="17"/>
  <c r="H264" i="17"/>
  <c r="G264" i="17"/>
  <c r="F264" i="17"/>
  <c r="E264" i="17"/>
  <c r="D264" i="17"/>
  <c r="C264" i="17"/>
  <c r="B264" i="17"/>
  <c r="AU263" i="17"/>
  <c r="AA263" i="17"/>
  <c r="S263" i="2" s="1"/>
  <c r="T263" i="2" s="1"/>
  <c r="S396" i="32" s="1"/>
  <c r="Q263" i="17"/>
  <c r="H263" i="17"/>
  <c r="G263" i="17"/>
  <c r="F263" i="17"/>
  <c r="E263" i="17"/>
  <c r="D263" i="17"/>
  <c r="C263" i="17"/>
  <c r="B263" i="17"/>
  <c r="AU262" i="17"/>
  <c r="AA262" i="17"/>
  <c r="S262" i="2" s="1"/>
  <c r="Q262" i="17"/>
  <c r="H262" i="17"/>
  <c r="G262" i="17"/>
  <c r="F262" i="17"/>
  <c r="E262" i="17"/>
  <c r="D262" i="17"/>
  <c r="C262" i="17"/>
  <c r="B262" i="17"/>
  <c r="AU261" i="17"/>
  <c r="AA261" i="17"/>
  <c r="S261" i="2" s="1"/>
  <c r="T261" i="2" s="1"/>
  <c r="Q261" i="17"/>
  <c r="H261" i="17"/>
  <c r="G261" i="17"/>
  <c r="F261" i="17"/>
  <c r="E261" i="17"/>
  <c r="D261" i="17"/>
  <c r="C261" i="17"/>
  <c r="B261" i="17"/>
  <c r="AU260" i="17"/>
  <c r="AA260" i="17"/>
  <c r="S260" i="2" s="1"/>
  <c r="Q260" i="17"/>
  <c r="H260" i="17"/>
  <c r="G260" i="17"/>
  <c r="F260" i="17"/>
  <c r="E260" i="17"/>
  <c r="D260" i="17"/>
  <c r="C260" i="17"/>
  <c r="B260" i="17"/>
  <c r="AU259" i="17"/>
  <c r="AA259" i="17"/>
  <c r="Q259" i="17"/>
  <c r="H259" i="17"/>
  <c r="G259" i="17"/>
  <c r="F259" i="17"/>
  <c r="E259" i="17"/>
  <c r="D259" i="17"/>
  <c r="C259" i="17"/>
  <c r="B259" i="17"/>
  <c r="AU258" i="17"/>
  <c r="AA258" i="17"/>
  <c r="S258" i="2" s="1"/>
  <c r="T258" i="2" s="1"/>
  <c r="AQ258" i="2" s="1"/>
  <c r="T184" i="26" s="1"/>
  <c r="Q258" i="17"/>
  <c r="H258" i="17"/>
  <c r="G258" i="17"/>
  <c r="F258" i="17"/>
  <c r="E258" i="17"/>
  <c r="D258" i="17"/>
  <c r="C258" i="17"/>
  <c r="B258" i="17"/>
  <c r="AU257" i="17"/>
  <c r="AA257" i="17"/>
  <c r="S257" i="2" s="1"/>
  <c r="T257" i="2" s="1"/>
  <c r="Q257" i="17"/>
  <c r="H257" i="17"/>
  <c r="G257" i="17"/>
  <c r="F257" i="17"/>
  <c r="E257" i="17"/>
  <c r="D257" i="17"/>
  <c r="C257" i="17"/>
  <c r="B257" i="17"/>
  <c r="AU256" i="17"/>
  <c r="AA256" i="17"/>
  <c r="S256" i="2" s="1"/>
  <c r="T256" i="2" s="1"/>
  <c r="Q256" i="17"/>
  <c r="H256" i="17"/>
  <c r="G256" i="17"/>
  <c r="F256" i="17"/>
  <c r="E256" i="17"/>
  <c r="D256" i="17"/>
  <c r="C256" i="17"/>
  <c r="B256" i="17"/>
  <c r="AU255" i="17"/>
  <c r="AA255" i="17"/>
  <c r="S255" i="2" s="1"/>
  <c r="T255" i="2" s="1"/>
  <c r="S393" i="32" s="1"/>
  <c r="Q255" i="17"/>
  <c r="H255" i="17"/>
  <c r="G255" i="17"/>
  <c r="F255" i="17"/>
  <c r="E255" i="17"/>
  <c r="D255" i="17"/>
  <c r="C255" i="17"/>
  <c r="B255" i="17"/>
  <c r="AU254" i="17"/>
  <c r="AA254" i="17"/>
  <c r="S254" i="2" s="1"/>
  <c r="T254" i="2" s="1"/>
  <c r="Q254" i="17"/>
  <c r="H254" i="17"/>
  <c r="G254" i="17"/>
  <c r="F254" i="17"/>
  <c r="E254" i="17"/>
  <c r="D254" i="17"/>
  <c r="C254" i="17"/>
  <c r="B254" i="17"/>
  <c r="AU253" i="17"/>
  <c r="AA253" i="17"/>
  <c r="Q253" i="17"/>
  <c r="H253" i="17"/>
  <c r="G253" i="17"/>
  <c r="F253" i="17"/>
  <c r="E253" i="17"/>
  <c r="D253" i="17"/>
  <c r="C253" i="17"/>
  <c r="B253" i="17"/>
  <c r="AU252" i="17"/>
  <c r="AA252" i="17"/>
  <c r="S252" i="2" s="1"/>
  <c r="Q252" i="17"/>
  <c r="H252" i="17"/>
  <c r="G252" i="17"/>
  <c r="F252" i="17"/>
  <c r="E252" i="17"/>
  <c r="D252" i="17"/>
  <c r="C252" i="17"/>
  <c r="B252" i="17"/>
  <c r="AU251" i="17"/>
  <c r="AA251" i="17"/>
  <c r="Q251" i="17"/>
  <c r="H251" i="17"/>
  <c r="G251" i="17"/>
  <c r="F251" i="17"/>
  <c r="E251" i="17"/>
  <c r="D251" i="17"/>
  <c r="C251" i="17"/>
  <c r="B251" i="17"/>
  <c r="AU250" i="17"/>
  <c r="AA250" i="17"/>
  <c r="S250" i="2" s="1"/>
  <c r="T250" i="2" s="1"/>
  <c r="Q250" i="17"/>
  <c r="H250" i="17"/>
  <c r="G250" i="17"/>
  <c r="F250" i="17"/>
  <c r="E250" i="17"/>
  <c r="D250" i="17"/>
  <c r="C250" i="17"/>
  <c r="B250" i="17"/>
  <c r="AU249" i="17"/>
  <c r="AA249" i="17"/>
  <c r="S249" i="2" s="1"/>
  <c r="Q249" i="17"/>
  <c r="H249" i="17"/>
  <c r="G249" i="17"/>
  <c r="F249" i="17"/>
  <c r="E249" i="17"/>
  <c r="D249" i="17"/>
  <c r="C249" i="17"/>
  <c r="B249" i="17"/>
  <c r="AU248" i="17"/>
  <c r="AA248" i="17"/>
  <c r="S248" i="2" s="1"/>
  <c r="T248" i="2" s="1"/>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S244" i="2" s="1"/>
  <c r="Q244" i="17"/>
  <c r="H244" i="17"/>
  <c r="G244" i="17"/>
  <c r="F244" i="17"/>
  <c r="E244" i="17"/>
  <c r="D244" i="17"/>
  <c r="C244" i="17"/>
  <c r="B244" i="17"/>
  <c r="AU243" i="17"/>
  <c r="AA243" i="17"/>
  <c r="S243" i="2" s="1"/>
  <c r="AD16" i="24" s="1"/>
  <c r="Q243" i="17"/>
  <c r="H243" i="17"/>
  <c r="G243" i="17"/>
  <c r="F243" i="17"/>
  <c r="E243" i="17"/>
  <c r="D243" i="17"/>
  <c r="C243" i="17"/>
  <c r="B243" i="17"/>
  <c r="AU242" i="17"/>
  <c r="AA242" i="17"/>
  <c r="S242" i="2" s="1"/>
  <c r="T242" i="2" s="1"/>
  <c r="Q242" i="17"/>
  <c r="H242" i="17"/>
  <c r="G242" i="17"/>
  <c r="F242" i="17"/>
  <c r="E242" i="17"/>
  <c r="D242" i="17"/>
  <c r="C242" i="17"/>
  <c r="B242" i="17"/>
  <c r="AU241" i="17"/>
  <c r="AA241" i="17"/>
  <c r="S241" i="2" s="1"/>
  <c r="AD21" i="24" s="1"/>
  <c r="Q241" i="17"/>
  <c r="H241" i="17"/>
  <c r="G241" i="17"/>
  <c r="F241" i="17"/>
  <c r="E241" i="17"/>
  <c r="D241" i="17"/>
  <c r="C241" i="17"/>
  <c r="B241" i="17"/>
  <c r="AU240" i="17"/>
  <c r="AA240" i="17"/>
  <c r="S240" i="2" s="1"/>
  <c r="T240" i="2" s="1"/>
  <c r="Q240" i="17"/>
  <c r="E240" i="17"/>
  <c r="D240" i="17"/>
  <c r="C240" i="17"/>
  <c r="B240" i="17"/>
  <c r="AU239" i="17"/>
  <c r="AA239" i="17"/>
  <c r="S239" i="2" s="1"/>
  <c r="T239" i="2" s="1"/>
  <c r="Q239" i="17"/>
  <c r="E239" i="17"/>
  <c r="D239" i="17"/>
  <c r="C239" i="17"/>
  <c r="B239" i="17"/>
  <c r="AU238" i="17"/>
  <c r="AA238" i="17"/>
  <c r="S238" i="2" s="1"/>
  <c r="Q238" i="17"/>
  <c r="E238" i="17"/>
  <c r="D238" i="17"/>
  <c r="C238" i="17"/>
  <c r="B238" i="17"/>
  <c r="AU237" i="17"/>
  <c r="AA237" i="17"/>
  <c r="S237" i="2" s="1"/>
  <c r="Q237" i="17"/>
  <c r="E237" i="17"/>
  <c r="D237" i="17"/>
  <c r="C237" i="17"/>
  <c r="B237" i="17"/>
  <c r="AU236" i="17"/>
  <c r="AA236" i="17"/>
  <c r="S236" i="2" s="1"/>
  <c r="T236" i="2" s="1"/>
  <c r="Q236" i="17"/>
  <c r="E236" i="17"/>
  <c r="D236" i="17"/>
  <c r="C236" i="17"/>
  <c r="B236" i="17"/>
  <c r="AU235" i="17"/>
  <c r="AA235" i="17"/>
  <c r="S235" i="2" s="1"/>
  <c r="AD58" i="24" s="1"/>
  <c r="Q235" i="17"/>
  <c r="E235" i="17"/>
  <c r="D235" i="17"/>
  <c r="C235" i="17"/>
  <c r="B235" i="17"/>
  <c r="AU234" i="17"/>
  <c r="AA234" i="17"/>
  <c r="S234" i="2" s="1"/>
  <c r="AD92" i="24" s="1"/>
  <c r="Q234" i="17"/>
  <c r="E234" i="17"/>
  <c r="D234" i="17"/>
  <c r="C234" i="17"/>
  <c r="B234" i="17"/>
  <c r="AU233" i="17"/>
  <c r="AA233" i="17"/>
  <c r="S233" i="2" s="1"/>
  <c r="Q233" i="17"/>
  <c r="E233" i="17"/>
  <c r="D233" i="17"/>
  <c r="C233" i="17"/>
  <c r="B233" i="17"/>
  <c r="AU232" i="17"/>
  <c r="AA232" i="17"/>
  <c r="S232" i="2" s="1"/>
  <c r="Q232" i="17"/>
  <c r="E232" i="17"/>
  <c r="D232" i="17"/>
  <c r="C232" i="17"/>
  <c r="B232" i="17"/>
  <c r="AU231" i="17"/>
  <c r="AA231" i="17"/>
  <c r="S231" i="2" s="1"/>
  <c r="AD57" i="24" s="1"/>
  <c r="Q231" i="17"/>
  <c r="E231" i="17"/>
  <c r="D231" i="17"/>
  <c r="C231" i="17"/>
  <c r="B231" i="17"/>
  <c r="AU230" i="17"/>
  <c r="AA230" i="17"/>
  <c r="S230" i="2" s="1"/>
  <c r="Q230" i="17"/>
  <c r="E230" i="17"/>
  <c r="D230" i="17"/>
  <c r="C230" i="17"/>
  <c r="B230" i="17"/>
  <c r="AU229" i="17"/>
  <c r="AA229" i="17"/>
  <c r="Q229" i="17"/>
  <c r="E229" i="17"/>
  <c r="D229" i="17"/>
  <c r="C229" i="17"/>
  <c r="B229" i="17"/>
  <c r="AU228" i="17"/>
  <c r="AA228" i="17"/>
  <c r="S228" i="2" s="1"/>
  <c r="Q228" i="17"/>
  <c r="E228" i="17"/>
  <c r="D228" i="17"/>
  <c r="C228" i="17"/>
  <c r="B228" i="17"/>
  <c r="AU227" i="17"/>
  <c r="AA227" i="17"/>
  <c r="S227" i="2" s="1"/>
  <c r="AD7" i="24" s="1"/>
  <c r="Q227" i="17"/>
  <c r="E227" i="17"/>
  <c r="D227" i="17"/>
  <c r="C227" i="17"/>
  <c r="B227" i="17"/>
  <c r="AU226" i="17"/>
  <c r="AA226" i="17"/>
  <c r="Q226" i="17"/>
  <c r="E226" i="17"/>
  <c r="D226" i="17"/>
  <c r="C226" i="17"/>
  <c r="B226" i="17"/>
  <c r="AU225" i="17"/>
  <c r="AA225" i="17"/>
  <c r="S225" i="2" s="1"/>
  <c r="T225" i="2" s="1"/>
  <c r="Q225" i="17"/>
  <c r="E225" i="17"/>
  <c r="D225" i="17"/>
  <c r="C225" i="17"/>
  <c r="B225" i="17"/>
  <c r="AU224" i="17"/>
  <c r="AA224" i="17"/>
  <c r="Q224" i="17"/>
  <c r="E224" i="17"/>
  <c r="D224" i="17"/>
  <c r="C224" i="17"/>
  <c r="B224" i="17"/>
  <c r="AU223" i="17"/>
  <c r="AA223" i="17"/>
  <c r="S223" i="2" s="1"/>
  <c r="AD77" i="24" s="1"/>
  <c r="Q223" i="17"/>
  <c r="E223" i="17"/>
  <c r="D223" i="17"/>
  <c r="C223" i="17"/>
  <c r="B223" i="17"/>
  <c r="AU222" i="17"/>
  <c r="AA222" i="17"/>
  <c r="S222" i="2" s="1"/>
  <c r="Q222" i="17"/>
  <c r="E222" i="17"/>
  <c r="D222" i="17"/>
  <c r="C222" i="17"/>
  <c r="B222" i="17"/>
  <c r="AU221" i="17"/>
  <c r="AA221" i="17"/>
  <c r="S221" i="2" s="1"/>
  <c r="AD72" i="24" s="1"/>
  <c r="Q221" i="17"/>
  <c r="E221" i="17"/>
  <c r="D221" i="17"/>
  <c r="C221" i="17"/>
  <c r="B221" i="17"/>
  <c r="AU220" i="17"/>
  <c r="AA220" i="17"/>
  <c r="S220" i="2" s="1"/>
  <c r="T220" i="2" s="1"/>
  <c r="Q220" i="17"/>
  <c r="E220" i="17"/>
  <c r="D220" i="17"/>
  <c r="C220" i="17"/>
  <c r="B220" i="17"/>
  <c r="AU219" i="17"/>
  <c r="AA219" i="17"/>
  <c r="Q219" i="17"/>
  <c r="E219" i="17"/>
  <c r="D219" i="17"/>
  <c r="C219" i="17"/>
  <c r="B219" i="17"/>
  <c r="AU218" i="17"/>
  <c r="AA218" i="17"/>
  <c r="Q218" i="17"/>
  <c r="E218" i="17"/>
  <c r="D218" i="17"/>
  <c r="C218" i="17"/>
  <c r="B218" i="17"/>
  <c r="AU217" i="17"/>
  <c r="AA217" i="17"/>
  <c r="S217" i="2" s="1"/>
  <c r="T217" i="2" s="1"/>
  <c r="Q217" i="17"/>
  <c r="E217" i="17"/>
  <c r="D217" i="17"/>
  <c r="C217" i="17"/>
  <c r="B217" i="17"/>
  <c r="AU216" i="17"/>
  <c r="AA216" i="17"/>
  <c r="S216" i="2" s="1"/>
  <c r="AD68" i="24" s="1"/>
  <c r="Q216" i="17"/>
  <c r="E216" i="17"/>
  <c r="D216" i="17"/>
  <c r="C216" i="17"/>
  <c r="B216" i="17"/>
  <c r="AU215" i="17"/>
  <c r="AA215" i="17"/>
  <c r="S215" i="2" s="1"/>
  <c r="T215" i="2" s="1"/>
  <c r="Q215" i="17"/>
  <c r="E215" i="17"/>
  <c r="D215" i="17"/>
  <c r="C215" i="17"/>
  <c r="B215" i="17"/>
  <c r="AU214" i="17"/>
  <c r="AA214" i="17"/>
  <c r="S214" i="2" s="1"/>
  <c r="T214" i="2" s="1"/>
  <c r="Q214" i="17"/>
  <c r="E214" i="17"/>
  <c r="D214" i="17"/>
  <c r="C214" i="17"/>
  <c r="B214" i="17"/>
  <c r="AU213" i="17"/>
  <c r="AA213" i="17"/>
  <c r="Q213" i="17"/>
  <c r="E213" i="17"/>
  <c r="D213" i="17"/>
  <c r="C213" i="17"/>
  <c r="B213" i="17"/>
  <c r="AU212" i="17"/>
  <c r="AB212" i="17"/>
  <c r="AA212" i="17"/>
  <c r="Q212" i="17"/>
  <c r="E212" i="17"/>
  <c r="D212" i="17"/>
  <c r="C212" i="17"/>
  <c r="B212" i="17"/>
  <c r="AU211" i="17"/>
  <c r="AA211" i="17"/>
  <c r="S211" i="2" s="1"/>
  <c r="AD91" i="24" s="1"/>
  <c r="Q211" i="17"/>
  <c r="E211" i="17"/>
  <c r="D211" i="17"/>
  <c r="C211" i="17"/>
  <c r="B211" i="17"/>
  <c r="AU210" i="17"/>
  <c r="AA210" i="17"/>
  <c r="Q210" i="17"/>
  <c r="E210" i="17"/>
  <c r="D210" i="17"/>
  <c r="C210" i="17"/>
  <c r="B210" i="17"/>
  <c r="AU209" i="17"/>
  <c r="AA209" i="17"/>
  <c r="S209" i="2" s="1"/>
  <c r="T209" i="2" s="1"/>
  <c r="Q209" i="17"/>
  <c r="E209" i="17"/>
  <c r="D209" i="17"/>
  <c r="C209" i="17"/>
  <c r="B209" i="17"/>
  <c r="AU208" i="17"/>
  <c r="AA208" i="17"/>
  <c r="S208" i="2" s="1"/>
  <c r="Q208" i="17"/>
  <c r="E208" i="17"/>
  <c r="D208" i="17"/>
  <c r="C208" i="17"/>
  <c r="B208" i="17"/>
  <c r="AA207" i="17"/>
  <c r="S207" i="2" s="1"/>
  <c r="T207" i="2" s="1"/>
  <c r="Q207" i="17"/>
  <c r="E207" i="17"/>
  <c r="D207" i="17"/>
  <c r="C207" i="17"/>
  <c r="B207" i="17"/>
  <c r="AU206" i="17"/>
  <c r="AA206" i="17"/>
  <c r="Q206" i="17"/>
  <c r="E206" i="17"/>
  <c r="D206" i="17"/>
  <c r="C206" i="17"/>
  <c r="B206" i="17"/>
  <c r="AU205" i="17"/>
  <c r="AA205" i="17"/>
  <c r="S205" i="2" s="1"/>
  <c r="AD87" i="24" s="1"/>
  <c r="Q205" i="17"/>
  <c r="E205" i="17"/>
  <c r="D205" i="17"/>
  <c r="C205" i="17"/>
  <c r="B205" i="17"/>
  <c r="AU204" i="17"/>
  <c r="AA204" i="17"/>
  <c r="S204" i="2" s="1"/>
  <c r="T204" i="2" s="1"/>
  <c r="Q204" i="17"/>
  <c r="E204" i="17"/>
  <c r="D204" i="17"/>
  <c r="C204" i="17"/>
  <c r="B204" i="17"/>
  <c r="AU203" i="17"/>
  <c r="AA203" i="17"/>
  <c r="Q203" i="17"/>
  <c r="E203" i="17"/>
  <c r="D203" i="17"/>
  <c r="C203" i="17"/>
  <c r="B203" i="17"/>
  <c r="AU202" i="17"/>
  <c r="AA202" i="17"/>
  <c r="Q202" i="17"/>
  <c r="E202" i="17"/>
  <c r="D202" i="17"/>
  <c r="C202" i="17"/>
  <c r="B202" i="17"/>
  <c r="AU201" i="17"/>
  <c r="AA201" i="17"/>
  <c r="S201" i="2" s="1"/>
  <c r="AD62" i="24" s="1"/>
  <c r="Q201" i="17"/>
  <c r="E201" i="17"/>
  <c r="D201" i="17"/>
  <c r="C201" i="17"/>
  <c r="B201" i="17"/>
  <c r="AU200" i="17"/>
  <c r="AA200" i="17"/>
  <c r="S200" i="2" s="1"/>
  <c r="AD76" i="24" s="1"/>
  <c r="Q200" i="17"/>
  <c r="E200" i="17"/>
  <c r="D200" i="17"/>
  <c r="C200" i="17"/>
  <c r="B200" i="17"/>
  <c r="AU199" i="17"/>
  <c r="AA199" i="17"/>
  <c r="S199" i="2" s="1"/>
  <c r="Q199" i="17"/>
  <c r="E199" i="17"/>
  <c r="D199" i="17"/>
  <c r="C199" i="17"/>
  <c r="B199" i="17"/>
  <c r="AU198" i="17"/>
  <c r="AA198" i="17"/>
  <c r="S198" i="2" s="1"/>
  <c r="Q198" i="17"/>
  <c r="E198" i="17"/>
  <c r="D198" i="17"/>
  <c r="C198" i="17"/>
  <c r="B198" i="17"/>
  <c r="AU197" i="17"/>
  <c r="AA197" i="17"/>
  <c r="S197" i="2" s="1"/>
  <c r="AD65" i="24" s="1"/>
  <c r="Q197" i="17"/>
  <c r="E197" i="17"/>
  <c r="D197" i="17"/>
  <c r="C197" i="17"/>
  <c r="B197" i="17"/>
  <c r="AU196" i="17"/>
  <c r="AA196" i="17"/>
  <c r="S196" i="2" s="1"/>
  <c r="Q196" i="17"/>
  <c r="E196" i="17"/>
  <c r="D196" i="17"/>
  <c r="C196" i="17"/>
  <c r="B196" i="17"/>
  <c r="AU195" i="17"/>
  <c r="AA195" i="17"/>
  <c r="S195" i="2" s="1"/>
  <c r="T195" i="2" s="1"/>
  <c r="G195" i="23" s="1"/>
  <c r="Q195" i="17"/>
  <c r="E195" i="17"/>
  <c r="D195" i="17"/>
  <c r="C195" i="17"/>
  <c r="B195" i="17"/>
  <c r="AU194" i="17"/>
  <c r="AA194" i="17"/>
  <c r="S194" i="2" s="1"/>
  <c r="T194" i="2" s="1"/>
  <c r="Q194" i="17"/>
  <c r="E194" i="17"/>
  <c r="D194" i="17"/>
  <c r="C194" i="17"/>
  <c r="B194" i="17"/>
  <c r="AU193" i="17"/>
  <c r="AA193" i="17"/>
  <c r="Q193" i="17"/>
  <c r="E193" i="17"/>
  <c r="D193" i="17"/>
  <c r="C193" i="17"/>
  <c r="B193" i="17"/>
  <c r="AU192" i="17"/>
  <c r="AA192" i="17"/>
  <c r="S192" i="2" s="1"/>
  <c r="T192" i="2" s="1"/>
  <c r="S287" i="32" s="1"/>
  <c r="Q192" i="17"/>
  <c r="E192" i="17"/>
  <c r="D192" i="17"/>
  <c r="C192" i="17"/>
  <c r="B192" i="17"/>
  <c r="AU191" i="17"/>
  <c r="AA191" i="17"/>
  <c r="Q191" i="17"/>
  <c r="E191" i="17"/>
  <c r="D191" i="17"/>
  <c r="C191" i="17"/>
  <c r="B191" i="17"/>
  <c r="AU190" i="17"/>
  <c r="AA190" i="17"/>
  <c r="S190" i="2" s="1"/>
  <c r="T190" i="2" s="1"/>
  <c r="Q190" i="17"/>
  <c r="E190" i="17"/>
  <c r="D190" i="17"/>
  <c r="C190" i="17"/>
  <c r="B190" i="17"/>
  <c r="AU189" i="17"/>
  <c r="AA189" i="17"/>
  <c r="S189" i="2" s="1"/>
  <c r="AD71" i="24" s="1"/>
  <c r="Q189" i="17"/>
  <c r="E189" i="17"/>
  <c r="D189" i="17"/>
  <c r="C189" i="17"/>
  <c r="B189" i="17"/>
  <c r="AU188" i="17"/>
  <c r="AA188" i="17"/>
  <c r="S188" i="2" s="1"/>
  <c r="T188" i="2" s="1"/>
  <c r="G188" i="23" s="1"/>
  <c r="Q188" i="17"/>
  <c r="E188" i="17"/>
  <c r="D188" i="17"/>
  <c r="C188" i="17"/>
  <c r="B188" i="17"/>
  <c r="AU187" i="17"/>
  <c r="AA187" i="17"/>
  <c r="S187" i="2" s="1"/>
  <c r="T187" i="2" s="1"/>
  <c r="Q187" i="17"/>
  <c r="E187" i="17"/>
  <c r="D187" i="17"/>
  <c r="C187" i="17"/>
  <c r="B187" i="17"/>
  <c r="AU186" i="17"/>
  <c r="AA186" i="17"/>
  <c r="S186" i="2" s="1"/>
  <c r="T186" i="2" s="1"/>
  <c r="Q186" i="17"/>
  <c r="E186" i="17"/>
  <c r="D186" i="17"/>
  <c r="C186" i="17"/>
  <c r="B186" i="17"/>
  <c r="AU185" i="17"/>
  <c r="AA185" i="17"/>
  <c r="S185" i="2" s="1"/>
  <c r="T185" i="2" s="1"/>
  <c r="S280" i="32" s="1"/>
  <c r="Q185" i="17"/>
  <c r="E185" i="17"/>
  <c r="D185" i="17"/>
  <c r="C185" i="17"/>
  <c r="B185" i="17"/>
  <c r="AU184" i="17"/>
  <c r="AA184" i="17"/>
  <c r="S184" i="2" s="1"/>
  <c r="T184" i="2" s="1"/>
  <c r="Q184" i="17"/>
  <c r="E184" i="17"/>
  <c r="D184" i="17"/>
  <c r="C184" i="17"/>
  <c r="B184" i="17"/>
  <c r="AU183" i="17"/>
  <c r="AA183" i="17"/>
  <c r="S183" i="2" s="1"/>
  <c r="T183" i="2" s="1"/>
  <c r="Q183" i="17"/>
  <c r="E183" i="17"/>
  <c r="D183" i="17"/>
  <c r="C183" i="17"/>
  <c r="B183" i="17"/>
  <c r="AU182" i="17"/>
  <c r="AA182" i="17"/>
  <c r="S182" i="2" s="1"/>
  <c r="Q182" i="17"/>
  <c r="E182" i="17"/>
  <c r="D182" i="17"/>
  <c r="C182" i="17"/>
  <c r="B182" i="17"/>
  <c r="AU181" i="17"/>
  <c r="AA181" i="17"/>
  <c r="S181" i="2" s="1"/>
  <c r="AD11" i="24" s="1"/>
  <c r="Q181" i="17"/>
  <c r="E181" i="17"/>
  <c r="D181" i="17"/>
  <c r="C181" i="17"/>
  <c r="B181" i="17"/>
  <c r="AU180" i="17"/>
  <c r="AA180" i="17"/>
  <c r="S180" i="2" s="1"/>
  <c r="AD9" i="24" s="1"/>
  <c r="Q180" i="17"/>
  <c r="E180" i="17"/>
  <c r="D180" i="17"/>
  <c r="C180" i="17"/>
  <c r="B180" i="17"/>
  <c r="AU179" i="17"/>
  <c r="AA179" i="17"/>
  <c r="S179" i="2" s="1"/>
  <c r="AD54" i="24" s="1"/>
  <c r="Q179" i="17"/>
  <c r="E179" i="17"/>
  <c r="D179" i="17"/>
  <c r="C179" i="17"/>
  <c r="B179" i="17"/>
  <c r="AU178" i="17"/>
  <c r="AA178" i="17"/>
  <c r="S178" i="2" s="1"/>
  <c r="Q178" i="17"/>
  <c r="E178" i="17"/>
  <c r="D178" i="17"/>
  <c r="C178" i="17"/>
  <c r="B178" i="17"/>
  <c r="AU177" i="17"/>
  <c r="AA177" i="17"/>
  <c r="S177" i="2" s="1"/>
  <c r="AD13" i="24" s="1"/>
  <c r="Q177" i="17"/>
  <c r="E177" i="17"/>
  <c r="D177" i="17"/>
  <c r="C177" i="17"/>
  <c r="B177" i="17"/>
  <c r="AU176" i="17"/>
  <c r="AA176" i="17"/>
  <c r="S176" i="2" s="1"/>
  <c r="AD53" i="24" s="1"/>
  <c r="Q176" i="17"/>
  <c r="E176" i="17"/>
  <c r="D176" i="17"/>
  <c r="C176" i="17"/>
  <c r="B176" i="17"/>
  <c r="AU175" i="17"/>
  <c r="AA175" i="17"/>
  <c r="Q175" i="17"/>
  <c r="E175" i="17"/>
  <c r="D175" i="17"/>
  <c r="C175" i="17"/>
  <c r="B175" i="17"/>
  <c r="AU174" i="17"/>
  <c r="AA174" i="17"/>
  <c r="Q174" i="17"/>
  <c r="E174" i="17"/>
  <c r="D174" i="17"/>
  <c r="C174" i="17"/>
  <c r="B174" i="17"/>
  <c r="AU173" i="17"/>
  <c r="AA173" i="17"/>
  <c r="S173" i="2" s="1"/>
  <c r="T173" i="2" s="1"/>
  <c r="Q173" i="17"/>
  <c r="E173" i="17"/>
  <c r="D173" i="17"/>
  <c r="C173" i="17"/>
  <c r="B173" i="17"/>
  <c r="AU172" i="17"/>
  <c r="AA172" i="17"/>
  <c r="S172" i="2" s="1"/>
  <c r="T172" i="2" s="1"/>
  <c r="Q172" i="17"/>
  <c r="E172" i="17"/>
  <c r="D172" i="17"/>
  <c r="C172" i="17"/>
  <c r="B172" i="17"/>
  <c r="AU171" i="17"/>
  <c r="AA171" i="17"/>
  <c r="S171" i="2" s="1"/>
  <c r="T171" i="2" s="1"/>
  <c r="Q171" i="17"/>
  <c r="E171" i="17"/>
  <c r="D171" i="17"/>
  <c r="C171" i="17"/>
  <c r="B171" i="17"/>
  <c r="AU170" i="17"/>
  <c r="AA170" i="17"/>
  <c r="S170" i="2" s="1"/>
  <c r="T170" i="2" s="1"/>
  <c r="Q170" i="17"/>
  <c r="E170" i="17"/>
  <c r="D170" i="17"/>
  <c r="C170" i="17"/>
  <c r="B170" i="17"/>
  <c r="AU169" i="17"/>
  <c r="AA169" i="17"/>
  <c r="S169" i="2" s="1"/>
  <c r="T169" i="2" s="1"/>
  <c r="Q169" i="17"/>
  <c r="E169" i="17"/>
  <c r="D169" i="17"/>
  <c r="C169" i="17"/>
  <c r="B169" i="17"/>
  <c r="AU168" i="17"/>
  <c r="AA168" i="17"/>
  <c r="S168" i="2" s="1"/>
  <c r="T168" i="2" s="1"/>
  <c r="Q168" i="17"/>
  <c r="E168" i="17"/>
  <c r="D168" i="17"/>
  <c r="C168" i="17"/>
  <c r="B168" i="17"/>
  <c r="AU167" i="17"/>
  <c r="AA167" i="17"/>
  <c r="S167" i="2" s="1"/>
  <c r="T167" i="2" s="1"/>
  <c r="Q167" i="17"/>
  <c r="E167" i="17"/>
  <c r="D167" i="17"/>
  <c r="C167" i="17"/>
  <c r="B167" i="17"/>
  <c r="AU166" i="17"/>
  <c r="AA166" i="17"/>
  <c r="S166" i="2" s="1"/>
  <c r="T166" i="2" s="1"/>
  <c r="Q166" i="17"/>
  <c r="E166" i="17"/>
  <c r="D166" i="17"/>
  <c r="C166" i="17"/>
  <c r="B166" i="17"/>
  <c r="AU165" i="17"/>
  <c r="AA165" i="17"/>
  <c r="S165" i="2" s="1"/>
  <c r="T165" i="2" s="1"/>
  <c r="Q165" i="17"/>
  <c r="E165" i="17"/>
  <c r="D165" i="17"/>
  <c r="C165" i="17"/>
  <c r="B165" i="17"/>
  <c r="AU164" i="17"/>
  <c r="AA164" i="17"/>
  <c r="S164" i="2" s="1"/>
  <c r="T164" i="2" s="1"/>
  <c r="Q164" i="17"/>
  <c r="E164" i="17"/>
  <c r="D164" i="17"/>
  <c r="C164" i="17"/>
  <c r="B164" i="17"/>
  <c r="AU163" i="17"/>
  <c r="AA163" i="17"/>
  <c r="S163" i="2" s="1"/>
  <c r="T163" i="2" s="1"/>
  <c r="Q163" i="17"/>
  <c r="E163" i="17"/>
  <c r="D163" i="17"/>
  <c r="C163" i="17"/>
  <c r="B163" i="17"/>
  <c r="AU162" i="17"/>
  <c r="AA162" i="17"/>
  <c r="Q162" i="17"/>
  <c r="E162" i="17"/>
  <c r="D162" i="17"/>
  <c r="C162" i="17"/>
  <c r="B162" i="17"/>
  <c r="AU161" i="17"/>
  <c r="AA161" i="17"/>
  <c r="S161" i="2" s="1"/>
  <c r="T161" i="2" s="1"/>
  <c r="Q161" i="17"/>
  <c r="E161" i="17"/>
  <c r="D161" i="17"/>
  <c r="C161" i="17"/>
  <c r="B161" i="17"/>
  <c r="AU160" i="17"/>
  <c r="AA160" i="17"/>
  <c r="S160" i="2" s="1"/>
  <c r="T160" i="2" s="1"/>
  <c r="G160" i="23" s="1"/>
  <c r="Q160" i="17"/>
  <c r="E160" i="17"/>
  <c r="D160" i="17"/>
  <c r="C160" i="17"/>
  <c r="B160" i="17"/>
  <c r="AU159" i="17"/>
  <c r="AA159" i="17"/>
  <c r="S159" i="2" s="1"/>
  <c r="T159" i="2" s="1"/>
  <c r="Q159" i="17"/>
  <c r="E159" i="17"/>
  <c r="D159" i="17"/>
  <c r="C159" i="17"/>
  <c r="B159" i="17"/>
  <c r="AU158" i="17"/>
  <c r="AA158" i="17"/>
  <c r="Q158" i="17"/>
  <c r="E158" i="17"/>
  <c r="D158" i="17"/>
  <c r="C158" i="17"/>
  <c r="B158" i="17"/>
  <c r="AU157" i="17"/>
  <c r="AA157" i="17"/>
  <c r="S157" i="2" s="1"/>
  <c r="T157" i="2" s="1"/>
  <c r="Q157" i="17"/>
  <c r="E157" i="17"/>
  <c r="D157" i="17"/>
  <c r="C157" i="17"/>
  <c r="B157" i="17"/>
  <c r="AU156" i="17"/>
  <c r="AA156" i="17"/>
  <c r="S156" i="2" s="1"/>
  <c r="T156" i="2" s="1"/>
  <c r="Q156" i="17"/>
  <c r="E156" i="17"/>
  <c r="D156" i="17"/>
  <c r="C156" i="17"/>
  <c r="B156" i="17"/>
  <c r="AU155" i="17"/>
  <c r="AA155" i="17"/>
  <c r="S155" i="2" s="1"/>
  <c r="T155" i="2" s="1"/>
  <c r="Q155" i="17"/>
  <c r="E155" i="17"/>
  <c r="D155" i="17"/>
  <c r="C155" i="17"/>
  <c r="B155" i="17"/>
  <c r="AU154" i="17"/>
  <c r="AA154" i="17"/>
  <c r="S154" i="2" s="1"/>
  <c r="T154" i="2" s="1"/>
  <c r="Q154" i="17"/>
  <c r="E154" i="17"/>
  <c r="D154" i="17"/>
  <c r="C154" i="17"/>
  <c r="B154" i="17"/>
  <c r="AU153" i="17"/>
  <c r="AA153" i="17"/>
  <c r="S153" i="2" s="1"/>
  <c r="T153" i="2" s="1"/>
  <c r="Q153" i="17"/>
  <c r="E153" i="17"/>
  <c r="D153" i="17"/>
  <c r="C153" i="17"/>
  <c r="B153" i="17"/>
  <c r="AU152" i="17"/>
  <c r="AA152" i="17"/>
  <c r="Q152" i="17"/>
  <c r="E152" i="17"/>
  <c r="D152" i="17"/>
  <c r="C152" i="17"/>
  <c r="B152" i="17"/>
  <c r="AU151" i="17"/>
  <c r="AA151" i="17"/>
  <c r="S151" i="2" s="1"/>
  <c r="T151" i="2" s="1"/>
  <c r="Q151" i="17"/>
  <c r="E151" i="17"/>
  <c r="D151" i="17"/>
  <c r="C151" i="17"/>
  <c r="B151" i="17"/>
  <c r="Q150" i="17"/>
  <c r="E150" i="17"/>
  <c r="D150" i="17"/>
  <c r="C150" i="17"/>
  <c r="B150" i="17"/>
  <c r="AU149" i="17"/>
  <c r="AA149" i="17"/>
  <c r="Q149" i="17"/>
  <c r="E149" i="17"/>
  <c r="D149" i="17"/>
  <c r="C149" i="17"/>
  <c r="B149" i="17"/>
  <c r="AU148" i="17"/>
  <c r="AA148" i="17"/>
  <c r="S148" i="2" s="1"/>
  <c r="T148" i="2" s="1"/>
  <c r="Q148" i="17"/>
  <c r="E148" i="17"/>
  <c r="D148" i="17"/>
  <c r="C148" i="17"/>
  <c r="B148" i="17"/>
  <c r="AU147" i="17"/>
  <c r="AA147" i="17"/>
  <c r="S147" i="2" s="1"/>
  <c r="T147" i="2" s="1"/>
  <c r="Q147" i="17"/>
  <c r="E147" i="17"/>
  <c r="D147" i="17"/>
  <c r="C147" i="17"/>
  <c r="B147" i="17"/>
  <c r="AU146" i="17"/>
  <c r="AA146" i="17"/>
  <c r="S146" i="2" s="1"/>
  <c r="T146" i="2" s="1"/>
  <c r="Q146" i="17"/>
  <c r="E146" i="17"/>
  <c r="D146" i="17"/>
  <c r="C146" i="17"/>
  <c r="B146" i="17"/>
  <c r="AU145" i="17"/>
  <c r="AA145" i="17"/>
  <c r="S145" i="2" s="1"/>
  <c r="T145" i="2" s="1"/>
  <c r="Q145" i="17"/>
  <c r="E145" i="17"/>
  <c r="D145" i="17"/>
  <c r="C145" i="17"/>
  <c r="B145" i="17"/>
  <c r="AU144" i="17"/>
  <c r="AA144" i="17"/>
  <c r="S144" i="2" s="1"/>
  <c r="T144" i="2" s="1"/>
  <c r="Q144" i="17"/>
  <c r="E144" i="17"/>
  <c r="D144" i="17"/>
  <c r="C144" i="17"/>
  <c r="B144" i="17"/>
  <c r="AU143" i="17"/>
  <c r="AA143" i="17"/>
  <c r="S143" i="2" s="1"/>
  <c r="T143" i="2" s="1"/>
  <c r="Q143" i="17"/>
  <c r="E143" i="17"/>
  <c r="D143" i="17"/>
  <c r="C143" i="17"/>
  <c r="B143" i="17"/>
  <c r="AU142" i="17"/>
  <c r="AA142" i="17"/>
  <c r="S142" i="2" s="1"/>
  <c r="T142" i="2" s="1"/>
  <c r="Q142" i="17"/>
  <c r="E142" i="17"/>
  <c r="D142" i="17"/>
  <c r="C142" i="17"/>
  <c r="B142" i="17"/>
  <c r="AU141" i="17"/>
  <c r="AA141" i="17"/>
  <c r="S141" i="2" s="1"/>
  <c r="T141" i="2" s="1"/>
  <c r="Q141" i="17"/>
  <c r="E141" i="17"/>
  <c r="D141" i="17"/>
  <c r="C141" i="17"/>
  <c r="B141" i="17"/>
  <c r="AU140" i="17"/>
  <c r="AA140" i="17"/>
  <c r="S140" i="2" s="1"/>
  <c r="T140" i="2" s="1"/>
  <c r="Q140" i="17"/>
  <c r="E140" i="17"/>
  <c r="D140" i="17"/>
  <c r="C140" i="17"/>
  <c r="B140" i="17"/>
  <c r="AU139" i="17"/>
  <c r="AA139" i="17"/>
  <c r="Q139" i="17"/>
  <c r="E139" i="17"/>
  <c r="D139" i="17"/>
  <c r="C139" i="17"/>
  <c r="B139" i="17"/>
  <c r="AU138" i="17"/>
  <c r="AA138" i="17"/>
  <c r="S138" i="2" s="1"/>
  <c r="T138" i="2" s="1"/>
  <c r="Q138" i="17"/>
  <c r="E138" i="17"/>
  <c r="D138" i="17"/>
  <c r="C138" i="17"/>
  <c r="B138" i="17"/>
  <c r="AU137" i="17"/>
  <c r="AA137" i="17"/>
  <c r="Q137" i="17"/>
  <c r="E137" i="17"/>
  <c r="D137" i="17"/>
  <c r="C137" i="17"/>
  <c r="B137" i="17"/>
  <c r="AU136" i="17"/>
  <c r="AA136" i="17"/>
  <c r="S136" i="2" s="1"/>
  <c r="T136" i="2" s="1"/>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S130" i="2" s="1"/>
  <c r="T130" i="2" s="1"/>
  <c r="Q130" i="17"/>
  <c r="E130" i="17"/>
  <c r="D130" i="17"/>
  <c r="C130" i="17"/>
  <c r="B130" i="17"/>
  <c r="AU129" i="17"/>
  <c r="AA129" i="17"/>
  <c r="S129" i="2" s="1"/>
  <c r="T129" i="2" s="1"/>
  <c r="Q129" i="17"/>
  <c r="E129" i="17"/>
  <c r="D129" i="17"/>
  <c r="C129" i="17"/>
  <c r="B129" i="17"/>
  <c r="AU128" i="17"/>
  <c r="AA128" i="17"/>
  <c r="S128" i="2" s="1"/>
  <c r="T128" i="2" s="1"/>
  <c r="Q128" i="17"/>
  <c r="E128" i="17"/>
  <c r="D128" i="17"/>
  <c r="C128" i="17"/>
  <c r="B128" i="17"/>
  <c r="AU127" i="17"/>
  <c r="AA127" i="17"/>
  <c r="S127" i="2" s="1"/>
  <c r="T127" i="2" s="1"/>
  <c r="Q127" i="17"/>
  <c r="E127" i="17"/>
  <c r="D127" i="17"/>
  <c r="C127" i="17"/>
  <c r="B127" i="17"/>
  <c r="AU126" i="17"/>
  <c r="AA126" i="17"/>
  <c r="Q126" i="17"/>
  <c r="E126" i="17"/>
  <c r="D126" i="17"/>
  <c r="C126" i="17"/>
  <c r="B126" i="17"/>
  <c r="AU125" i="17"/>
  <c r="AA125" i="17"/>
  <c r="Q125" i="17"/>
  <c r="E125" i="17"/>
  <c r="D125" i="17"/>
  <c r="C125" i="17"/>
  <c r="B125" i="17"/>
  <c r="AU124" i="17"/>
  <c r="AA124" i="17"/>
  <c r="S124" i="2" s="1"/>
  <c r="T124" i="2" s="1"/>
  <c r="Q124" i="17"/>
  <c r="E124" i="17"/>
  <c r="D124" i="17"/>
  <c r="C124" i="17"/>
  <c r="B124" i="17"/>
  <c r="AU123" i="17"/>
  <c r="AA123" i="17"/>
  <c r="Q123" i="17"/>
  <c r="E123" i="17"/>
  <c r="D123" i="17"/>
  <c r="C123" i="17"/>
  <c r="B123" i="17"/>
  <c r="AU122" i="17"/>
  <c r="AA122" i="17"/>
  <c r="S122" i="2" s="1"/>
  <c r="T122" i="2" s="1"/>
  <c r="Q122" i="17"/>
  <c r="E122" i="17"/>
  <c r="D122" i="17"/>
  <c r="C122" i="17"/>
  <c r="B122" i="17"/>
  <c r="AU121" i="17"/>
  <c r="AA121" i="17"/>
  <c r="S121" i="2" s="1"/>
  <c r="T121" i="2" s="1"/>
  <c r="Q121" i="17"/>
  <c r="E121" i="17"/>
  <c r="D121" i="17"/>
  <c r="C121" i="17"/>
  <c r="B121" i="17"/>
  <c r="AU120" i="17"/>
  <c r="AA120" i="17"/>
  <c r="S120" i="2" s="1"/>
  <c r="T120" i="2" s="1"/>
  <c r="Q120" i="17"/>
  <c r="E120" i="17"/>
  <c r="D120" i="17"/>
  <c r="C120" i="17"/>
  <c r="B120" i="17"/>
  <c r="AU119" i="17"/>
  <c r="AA119" i="17"/>
  <c r="S119" i="2" s="1"/>
  <c r="T119" i="2" s="1"/>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S114" i="2" s="1"/>
  <c r="T114" i="2" s="1"/>
  <c r="Q114" i="17"/>
  <c r="E114" i="17"/>
  <c r="D114" i="17"/>
  <c r="C114" i="17"/>
  <c r="B114" i="17"/>
  <c r="AU113" i="17"/>
  <c r="AA113" i="17"/>
  <c r="S113" i="2" s="1"/>
  <c r="T113" i="2" s="1"/>
  <c r="Q113" i="17"/>
  <c r="E113" i="17"/>
  <c r="D113" i="17"/>
  <c r="C113" i="17"/>
  <c r="B113" i="17"/>
  <c r="AU112" i="17"/>
  <c r="AA112" i="17"/>
  <c r="S112" i="2" s="1"/>
  <c r="T112" i="2" s="1"/>
  <c r="G112" i="23" s="1"/>
  <c r="Q112" i="17"/>
  <c r="E112" i="17"/>
  <c r="D112" i="17"/>
  <c r="C112" i="17"/>
  <c r="B112" i="17"/>
  <c r="AU111" i="17"/>
  <c r="AA111" i="17"/>
  <c r="S111" i="2" s="1"/>
  <c r="T111" i="2" s="1"/>
  <c r="G111" i="23" s="1"/>
  <c r="Q111" i="17"/>
  <c r="E111" i="17"/>
  <c r="D111" i="17"/>
  <c r="C111" i="17"/>
  <c r="B111" i="17"/>
  <c r="AU110" i="17"/>
  <c r="AA110" i="17"/>
  <c r="S110" i="2" s="1"/>
  <c r="T110" i="2" s="1"/>
  <c r="Q110" i="17"/>
  <c r="E110" i="17"/>
  <c r="D110" i="17"/>
  <c r="C110" i="17"/>
  <c r="B110" i="17"/>
  <c r="AU109" i="17"/>
  <c r="AA109" i="17"/>
  <c r="Q109" i="17"/>
  <c r="E109" i="17"/>
  <c r="D109" i="17"/>
  <c r="C109" i="17"/>
  <c r="B109" i="17"/>
  <c r="AU108" i="17"/>
  <c r="AA108" i="17"/>
  <c r="Q108" i="17"/>
  <c r="E108" i="17"/>
  <c r="D108" i="17"/>
  <c r="C108" i="17"/>
  <c r="B108" i="17"/>
  <c r="AU107" i="17"/>
  <c r="AA107" i="17"/>
  <c r="S107" i="2" s="1"/>
  <c r="T107" i="2" s="1"/>
  <c r="Q107" i="17"/>
  <c r="E107" i="17"/>
  <c r="D107" i="17"/>
  <c r="C107" i="17"/>
  <c r="B107" i="17"/>
  <c r="AU106" i="17"/>
  <c r="AA106" i="17"/>
  <c r="Q106" i="17"/>
  <c r="E106" i="17"/>
  <c r="D106" i="17"/>
  <c r="C106" i="17"/>
  <c r="B106" i="17"/>
  <c r="AU105" i="17"/>
  <c r="AA105" i="17"/>
  <c r="S105" i="2" s="1"/>
  <c r="T105" i="2" s="1"/>
  <c r="Q105" i="17"/>
  <c r="E105" i="17"/>
  <c r="D105" i="17"/>
  <c r="C105" i="17"/>
  <c r="B105" i="17"/>
  <c r="AU104" i="17"/>
  <c r="AA104" i="17"/>
  <c r="Q104" i="17"/>
  <c r="E104" i="17"/>
  <c r="D104" i="17"/>
  <c r="C104" i="17"/>
  <c r="B104" i="17"/>
  <c r="AU103" i="17"/>
  <c r="AA103" i="17"/>
  <c r="S103" i="2" s="1"/>
  <c r="T103" i="2" s="1"/>
  <c r="Q103" i="17"/>
  <c r="E103" i="17"/>
  <c r="D103" i="17"/>
  <c r="C103" i="17"/>
  <c r="B103" i="17"/>
  <c r="AU102" i="17"/>
  <c r="AA102" i="17"/>
  <c r="S102" i="2" s="1"/>
  <c r="T102" i="2" s="1"/>
  <c r="Q102" i="17"/>
  <c r="E102" i="17"/>
  <c r="D102" i="17"/>
  <c r="C102" i="17"/>
  <c r="B102" i="17"/>
  <c r="AU101" i="17"/>
  <c r="AA101" i="17"/>
  <c r="S101" i="2" s="1"/>
  <c r="T101" i="2" s="1"/>
  <c r="Q101" i="17"/>
  <c r="E101" i="17"/>
  <c r="D101" i="17"/>
  <c r="C101" i="17"/>
  <c r="B101" i="17"/>
  <c r="AU100" i="17"/>
  <c r="AA100" i="17"/>
  <c r="S100" i="2" s="1"/>
  <c r="T100" i="2" s="1"/>
  <c r="Q100" i="17"/>
  <c r="E100" i="17"/>
  <c r="D100" i="17"/>
  <c r="C100" i="17"/>
  <c r="B100" i="17"/>
  <c r="AU99" i="17"/>
  <c r="AA99" i="17"/>
  <c r="S99" i="2" s="1"/>
  <c r="T99" i="2" s="1"/>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S95" i="2" s="1"/>
  <c r="T95" i="2" s="1"/>
  <c r="Q95" i="17"/>
  <c r="E95" i="17"/>
  <c r="D95" i="17"/>
  <c r="C95" i="17"/>
  <c r="B95" i="17"/>
  <c r="AU94" i="17"/>
  <c r="AA94" i="17"/>
  <c r="S94" i="2" s="1"/>
  <c r="T94" i="2" s="1"/>
  <c r="Q94" i="17"/>
  <c r="E94" i="17"/>
  <c r="D94" i="17"/>
  <c r="C94" i="17"/>
  <c r="B94" i="17"/>
  <c r="AU93" i="17"/>
  <c r="AA93" i="17"/>
  <c r="S93" i="2" s="1"/>
  <c r="T93" i="2" s="1"/>
  <c r="Q93" i="17"/>
  <c r="E93" i="17"/>
  <c r="D93" i="17"/>
  <c r="C93" i="17"/>
  <c r="B93" i="17"/>
  <c r="AU92" i="17"/>
  <c r="AA92" i="17"/>
  <c r="S92" i="2" s="1"/>
  <c r="T92" i="2" s="1"/>
  <c r="Q92" i="17"/>
  <c r="E92" i="17"/>
  <c r="D92" i="17"/>
  <c r="C92" i="17"/>
  <c r="B92" i="17"/>
  <c r="AU91" i="17"/>
  <c r="AA91" i="17"/>
  <c r="S91" i="2" s="1"/>
  <c r="T91" i="2" s="1"/>
  <c r="Q91" i="17"/>
  <c r="E91" i="17"/>
  <c r="D91" i="17"/>
  <c r="C91" i="17"/>
  <c r="B91" i="17"/>
  <c r="AU90" i="17"/>
  <c r="AA90" i="17"/>
  <c r="S90" i="2" s="1"/>
  <c r="T90" i="2" s="1"/>
  <c r="Q90" i="17"/>
  <c r="E90" i="17"/>
  <c r="D90" i="17"/>
  <c r="C90" i="17"/>
  <c r="B90" i="17"/>
  <c r="AU89" i="17"/>
  <c r="AA89" i="17"/>
  <c r="S89" i="2" s="1"/>
  <c r="T89" i="2" s="1"/>
  <c r="Q89" i="17"/>
  <c r="E89" i="17"/>
  <c r="D89" i="17"/>
  <c r="C89" i="17"/>
  <c r="B89" i="17"/>
  <c r="AU88" i="17"/>
  <c r="AA88" i="17"/>
  <c r="S88" i="2" s="1"/>
  <c r="T88" i="2" s="1"/>
  <c r="Q88" i="17"/>
  <c r="E88" i="17"/>
  <c r="D88" i="17"/>
  <c r="C88" i="17"/>
  <c r="B88" i="17"/>
  <c r="AU87" i="17"/>
  <c r="AA87" i="17"/>
  <c r="S87" i="2" s="1"/>
  <c r="T87" i="2" s="1"/>
  <c r="Q87" i="17"/>
  <c r="E87" i="17"/>
  <c r="D87" i="17"/>
  <c r="C87" i="17"/>
  <c r="B87" i="17"/>
  <c r="AU86" i="17"/>
  <c r="AA86" i="17"/>
  <c r="S86" i="2" s="1"/>
  <c r="T86" i="2" s="1"/>
  <c r="Q86" i="17"/>
  <c r="E86" i="17"/>
  <c r="D86" i="17"/>
  <c r="C86" i="17"/>
  <c r="B86" i="17"/>
  <c r="AU85" i="17"/>
  <c r="AA85" i="17"/>
  <c r="S85" i="2" s="1"/>
  <c r="T85" i="2" s="1"/>
  <c r="Q85" i="17"/>
  <c r="E85" i="17"/>
  <c r="D85" i="17"/>
  <c r="C85" i="17"/>
  <c r="B85" i="17"/>
  <c r="AU84" i="17"/>
  <c r="AA84" i="17"/>
  <c r="S84" i="2" s="1"/>
  <c r="T84" i="2" s="1"/>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S80" i="2" s="1"/>
  <c r="T80" i="2" s="1"/>
  <c r="G80" i="23" s="1"/>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S75" i="2" s="1"/>
  <c r="T75" i="2" s="1"/>
  <c r="Q75" i="17"/>
  <c r="E75" i="17"/>
  <c r="D75" i="17"/>
  <c r="C75" i="17"/>
  <c r="B75" i="17"/>
  <c r="AU74" i="17"/>
  <c r="AA74" i="17"/>
  <c r="Q74" i="17"/>
  <c r="E74" i="17"/>
  <c r="D74" i="17"/>
  <c r="C74" i="17"/>
  <c r="B74" i="17"/>
  <c r="AU73" i="17"/>
  <c r="AA73" i="17"/>
  <c r="Q73" i="17"/>
  <c r="E73" i="17"/>
  <c r="D73" i="17"/>
  <c r="C73" i="17"/>
  <c r="B73" i="17"/>
  <c r="AU72" i="17"/>
  <c r="AA72" i="17"/>
  <c r="S72" i="2" s="1"/>
  <c r="T72" i="2" s="1"/>
  <c r="G72" i="23" s="1"/>
  <c r="Q72" i="17"/>
  <c r="E72" i="17"/>
  <c r="D72" i="17"/>
  <c r="C72" i="17"/>
  <c r="B72" i="17"/>
  <c r="AU71" i="17"/>
  <c r="AA71" i="17"/>
  <c r="Q71" i="17"/>
  <c r="E71" i="17"/>
  <c r="D71" i="17"/>
  <c r="C71" i="17"/>
  <c r="B71" i="17"/>
  <c r="AU70" i="17"/>
  <c r="AA70" i="17"/>
  <c r="Q70" i="17"/>
  <c r="E70" i="17"/>
  <c r="D70" i="17"/>
  <c r="C70" i="17"/>
  <c r="B70" i="17"/>
  <c r="AU69" i="17"/>
  <c r="AA69" i="17"/>
  <c r="S69" i="2" s="1"/>
  <c r="T69" i="2" s="1"/>
  <c r="Q69" i="17"/>
  <c r="E69" i="17"/>
  <c r="D69" i="17"/>
  <c r="C69" i="17"/>
  <c r="B69" i="17"/>
  <c r="AU68" i="17"/>
  <c r="AA68" i="17"/>
  <c r="Q68" i="17"/>
  <c r="E68" i="17"/>
  <c r="D68" i="17"/>
  <c r="C68" i="17"/>
  <c r="B68" i="17"/>
  <c r="AU67" i="17"/>
  <c r="AA67" i="17"/>
  <c r="S67" i="2" s="1"/>
  <c r="T67" i="2" s="1"/>
  <c r="Q67" i="17"/>
  <c r="E67" i="17"/>
  <c r="D67" i="17"/>
  <c r="C67" i="17"/>
  <c r="B67" i="17"/>
  <c r="AU66" i="17"/>
  <c r="AA66" i="17"/>
  <c r="S66" i="2" s="1"/>
  <c r="T66" i="2" s="1"/>
  <c r="Q66" i="17"/>
  <c r="E66" i="17"/>
  <c r="D66" i="17"/>
  <c r="C66" i="17"/>
  <c r="B66" i="17"/>
  <c r="AU65" i="17"/>
  <c r="AA65" i="17"/>
  <c r="S65" i="2" s="1"/>
  <c r="T65" i="2" s="1"/>
  <c r="Q65" i="17"/>
  <c r="E65" i="17"/>
  <c r="D65" i="17"/>
  <c r="C65" i="17"/>
  <c r="B65" i="17"/>
  <c r="AU64" i="17"/>
  <c r="AA64" i="17"/>
  <c r="S64" i="2" s="1"/>
  <c r="T64" i="2" s="1"/>
  <c r="Q64" i="17"/>
  <c r="E64" i="17"/>
  <c r="D64" i="17"/>
  <c r="C64" i="17"/>
  <c r="B64" i="17"/>
  <c r="AU63" i="17"/>
  <c r="AA63" i="17"/>
  <c r="S63" i="2" s="1"/>
  <c r="T63" i="2" s="1"/>
  <c r="Q63" i="17"/>
  <c r="E63" i="17"/>
  <c r="D63" i="17"/>
  <c r="C63" i="17"/>
  <c r="B63" i="17"/>
  <c r="AU62" i="17"/>
  <c r="Q62" i="17"/>
  <c r="E62" i="17"/>
  <c r="D62" i="17"/>
  <c r="C62" i="17"/>
  <c r="B62" i="17"/>
  <c r="AU61" i="17"/>
  <c r="AA61" i="17"/>
  <c r="S61" i="2" s="1"/>
  <c r="T61" i="2" s="1"/>
  <c r="Q61" i="17"/>
  <c r="E61" i="17"/>
  <c r="D61" i="17"/>
  <c r="C61" i="17"/>
  <c r="B61" i="17"/>
  <c r="AU60" i="17"/>
  <c r="AA60" i="17"/>
  <c r="S60" i="2" s="1"/>
  <c r="T60" i="2" s="1"/>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S53" i="2" s="1"/>
  <c r="T53" i="2" s="1"/>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S49" i="2" s="1"/>
  <c r="T49" i="2" s="1"/>
  <c r="Q49" i="17"/>
  <c r="E49" i="17"/>
  <c r="D49" i="17"/>
  <c r="C49" i="17"/>
  <c r="B49" i="17"/>
  <c r="AU48" i="17"/>
  <c r="AA48" i="17"/>
  <c r="S48" i="2" s="1"/>
  <c r="T48" i="2" s="1"/>
  <c r="Q48" i="17"/>
  <c r="E48" i="17"/>
  <c r="D48" i="17"/>
  <c r="C48" i="17"/>
  <c r="B48" i="17"/>
  <c r="AU47" i="17"/>
  <c r="AA47" i="17"/>
  <c r="S47" i="2" s="1"/>
  <c r="T47" i="2" s="1"/>
  <c r="Q47" i="17"/>
  <c r="E47" i="17"/>
  <c r="D47" i="17"/>
  <c r="C47" i="17"/>
  <c r="B47" i="17"/>
  <c r="AU46" i="17"/>
  <c r="AA46" i="17"/>
  <c r="S46" i="2" s="1"/>
  <c r="T46" i="2" s="1"/>
  <c r="Q46" i="17"/>
  <c r="E46" i="17"/>
  <c r="D46" i="17"/>
  <c r="C46" i="17"/>
  <c r="B46" i="17"/>
  <c r="AU45" i="17"/>
  <c r="AA45" i="17"/>
  <c r="S45" i="2" s="1"/>
  <c r="T45" i="2" s="1"/>
  <c r="Q45" i="17"/>
  <c r="E45" i="17"/>
  <c r="D45" i="17"/>
  <c r="C45" i="17"/>
  <c r="B45" i="17"/>
  <c r="AU44" i="17"/>
  <c r="AA44" i="17"/>
  <c r="S44" i="2" s="1"/>
  <c r="T44" i="2" s="1"/>
  <c r="G44" i="23" s="1"/>
  <c r="Q44" i="17"/>
  <c r="E44" i="17"/>
  <c r="D44" i="17"/>
  <c r="C44" i="17"/>
  <c r="B44" i="17"/>
  <c r="AU43" i="17"/>
  <c r="AA43" i="17"/>
  <c r="Q43" i="17"/>
  <c r="E43" i="17"/>
  <c r="D43" i="17"/>
  <c r="C43" i="17"/>
  <c r="B43" i="17"/>
  <c r="AU42" i="17"/>
  <c r="AA42" i="17"/>
  <c r="S42" i="2" s="1"/>
  <c r="T42" i="2" s="1"/>
  <c r="Q42" i="17"/>
  <c r="E42" i="17"/>
  <c r="D42" i="17"/>
  <c r="C42" i="17"/>
  <c r="B42" i="17"/>
  <c r="AU41" i="17"/>
  <c r="AA41" i="17"/>
  <c r="Q41" i="17"/>
  <c r="E41" i="17"/>
  <c r="D41" i="17"/>
  <c r="C41" i="17"/>
  <c r="B41" i="17"/>
  <c r="AU40" i="17"/>
  <c r="AA40" i="17"/>
  <c r="S40" i="2" s="1"/>
  <c r="T40" i="2" s="1"/>
  <c r="G40" i="23" s="1"/>
  <c r="Q40" i="17"/>
  <c r="E40" i="17"/>
  <c r="D40" i="17"/>
  <c r="C40" i="17"/>
  <c r="B40" i="17"/>
  <c r="AU39" i="17"/>
  <c r="AA39" i="17"/>
  <c r="S39" i="2" s="1"/>
  <c r="T39" i="2" s="1"/>
  <c r="Q39" i="17"/>
  <c r="E39" i="17"/>
  <c r="D39" i="17"/>
  <c r="C39" i="17"/>
  <c r="B39" i="17"/>
  <c r="AU38" i="17"/>
  <c r="AA38" i="17"/>
  <c r="S38" i="2" s="1"/>
  <c r="T38" i="2" s="1"/>
  <c r="Q38" i="17"/>
  <c r="E38" i="17"/>
  <c r="D38" i="17"/>
  <c r="C38" i="17"/>
  <c r="B38" i="17"/>
  <c r="AU37" i="17"/>
  <c r="AA37" i="17"/>
  <c r="S37" i="2" s="1"/>
  <c r="T37" i="2" s="1"/>
  <c r="Q37" i="17"/>
  <c r="E37" i="17"/>
  <c r="D37" i="17"/>
  <c r="C37" i="17"/>
  <c r="B37" i="17"/>
  <c r="AU36" i="17"/>
  <c r="AA36" i="17"/>
  <c r="S36" i="2" s="1"/>
  <c r="T36" i="2" s="1"/>
  <c r="G36" i="23" s="1"/>
  <c r="Q36" i="17"/>
  <c r="E36" i="17"/>
  <c r="D36" i="17"/>
  <c r="C36" i="17"/>
  <c r="B36" i="17"/>
  <c r="AU35" i="17"/>
  <c r="AA35" i="17"/>
  <c r="S35" i="2" s="1"/>
  <c r="T35" i="2" s="1"/>
  <c r="G35" i="23" s="1"/>
  <c r="Q35" i="17"/>
  <c r="E35" i="17"/>
  <c r="D35" i="17"/>
  <c r="C35" i="17"/>
  <c r="B35" i="17"/>
  <c r="AU34" i="17"/>
  <c r="AA34" i="17"/>
  <c r="S34" i="2" s="1"/>
  <c r="T34" i="2" s="1"/>
  <c r="Q34" i="17"/>
  <c r="E34" i="17"/>
  <c r="D34" i="17"/>
  <c r="C34" i="17"/>
  <c r="B34" i="17"/>
  <c r="AU33" i="17"/>
  <c r="AA33" i="17"/>
  <c r="Q33" i="17"/>
  <c r="E33" i="17"/>
  <c r="D33" i="17"/>
  <c r="C33" i="17"/>
  <c r="B33" i="17"/>
  <c r="AU32" i="17"/>
  <c r="AA32" i="17"/>
  <c r="S32" i="2" s="1"/>
  <c r="T32" i="2" s="1"/>
  <c r="G32" i="23" s="1"/>
  <c r="Q32" i="17"/>
  <c r="E32" i="17"/>
  <c r="D32" i="17"/>
  <c r="C32" i="17"/>
  <c r="B32" i="17"/>
  <c r="AU31" i="17"/>
  <c r="AA31" i="17"/>
  <c r="S31" i="2" s="1"/>
  <c r="T31" i="2" s="1"/>
  <c r="G31" i="23" s="1"/>
  <c r="Q31" i="17"/>
  <c r="E31" i="17"/>
  <c r="D31" i="17"/>
  <c r="C31" i="17"/>
  <c r="B31" i="17"/>
  <c r="AU30" i="17"/>
  <c r="AA30" i="17"/>
  <c r="S30" i="2" s="1"/>
  <c r="T30" i="2" s="1"/>
  <c r="Q30" i="17"/>
  <c r="E30" i="17"/>
  <c r="D30" i="17"/>
  <c r="C30" i="17"/>
  <c r="B30" i="17"/>
  <c r="AU29" i="17"/>
  <c r="AA29" i="17"/>
  <c r="S29" i="2" s="1"/>
  <c r="T29" i="2" s="1"/>
  <c r="Q29" i="17"/>
  <c r="E29" i="17"/>
  <c r="D29" i="17"/>
  <c r="C29" i="17"/>
  <c r="B29" i="17"/>
  <c r="AU28" i="17"/>
  <c r="AA28" i="17"/>
  <c r="S28" i="2" s="1"/>
  <c r="T28" i="2" s="1"/>
  <c r="G28" i="23" s="1"/>
  <c r="Q28" i="17"/>
  <c r="E28" i="17"/>
  <c r="D28" i="17"/>
  <c r="C28" i="17"/>
  <c r="B28" i="17"/>
  <c r="AU27" i="17"/>
  <c r="AA27" i="17"/>
  <c r="S27" i="2" s="1"/>
  <c r="T27" i="2" s="1"/>
  <c r="G27" i="23" s="1"/>
  <c r="Q27" i="17"/>
  <c r="E27" i="17"/>
  <c r="D27" i="17"/>
  <c r="C27" i="17"/>
  <c r="B27" i="17"/>
  <c r="AU26" i="17"/>
  <c r="AA26" i="17"/>
  <c r="S26" i="2" s="1"/>
  <c r="T26" i="2" s="1"/>
  <c r="Q26" i="17"/>
  <c r="E26" i="17"/>
  <c r="D26" i="17"/>
  <c r="C26" i="17"/>
  <c r="B26" i="17"/>
  <c r="AU25" i="17"/>
  <c r="AA25" i="17"/>
  <c r="Q25" i="17"/>
  <c r="E25" i="17"/>
  <c r="D25" i="17"/>
  <c r="C25" i="17"/>
  <c r="B25" i="17"/>
  <c r="AU24" i="17"/>
  <c r="AA24" i="17"/>
  <c r="S24" i="2" s="1"/>
  <c r="T24" i="2" s="1"/>
  <c r="G24" i="23" s="1"/>
  <c r="Q24" i="17"/>
  <c r="E24" i="17"/>
  <c r="D24" i="17"/>
  <c r="C24" i="17"/>
  <c r="B24" i="17"/>
  <c r="AU23" i="17"/>
  <c r="AA23" i="17"/>
  <c r="S23" i="2" s="1"/>
  <c r="T23" i="2" s="1"/>
  <c r="Q23" i="17"/>
  <c r="E23" i="17"/>
  <c r="D23" i="17"/>
  <c r="C23" i="17"/>
  <c r="B23" i="17"/>
  <c r="AU22" i="17"/>
  <c r="AA22" i="17"/>
  <c r="Q22" i="17"/>
  <c r="E22" i="17"/>
  <c r="D22" i="17"/>
  <c r="C22" i="17"/>
  <c r="B22" i="17"/>
  <c r="AU21" i="17"/>
  <c r="AA21" i="17"/>
  <c r="S21" i="2" s="1"/>
  <c r="T21" i="2" s="1"/>
  <c r="Q21" i="17"/>
  <c r="E21" i="17"/>
  <c r="D21" i="17"/>
  <c r="C21" i="17"/>
  <c r="B21" i="17"/>
  <c r="AU20" i="17"/>
  <c r="AA20" i="17"/>
  <c r="Q20" i="17"/>
  <c r="E20" i="17"/>
  <c r="D20" i="17"/>
  <c r="C20" i="17"/>
  <c r="B20" i="17"/>
  <c r="AU19" i="17"/>
  <c r="AA19" i="17"/>
  <c r="S19" i="2" s="1"/>
  <c r="T19" i="2" s="1"/>
  <c r="Q19" i="17"/>
  <c r="E19" i="17"/>
  <c r="D19" i="17"/>
  <c r="C19" i="17"/>
  <c r="B19" i="17"/>
  <c r="AU18" i="17"/>
  <c r="AA18" i="17"/>
  <c r="Q18" i="17"/>
  <c r="E18" i="17"/>
  <c r="D18" i="17"/>
  <c r="C18" i="17"/>
  <c r="B18" i="17"/>
  <c r="AU17" i="17"/>
  <c r="AA17" i="17"/>
  <c r="Q17" i="17"/>
  <c r="E17" i="17"/>
  <c r="D17" i="17"/>
  <c r="C17" i="17"/>
  <c r="B17" i="17"/>
  <c r="AU16" i="17"/>
  <c r="AA16" i="17"/>
  <c r="S16" i="2" s="1"/>
  <c r="T16" i="2" s="1"/>
  <c r="Q16" i="17"/>
  <c r="E16" i="17"/>
  <c r="D16" i="17"/>
  <c r="C16" i="17"/>
  <c r="B16" i="17"/>
  <c r="AU15" i="17"/>
  <c r="AA15" i="17"/>
  <c r="Q15" i="17"/>
  <c r="E15" i="17"/>
  <c r="D15" i="17"/>
  <c r="C15" i="17"/>
  <c r="B15" i="17"/>
  <c r="AU14" i="17"/>
  <c r="AA14" i="17"/>
  <c r="S14" i="2" s="1"/>
  <c r="T14" i="2" s="1"/>
  <c r="Q14" i="17"/>
  <c r="E14" i="17"/>
  <c r="D14" i="17"/>
  <c r="C14" i="17"/>
  <c r="B14" i="17"/>
  <c r="AU13" i="17"/>
  <c r="AA13" i="17"/>
  <c r="Q13" i="17"/>
  <c r="E13" i="17"/>
  <c r="D13" i="17"/>
  <c r="C13" i="17"/>
  <c r="B13" i="17"/>
  <c r="AU12" i="17"/>
  <c r="AA12" i="17"/>
  <c r="S12" i="2" s="1"/>
  <c r="T12" i="2" s="1"/>
  <c r="G12" i="23" s="1"/>
  <c r="Q12" i="17"/>
  <c r="E12" i="17"/>
  <c r="D12" i="17"/>
  <c r="C12" i="17"/>
  <c r="B12" i="17"/>
  <c r="AU11" i="17"/>
  <c r="AA11" i="17"/>
  <c r="S11" i="2" s="1"/>
  <c r="T11" i="2" s="1"/>
  <c r="G11" i="23" s="1"/>
  <c r="Q11" i="17"/>
  <c r="E11" i="17"/>
  <c r="D11" i="17"/>
  <c r="C11" i="17"/>
  <c r="B11" i="17"/>
  <c r="AU10" i="17"/>
  <c r="AA10" i="17"/>
  <c r="S10" i="2" s="1"/>
  <c r="T10" i="2" s="1"/>
  <c r="Q10" i="17"/>
  <c r="E10" i="17"/>
  <c r="D10" i="17"/>
  <c r="C10" i="17"/>
  <c r="B10" i="17"/>
  <c r="AU9" i="17"/>
  <c r="AA9" i="17"/>
  <c r="S9" i="2" s="1"/>
  <c r="T9" i="2" s="1"/>
  <c r="G9" i="23" s="1"/>
  <c r="Q9" i="17"/>
  <c r="E9" i="17"/>
  <c r="D9" i="17"/>
  <c r="C9" i="17"/>
  <c r="B9" i="17"/>
  <c r="AU8" i="17"/>
  <c r="AA8" i="17"/>
  <c r="S8" i="2" s="1"/>
  <c r="T8" i="2" s="1"/>
  <c r="G8" i="23" s="1"/>
  <c r="Q8" i="17"/>
  <c r="E8" i="17"/>
  <c r="D8" i="17"/>
  <c r="C8" i="17"/>
  <c r="B8" i="17"/>
  <c r="AU7" i="17"/>
  <c r="AA7" i="17"/>
  <c r="S7" i="2" s="1"/>
  <c r="T7" i="2" s="1"/>
  <c r="Q7" i="17"/>
  <c r="H7" i="17"/>
  <c r="G7" i="17"/>
  <c r="F7" i="17"/>
  <c r="E7" i="17"/>
  <c r="D7" i="17"/>
  <c r="C7" i="17"/>
  <c r="B7" i="17"/>
  <c r="H4" i="6"/>
  <c r="H3" i="6"/>
  <c r="S600" i="2"/>
  <c r="T600" i="2" s="1"/>
  <c r="R600" i="2"/>
  <c r="Q600" i="2"/>
  <c r="O600" i="2"/>
  <c r="S599" i="2"/>
  <c r="T599" i="2" s="1"/>
  <c r="R599" i="2"/>
  <c r="Q599" i="2"/>
  <c r="O599" i="2"/>
  <c r="S598" i="2"/>
  <c r="T598" i="2" s="1"/>
  <c r="R598" i="2"/>
  <c r="Q598" i="2"/>
  <c r="O598" i="2"/>
  <c r="S597" i="2"/>
  <c r="T597" i="2" s="1"/>
  <c r="R597" i="2"/>
  <c r="Q597" i="2"/>
  <c r="O597" i="2"/>
  <c r="S596" i="2"/>
  <c r="T596" i="2" s="1"/>
  <c r="R596"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R587" i="2"/>
  <c r="Q587" i="2"/>
  <c r="O587" i="2"/>
  <c r="R586" i="2"/>
  <c r="Q586" i="2"/>
  <c r="O586" i="2"/>
  <c r="R585" i="2"/>
  <c r="Q585" i="2"/>
  <c r="O585" i="2"/>
  <c r="R584" i="2"/>
  <c r="Q584" i="2"/>
  <c r="O584" i="2"/>
  <c r="R583" i="2"/>
  <c r="Q583" i="2"/>
  <c r="O583" i="2"/>
  <c r="R582" i="2"/>
  <c r="Q582" i="2"/>
  <c r="O582" i="2"/>
  <c r="R581" i="2"/>
  <c r="Q581" i="2"/>
  <c r="O581" i="2"/>
  <c r="R580" i="2"/>
  <c r="Q580" i="2"/>
  <c r="O580" i="2"/>
  <c r="R579" i="2"/>
  <c r="Q579" i="2"/>
  <c r="O579" i="2"/>
  <c r="R578" i="2"/>
  <c r="Q578" i="2"/>
  <c r="O578" i="2"/>
  <c r="R577" i="2"/>
  <c r="Q577" i="2"/>
  <c r="O577" i="2"/>
  <c r="R576" i="2"/>
  <c r="Q576" i="2"/>
  <c r="O576" i="2"/>
  <c r="R575" i="2"/>
  <c r="Q575" i="2"/>
  <c r="O575" i="2"/>
  <c r="R574" i="2"/>
  <c r="Q574" i="2"/>
  <c r="O574" i="2"/>
  <c r="R573" i="2"/>
  <c r="Q573" i="2"/>
  <c r="O573" i="2"/>
  <c r="R572" i="2"/>
  <c r="Q572" i="2"/>
  <c r="O572" i="2"/>
  <c r="R571" i="2"/>
  <c r="Q571" i="2"/>
  <c r="O571" i="2"/>
  <c r="R570" i="2"/>
  <c r="Q570" i="2"/>
  <c r="O570" i="2"/>
  <c r="R569" i="2"/>
  <c r="Q569" i="2"/>
  <c r="O569" i="2"/>
  <c r="R568" i="2"/>
  <c r="Q568" i="2"/>
  <c r="O568" i="2"/>
  <c r="R567" i="2"/>
  <c r="Q567" i="2"/>
  <c r="O567" i="2"/>
  <c r="R566" i="2"/>
  <c r="Q566" i="2"/>
  <c r="O566" i="2"/>
  <c r="R565" i="2"/>
  <c r="Q565" i="2"/>
  <c r="O565" i="2"/>
  <c r="R564" i="2"/>
  <c r="Q564" i="2"/>
  <c r="O564" i="2"/>
  <c r="R563" i="2"/>
  <c r="Q563" i="2"/>
  <c r="O563" i="2"/>
  <c r="Q562" i="2"/>
  <c r="O562" i="2"/>
  <c r="R561" i="2"/>
  <c r="Q561" i="2"/>
  <c r="O561" i="2"/>
  <c r="R560" i="2"/>
  <c r="Q560" i="2"/>
  <c r="O560" i="2"/>
  <c r="R559" i="2"/>
  <c r="Q559" i="2"/>
  <c r="O559" i="2"/>
  <c r="R558" i="2"/>
  <c r="Q558" i="2"/>
  <c r="O558" i="2"/>
  <c r="R557" i="2"/>
  <c r="Q557" i="2"/>
  <c r="O557" i="2"/>
  <c r="R556" i="2"/>
  <c r="Q556" i="2"/>
  <c r="O556" i="2"/>
  <c r="R555" i="2"/>
  <c r="Q555" i="2"/>
  <c r="O555" i="2"/>
  <c r="R554" i="2"/>
  <c r="Q554" i="2"/>
  <c r="O554" i="2"/>
  <c r="R553" i="2"/>
  <c r="Q553" i="2"/>
  <c r="O553" i="2"/>
  <c r="R552" i="2"/>
  <c r="Q552" i="2"/>
  <c r="O552" i="2"/>
  <c r="R551" i="2"/>
  <c r="Q551" i="2"/>
  <c r="O551" i="2"/>
  <c r="R550" i="2"/>
  <c r="Q550" i="2"/>
  <c r="O550" i="2"/>
  <c r="R549" i="2"/>
  <c r="Q549" i="2"/>
  <c r="O549" i="2"/>
  <c r="R548" i="2"/>
  <c r="Q548" i="2"/>
  <c r="O548" i="2"/>
  <c r="R547" i="2"/>
  <c r="Q547" i="2"/>
  <c r="O547" i="2"/>
  <c r="R546" i="2"/>
  <c r="Q546" i="2"/>
  <c r="O546" i="2"/>
  <c r="R545" i="2"/>
  <c r="Q545" i="2"/>
  <c r="O545" i="2"/>
  <c r="R544" i="2"/>
  <c r="Q544" i="2"/>
  <c r="O544" i="2"/>
  <c r="R543" i="2"/>
  <c r="Q543" i="2"/>
  <c r="O543" i="2"/>
  <c r="R542" i="2"/>
  <c r="Q542" i="2"/>
  <c r="O542" i="2"/>
  <c r="R541" i="2"/>
  <c r="Q541" i="2"/>
  <c r="O541" i="2"/>
  <c r="R540" i="2"/>
  <c r="Q540" i="2"/>
  <c r="O540" i="2"/>
  <c r="Q539" i="2"/>
  <c r="O539" i="2"/>
  <c r="R538" i="2"/>
  <c r="Q538" i="2"/>
  <c r="O538" i="2"/>
  <c r="R537" i="2"/>
  <c r="Q537" i="2"/>
  <c r="O537" i="2"/>
  <c r="R536" i="2"/>
  <c r="Q536" i="2"/>
  <c r="O536" i="2"/>
  <c r="R535" i="2"/>
  <c r="Q535" i="2"/>
  <c r="O535" i="2"/>
  <c r="R534" i="2"/>
  <c r="Q534" i="2"/>
  <c r="O534" i="2"/>
  <c r="R533" i="2"/>
  <c r="Q533" i="2"/>
  <c r="O533" i="2"/>
  <c r="R532" i="2"/>
  <c r="Q532" i="2"/>
  <c r="O532" i="2"/>
  <c r="R531" i="2"/>
  <c r="Q531" i="2"/>
  <c r="O531" i="2"/>
  <c r="R530" i="2"/>
  <c r="Q530" i="2"/>
  <c r="O530" i="2"/>
  <c r="R529" i="2"/>
  <c r="Q529" i="2"/>
  <c r="O529" i="2"/>
  <c r="R528" i="2"/>
  <c r="Q528" i="2"/>
  <c r="O528" i="2"/>
  <c r="R527" i="2"/>
  <c r="Q527" i="2"/>
  <c r="O527" i="2"/>
  <c r="R526" i="2"/>
  <c r="Q526" i="2"/>
  <c r="O526" i="2"/>
  <c r="R525" i="2"/>
  <c r="Q525" i="2"/>
  <c r="O525" i="2"/>
  <c r="R524" i="2"/>
  <c r="Q524" i="2"/>
  <c r="O524" i="2"/>
  <c r="R523" i="2"/>
  <c r="Q523" i="2"/>
  <c r="O523" i="2"/>
  <c r="R522" i="2"/>
  <c r="Q522" i="2"/>
  <c r="O522" i="2"/>
  <c r="R521" i="2"/>
  <c r="Q521" i="2"/>
  <c r="O521" i="2"/>
  <c r="R520" i="2"/>
  <c r="Q520" i="2"/>
  <c r="O520" i="2"/>
  <c r="R519" i="2"/>
  <c r="Q519" i="2"/>
  <c r="O519" i="2"/>
  <c r="R518" i="2"/>
  <c r="Q518" i="2"/>
  <c r="O518" i="2"/>
  <c r="R517" i="2"/>
  <c r="Q517" i="2"/>
  <c r="O517" i="2"/>
  <c r="R516" i="2"/>
  <c r="Q516" i="2"/>
  <c r="O516" i="2"/>
  <c r="R515" i="2"/>
  <c r="Q515" i="2"/>
  <c r="O515" i="2"/>
  <c r="R514" i="2"/>
  <c r="Q514" i="2"/>
  <c r="O514" i="2"/>
  <c r="R513" i="2"/>
  <c r="Q513" i="2"/>
  <c r="O513" i="2"/>
  <c r="R512" i="2"/>
  <c r="Q512" i="2"/>
  <c r="O512" i="2"/>
  <c r="R511" i="2"/>
  <c r="Q511" i="2"/>
  <c r="O511" i="2"/>
  <c r="R510" i="2"/>
  <c r="Q510" i="2"/>
  <c r="O510" i="2"/>
  <c r="R509" i="2"/>
  <c r="Q509" i="2"/>
  <c r="O509" i="2"/>
  <c r="R508" i="2"/>
  <c r="Q508" i="2"/>
  <c r="O508" i="2"/>
  <c r="R507" i="2"/>
  <c r="Q507" i="2"/>
  <c r="O507" i="2"/>
  <c r="R506" i="2"/>
  <c r="Q506" i="2"/>
  <c r="O506" i="2"/>
  <c r="R505" i="2"/>
  <c r="Q505" i="2"/>
  <c r="O505" i="2"/>
  <c r="R504" i="2"/>
  <c r="Q504" i="2"/>
  <c r="O504" i="2"/>
  <c r="R503" i="2"/>
  <c r="Q503" i="2"/>
  <c r="O503" i="2"/>
  <c r="R502" i="2"/>
  <c r="Q502" i="2"/>
  <c r="O502" i="2"/>
  <c r="R501" i="2"/>
  <c r="Q501" i="2"/>
  <c r="O501" i="2"/>
  <c r="R500" i="2"/>
  <c r="Q500" i="2"/>
  <c r="O500" i="2"/>
  <c r="Q499" i="2"/>
  <c r="O499" i="2"/>
  <c r="R498" i="2"/>
  <c r="Q498" i="2"/>
  <c r="O498" i="2"/>
  <c r="R497" i="2"/>
  <c r="Q497" i="2"/>
  <c r="O497" i="2"/>
  <c r="R496" i="2"/>
  <c r="Q496" i="2"/>
  <c r="O496" i="2"/>
  <c r="R495" i="2"/>
  <c r="Q495" i="2"/>
  <c r="O495" i="2"/>
  <c r="R494" i="2"/>
  <c r="Q494" i="2"/>
  <c r="O494" i="2"/>
  <c r="R493" i="2"/>
  <c r="Q493" i="2"/>
  <c r="O493" i="2"/>
  <c r="R492" i="2"/>
  <c r="Q492" i="2"/>
  <c r="O492" i="2"/>
  <c r="R491" i="2"/>
  <c r="Q491" i="2"/>
  <c r="O491" i="2"/>
  <c r="R490" i="2"/>
  <c r="Q490" i="2"/>
  <c r="O490" i="2"/>
  <c r="Q489" i="2"/>
  <c r="O489" i="2"/>
  <c r="Q488" i="2"/>
  <c r="O488" i="2"/>
  <c r="R487"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R464"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AD271"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H200" i="28" l="1"/>
  <c r="F245" i="30"/>
  <c r="F245" i="32"/>
  <c r="G132" i="28"/>
  <c r="K159" i="30"/>
  <c r="K163" i="30"/>
  <c r="K167" i="30"/>
  <c r="F252" i="30"/>
  <c r="F252" i="32"/>
  <c r="F265" i="30"/>
  <c r="F265" i="32"/>
  <c r="N239" i="26"/>
  <c r="N52" i="27" s="1"/>
  <c r="E241" i="26"/>
  <c r="F54" i="27" s="1"/>
  <c r="N34" i="30"/>
  <c r="L159" i="30"/>
  <c r="L158" i="30" s="1"/>
  <c r="J204" i="26"/>
  <c r="F253" i="30"/>
  <c r="F253" i="32"/>
  <c r="J158" i="26"/>
  <c r="K30" i="28"/>
  <c r="G40" i="28"/>
  <c r="L133" i="28"/>
  <c r="L158" i="26"/>
  <c r="L25" i="27" s="1"/>
  <c r="L30" i="28"/>
  <c r="M30" i="28" s="1"/>
  <c r="AU326" i="17"/>
  <c r="H40" i="28"/>
  <c r="G200" i="28"/>
  <c r="G195" i="28" s="1"/>
  <c r="G194" i="28" s="1"/>
  <c r="G193" i="28" s="1"/>
  <c r="G192" i="28" s="1"/>
  <c r="G191" i="28" s="1"/>
  <c r="G190" i="28" s="1"/>
  <c r="H75" i="28"/>
  <c r="T259" i="32"/>
  <c r="C201" i="30"/>
  <c r="C248" i="32"/>
  <c r="T248" i="32" s="1"/>
  <c r="AK105" i="24"/>
  <c r="C247" i="32"/>
  <c r="T247" i="32" s="1"/>
  <c r="AQ186" i="2"/>
  <c r="S281" i="32"/>
  <c r="AQ190" i="2"/>
  <c r="S283" i="32"/>
  <c r="AQ257" i="2"/>
  <c r="S309" i="32"/>
  <c r="AQ261" i="2"/>
  <c r="S381" i="32"/>
  <c r="AQ215" i="2"/>
  <c r="S305" i="32"/>
  <c r="AQ148" i="2"/>
  <c r="S361" i="32"/>
  <c r="AQ166" i="2"/>
  <c r="S295" i="32"/>
  <c r="AQ269" i="2"/>
  <c r="S390" i="32"/>
  <c r="T258" i="32"/>
  <c r="AQ225" i="2"/>
  <c r="S370" i="32"/>
  <c r="T257" i="32"/>
  <c r="AQ7" i="2"/>
  <c r="S315" i="32"/>
  <c r="AQ254" i="2"/>
  <c r="S392" i="32"/>
  <c r="AQ183" i="2"/>
  <c r="S282" i="32"/>
  <c r="T19" i="30"/>
  <c r="T19" i="32"/>
  <c r="T26" i="30"/>
  <c r="T26" i="32"/>
  <c r="T58" i="30"/>
  <c r="T58" i="32"/>
  <c r="T122" i="30"/>
  <c r="T122" i="32"/>
  <c r="T77" i="32"/>
  <c r="T27" i="30"/>
  <c r="T27" i="32"/>
  <c r="T21" i="30"/>
  <c r="T21" i="32"/>
  <c r="T10" i="30"/>
  <c r="T10" i="32"/>
  <c r="T11" i="30"/>
  <c r="T11" i="32"/>
  <c r="T13" i="30"/>
  <c r="T13" i="32"/>
  <c r="P606" i="2"/>
  <c r="U606" i="2" s="1"/>
  <c r="P605" i="2"/>
  <c r="U605" i="2" s="1"/>
  <c r="V606" i="2"/>
  <c r="V604" i="2"/>
  <c r="P607" i="2"/>
  <c r="U607" i="2" s="1"/>
  <c r="V607" i="2"/>
  <c r="P603" i="2"/>
  <c r="U603" i="2" s="1"/>
  <c r="V605" i="2"/>
  <c r="V603" i="2"/>
  <c r="V601" i="2"/>
  <c r="P602" i="2"/>
  <c r="U602" i="2" s="1"/>
  <c r="P601" i="2"/>
  <c r="U601" i="2" s="1"/>
  <c r="V602" i="2"/>
  <c r="P604" i="2"/>
  <c r="U604" i="2" s="1"/>
  <c r="AK605" i="2"/>
  <c r="Z605" i="2"/>
  <c r="AK601" i="2"/>
  <c r="Z601" i="2"/>
  <c r="AK602" i="2"/>
  <c r="Z602" i="2"/>
  <c r="Z604" i="2"/>
  <c r="AK607" i="2"/>
  <c r="Z607" i="2"/>
  <c r="AK603" i="2"/>
  <c r="Z603"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T40" i="26"/>
  <c r="T69" i="26"/>
  <c r="AS62" i="24"/>
  <c r="AK107" i="24"/>
  <c r="G23" i="23"/>
  <c r="S23" i="23" s="1"/>
  <c r="G142" i="23"/>
  <c r="S142" i="23" s="1"/>
  <c r="G220" i="23"/>
  <c r="N220" i="23" s="1"/>
  <c r="G236" i="23"/>
  <c r="S236" i="23" s="1"/>
  <c r="G242" i="23"/>
  <c r="S242" i="23" s="1"/>
  <c r="G248" i="23"/>
  <c r="S248" i="23" s="1"/>
  <c r="G250" i="23"/>
  <c r="N250" i="23" s="1"/>
  <c r="G266" i="23"/>
  <c r="S266" i="23" s="1"/>
  <c r="AU62" i="24"/>
  <c r="G124" i="23"/>
  <c r="N124" i="23" s="1"/>
  <c r="G136" i="23"/>
  <c r="S136" i="23" s="1"/>
  <c r="G140" i="23"/>
  <c r="S140" i="23" s="1"/>
  <c r="G288" i="23"/>
  <c r="N288" i="23" s="1"/>
  <c r="AS104" i="24"/>
  <c r="AS19" i="24"/>
  <c r="AK58" i="24"/>
  <c r="AV105" i="24"/>
  <c r="G128" i="23"/>
  <c r="S128" i="23" s="1"/>
  <c r="G214" i="23"/>
  <c r="S214" i="23" s="1"/>
  <c r="G273" i="23"/>
  <c r="N273" i="23" s="1"/>
  <c r="G163" i="23"/>
  <c r="N163" i="23" s="1"/>
  <c r="AS106" i="24"/>
  <c r="AS64" i="24"/>
  <c r="G88" i="23"/>
  <c r="N88" i="23" s="1"/>
  <c r="G144" i="23"/>
  <c r="N144" i="23" s="1"/>
  <c r="G170" i="23"/>
  <c r="S170" i="23" s="1"/>
  <c r="AV62" i="24"/>
  <c r="AS67" i="24"/>
  <c r="AU19" i="24"/>
  <c r="G60" i="23"/>
  <c r="S60" i="23" s="1"/>
  <c r="G63" i="23"/>
  <c r="S63" i="23" s="1"/>
  <c r="G87" i="23"/>
  <c r="N87" i="23" s="1"/>
  <c r="G91" i="23"/>
  <c r="S91" i="23" s="1"/>
  <c r="G95" i="23"/>
  <c r="N95" i="23" s="1"/>
  <c r="G99" i="23"/>
  <c r="S99" i="23" s="1"/>
  <c r="G107" i="23"/>
  <c r="N107" i="23" s="1"/>
  <c r="G119" i="23"/>
  <c r="N119" i="23" s="1"/>
  <c r="G127" i="23"/>
  <c r="S127" i="23" s="1"/>
  <c r="G143" i="23"/>
  <c r="S143" i="23" s="1"/>
  <c r="T237" i="26"/>
  <c r="T185" i="26"/>
  <c r="T26" i="26"/>
  <c r="T113" i="26"/>
  <c r="T77" i="30"/>
  <c r="T201" i="26"/>
  <c r="AK331" i="2"/>
  <c r="AK339" i="2"/>
  <c r="AK343" i="2"/>
  <c r="AK359" i="2"/>
  <c r="AK367" i="2"/>
  <c r="AK371" i="2"/>
  <c r="AK379" i="2"/>
  <c r="AK383" i="2"/>
  <c r="AK387" i="2"/>
  <c r="AK395" i="2"/>
  <c r="AK399" i="2"/>
  <c r="AK407" i="2"/>
  <c r="AK411" i="2"/>
  <c r="AK423" i="2"/>
  <c r="AK427" i="2"/>
  <c r="AK431" i="2"/>
  <c r="AK439" i="2"/>
  <c r="AK443" i="2"/>
  <c r="AK447" i="2"/>
  <c r="AK451" i="2"/>
  <c r="AK455" i="2"/>
  <c r="AK459" i="2"/>
  <c r="AK463" i="2"/>
  <c r="AK467" i="2"/>
  <c r="AK471" i="2"/>
  <c r="AK479" i="2"/>
  <c r="AK483" i="2"/>
  <c r="AK487" i="2"/>
  <c r="AK491" i="2"/>
  <c r="AK495" i="2"/>
  <c r="AK503" i="2"/>
  <c r="AK507" i="2"/>
  <c r="AK511" i="2"/>
  <c r="AK515" i="2"/>
  <c r="AK519" i="2"/>
  <c r="AK523" i="2"/>
  <c r="AK527" i="2"/>
  <c r="AK531" i="2"/>
  <c r="AK535" i="2"/>
  <c r="AK543" i="2"/>
  <c r="AK547" i="2"/>
  <c r="AK551" i="2"/>
  <c r="AK555" i="2"/>
  <c r="AK559" i="2"/>
  <c r="AK563" i="2"/>
  <c r="AK567" i="2"/>
  <c r="AK571" i="2"/>
  <c r="AK575" i="2"/>
  <c r="AK579" i="2"/>
  <c r="AK583" i="2"/>
  <c r="AK587" i="2"/>
  <c r="AK591" i="2"/>
  <c r="AK595" i="2"/>
  <c r="AK599" i="2"/>
  <c r="AK332" i="2"/>
  <c r="AK348" i="2"/>
  <c r="AK376" i="2"/>
  <c r="AK384" i="2"/>
  <c r="AK392" i="2"/>
  <c r="AK400" i="2"/>
  <c r="AK412" i="2"/>
  <c r="AK416" i="2"/>
  <c r="AK424" i="2"/>
  <c r="AK432" i="2"/>
  <c r="AK448" i="2"/>
  <c r="AK334" i="2"/>
  <c r="AK370" i="2"/>
  <c r="AK374" i="2"/>
  <c r="AK382" i="2"/>
  <c r="AK394" i="2"/>
  <c r="AK398" i="2"/>
  <c r="AK406" i="2"/>
  <c r="AK410" i="2"/>
  <c r="AK414" i="2"/>
  <c r="AK418" i="2"/>
  <c r="AK422" i="2"/>
  <c r="AK426" i="2"/>
  <c r="AK438" i="2"/>
  <c r="AK442" i="2"/>
  <c r="AK446" i="2"/>
  <c r="AK450" i="2"/>
  <c r="AK454" i="2"/>
  <c r="AK458" i="2"/>
  <c r="AK462" i="2"/>
  <c r="AK470" i="2"/>
  <c r="AK474" i="2"/>
  <c r="AK478" i="2"/>
  <c r="AK482" i="2"/>
  <c r="AK486" i="2"/>
  <c r="AK490" i="2"/>
  <c r="AK494" i="2"/>
  <c r="AK498" i="2"/>
  <c r="AK502" i="2"/>
  <c r="AK506" i="2"/>
  <c r="AK510" i="2"/>
  <c r="AK514" i="2"/>
  <c r="AK518" i="2"/>
  <c r="AK522" i="2"/>
  <c r="AK526" i="2"/>
  <c r="AK530" i="2"/>
  <c r="AK534" i="2"/>
  <c r="AK538" i="2"/>
  <c r="AK542" i="2"/>
  <c r="AK546" i="2"/>
  <c r="AK550" i="2"/>
  <c r="AK554" i="2"/>
  <c r="AK558" i="2"/>
  <c r="AK566" i="2"/>
  <c r="AK570" i="2"/>
  <c r="AK574" i="2"/>
  <c r="AK578" i="2"/>
  <c r="AK582" i="2"/>
  <c r="AK586" i="2"/>
  <c r="AK590" i="2"/>
  <c r="AK594" i="2"/>
  <c r="AK598" i="2"/>
  <c r="AK336" i="2"/>
  <c r="AK372" i="2"/>
  <c r="AK380" i="2"/>
  <c r="AK388" i="2"/>
  <c r="AK396" i="2"/>
  <c r="AK408" i="2"/>
  <c r="AK428" i="2"/>
  <c r="AK444" i="2"/>
  <c r="AK329" i="2"/>
  <c r="AK345" i="2"/>
  <c r="AK377" i="2"/>
  <c r="AK393" i="2"/>
  <c r="AK409" i="2"/>
  <c r="AK441" i="2"/>
  <c r="AK456" i="2"/>
  <c r="AK464" i="2"/>
  <c r="AK472" i="2"/>
  <c r="AK480" i="2"/>
  <c r="AK496" i="2"/>
  <c r="AK504" i="2"/>
  <c r="AK512" i="2"/>
  <c r="AK520" i="2"/>
  <c r="AK528" i="2"/>
  <c r="AK536" i="2"/>
  <c r="AK544" i="2"/>
  <c r="AK552" i="2"/>
  <c r="AK560" i="2"/>
  <c r="AK568" i="2"/>
  <c r="AK576" i="2"/>
  <c r="AK584" i="2"/>
  <c r="AK592" i="2"/>
  <c r="AK600" i="2"/>
  <c r="AK556" i="2"/>
  <c r="AK580" i="2"/>
  <c r="AK596" i="2"/>
  <c r="AK357" i="2"/>
  <c r="AK469" i="2"/>
  <c r="AK501" i="2"/>
  <c r="AK517" i="2"/>
  <c r="AK533" i="2"/>
  <c r="AK549" i="2"/>
  <c r="AK565" i="2"/>
  <c r="AK581" i="2"/>
  <c r="AK597" i="2"/>
  <c r="AK333" i="2"/>
  <c r="AK413" i="2"/>
  <c r="AK445" i="2"/>
  <c r="AK457" i="2"/>
  <c r="AK465" i="2"/>
  <c r="AK473" i="2"/>
  <c r="AK481" i="2"/>
  <c r="AK497" i="2"/>
  <c r="AK505" i="2"/>
  <c r="AK513" i="2"/>
  <c r="AK521" i="2"/>
  <c r="AK529" i="2"/>
  <c r="AK537" i="2"/>
  <c r="AK545" i="2"/>
  <c r="AK553" i="2"/>
  <c r="AK561" i="2"/>
  <c r="AK569" i="2"/>
  <c r="AK577" i="2"/>
  <c r="AK585" i="2"/>
  <c r="AK593" i="2"/>
  <c r="AK337" i="2"/>
  <c r="AK385" i="2"/>
  <c r="AK401" i="2"/>
  <c r="AK417" i="2"/>
  <c r="AK433" i="2"/>
  <c r="AK460" i="2"/>
  <c r="AK468" i="2"/>
  <c r="AK492" i="2"/>
  <c r="AK500" i="2"/>
  <c r="AK508" i="2"/>
  <c r="AK516" i="2"/>
  <c r="AK524" i="2"/>
  <c r="AK532" i="2"/>
  <c r="AK540" i="2"/>
  <c r="AK548" i="2"/>
  <c r="AK564" i="2"/>
  <c r="AK572" i="2"/>
  <c r="AK588" i="2"/>
  <c r="AK341" i="2"/>
  <c r="AK373" i="2"/>
  <c r="AK389" i="2"/>
  <c r="AK405" i="2"/>
  <c r="AK437" i="2"/>
  <c r="AK453" i="2"/>
  <c r="AK477" i="2"/>
  <c r="AK493" i="2"/>
  <c r="AK509" i="2"/>
  <c r="AK525" i="2"/>
  <c r="AK541" i="2"/>
  <c r="AK557" i="2"/>
  <c r="AK573" i="2"/>
  <c r="AK589" i="2"/>
  <c r="AK322" i="2"/>
  <c r="AK7" i="2"/>
  <c r="R7" i="23" s="1"/>
  <c r="AK8" i="2"/>
  <c r="R8" i="23" s="1"/>
  <c r="P8" i="23" s="1"/>
  <c r="Q8" i="23" s="1"/>
  <c r="AK12" i="2"/>
  <c r="R12" i="23" s="1"/>
  <c r="P12" i="23" s="1"/>
  <c r="Q12" i="23" s="1"/>
  <c r="AK16" i="2"/>
  <c r="AK24" i="2"/>
  <c r="AK28" i="2"/>
  <c r="AK32" i="2"/>
  <c r="AK36" i="2"/>
  <c r="AK40" i="2"/>
  <c r="AK44" i="2"/>
  <c r="AK48" i="2"/>
  <c r="AK60" i="2"/>
  <c r="AK64" i="2"/>
  <c r="AK72" i="2"/>
  <c r="AK80" i="2"/>
  <c r="AK84" i="2"/>
  <c r="AK88" i="2"/>
  <c r="AK92" i="2"/>
  <c r="AK100" i="2"/>
  <c r="AK112" i="2"/>
  <c r="AK120" i="2"/>
  <c r="AK124" i="2"/>
  <c r="AK128" i="2"/>
  <c r="AK136" i="2"/>
  <c r="AK140" i="2"/>
  <c r="AK144" i="2"/>
  <c r="AK148" i="2"/>
  <c r="O361" i="32" s="1"/>
  <c r="N361" i="32" s="1"/>
  <c r="N359" i="32" s="1"/>
  <c r="AK156" i="2"/>
  <c r="AK160" i="2"/>
  <c r="AK164" i="2"/>
  <c r="AK168" i="2"/>
  <c r="AK172" i="2"/>
  <c r="AK184" i="2"/>
  <c r="AK188" i="2"/>
  <c r="R188" i="23" s="1"/>
  <c r="P188" i="23" s="1"/>
  <c r="Q188" i="23" s="1"/>
  <c r="AK192" i="2"/>
  <c r="O287" i="32" s="1"/>
  <c r="N287" i="32" s="1"/>
  <c r="N285" i="32" s="1"/>
  <c r="AK204" i="2"/>
  <c r="AK220" i="2"/>
  <c r="R220" i="23" s="1"/>
  <c r="AK236" i="2"/>
  <c r="R236" i="23" s="1"/>
  <c r="AK240" i="2"/>
  <c r="R240" i="23" s="1"/>
  <c r="AK248" i="2"/>
  <c r="R248" i="23" s="1"/>
  <c r="AK256" i="2"/>
  <c r="R256" i="23" s="1"/>
  <c r="AK268" i="2"/>
  <c r="R268" i="23" s="1"/>
  <c r="P268" i="23" s="1"/>
  <c r="Q268" i="23" s="1"/>
  <c r="AK272" i="2"/>
  <c r="O356" i="32" s="1"/>
  <c r="N356" i="32" s="1"/>
  <c r="AK53" i="2"/>
  <c r="AK65" i="2"/>
  <c r="AK11" i="2"/>
  <c r="R11" i="23" s="1"/>
  <c r="P11" i="23" s="1"/>
  <c r="Q11" i="23" s="1"/>
  <c r="AK19" i="2"/>
  <c r="AK23" i="2"/>
  <c r="AK27" i="2"/>
  <c r="AK31" i="2"/>
  <c r="AK35" i="2"/>
  <c r="AK39" i="2"/>
  <c r="AK47" i="2"/>
  <c r="AK63" i="2"/>
  <c r="AK67" i="2"/>
  <c r="AK75" i="2"/>
  <c r="AK87" i="2"/>
  <c r="AK91" i="2"/>
  <c r="AK95" i="2"/>
  <c r="AK99" i="2"/>
  <c r="AK103" i="2"/>
  <c r="AK107" i="2"/>
  <c r="AK111" i="2"/>
  <c r="AK119" i="2"/>
  <c r="AK127" i="2"/>
  <c r="AK143" i="2"/>
  <c r="AK147" i="2"/>
  <c r="AK151" i="2"/>
  <c r="AK155" i="2"/>
  <c r="AK159" i="2"/>
  <c r="AK163" i="2"/>
  <c r="AK167" i="2"/>
  <c r="AK171" i="2"/>
  <c r="AK183" i="2"/>
  <c r="AK187" i="2"/>
  <c r="AK195" i="2"/>
  <c r="R195" i="23" s="1"/>
  <c r="AK207" i="2"/>
  <c r="AK215" i="2"/>
  <c r="O305" i="32" s="1"/>
  <c r="N305" i="32" s="1"/>
  <c r="AK239" i="2"/>
  <c r="R239" i="23" s="1"/>
  <c r="AK255" i="2"/>
  <c r="AK263" i="2"/>
  <c r="AK275" i="2"/>
  <c r="R275" i="23" s="1"/>
  <c r="AK9" i="2"/>
  <c r="R9" i="23" s="1"/>
  <c r="P9" i="23" s="1"/>
  <c r="Q9" i="23" s="1"/>
  <c r="AK21" i="2"/>
  <c r="AK29" i="2"/>
  <c r="AK37" i="2"/>
  <c r="AK45" i="2"/>
  <c r="AK49" i="2"/>
  <c r="R49" i="23" s="1"/>
  <c r="AK61" i="2"/>
  <c r="AK10" i="2"/>
  <c r="R10" i="23" s="1"/>
  <c r="AK26" i="2"/>
  <c r="AK42" i="2"/>
  <c r="AK86" i="2"/>
  <c r="AK94" i="2"/>
  <c r="AK102" i="2"/>
  <c r="AK110" i="2"/>
  <c r="AK142" i="2"/>
  <c r="AK150" i="2"/>
  <c r="AK166" i="2"/>
  <c r="O295" i="32" s="1"/>
  <c r="N295" i="32" s="1"/>
  <c r="AK190" i="2"/>
  <c r="O283" i="32" s="1"/>
  <c r="N283" i="32" s="1"/>
  <c r="AK214" i="2"/>
  <c r="AK254" i="2"/>
  <c r="AK186" i="2"/>
  <c r="O281" i="32" s="1"/>
  <c r="N281" i="32" s="1"/>
  <c r="AK242" i="2"/>
  <c r="R242" i="23" s="1"/>
  <c r="AK258" i="2"/>
  <c r="R258" i="23" s="1"/>
  <c r="AK38" i="2"/>
  <c r="AK165" i="2"/>
  <c r="AK261" i="2"/>
  <c r="AK14" i="2"/>
  <c r="R14" i="23" s="1"/>
  <c r="AK30" i="2"/>
  <c r="AK46" i="2"/>
  <c r="AK89" i="2"/>
  <c r="AK105" i="2"/>
  <c r="R105" i="23" s="1"/>
  <c r="AK113" i="2"/>
  <c r="AK121" i="2"/>
  <c r="AK129" i="2"/>
  <c r="R129" i="23" s="1"/>
  <c r="AK145" i="2"/>
  <c r="AK153" i="2"/>
  <c r="AK161" i="2"/>
  <c r="AK169" i="2"/>
  <c r="AK185" i="2"/>
  <c r="O280" i="32" s="1"/>
  <c r="N280" i="32" s="1"/>
  <c r="AK209" i="2"/>
  <c r="AK217" i="2"/>
  <c r="AK225" i="2"/>
  <c r="AK257" i="2"/>
  <c r="AK273" i="2"/>
  <c r="R273" i="23" s="1"/>
  <c r="AK289" i="2"/>
  <c r="AK34" i="2"/>
  <c r="AK66" i="2"/>
  <c r="AK90" i="2"/>
  <c r="AK114" i="2"/>
  <c r="AK122" i="2"/>
  <c r="AK130" i="2"/>
  <c r="AK138" i="2"/>
  <c r="AK146" i="2"/>
  <c r="AK154" i="2"/>
  <c r="AK170" i="2"/>
  <c r="AK194" i="2"/>
  <c r="R194" i="23" s="1"/>
  <c r="AK250" i="2"/>
  <c r="R250" i="23" s="1"/>
  <c r="AK266" i="2"/>
  <c r="R266" i="23" s="1"/>
  <c r="AK69" i="2"/>
  <c r="AK85" i="2"/>
  <c r="AK93" i="2"/>
  <c r="AK101" i="2"/>
  <c r="AK141" i="2"/>
  <c r="AK157" i="2"/>
  <c r="AK173" i="2"/>
  <c r="AK269" i="2"/>
  <c r="F49" i="25"/>
  <c r="J38" i="27"/>
  <c r="K216" i="26"/>
  <c r="K38" i="27" s="1"/>
  <c r="J9" i="27"/>
  <c r="K154" i="26"/>
  <c r="K24" i="27" s="1"/>
  <c r="N154" i="26"/>
  <c r="N24" i="27" s="1"/>
  <c r="G75" i="28"/>
  <c r="G39" i="28" s="1"/>
  <c r="G4" i="28" s="1"/>
  <c r="G3" i="28" s="1"/>
  <c r="L132" i="28"/>
  <c r="L137" i="28"/>
  <c r="K137" i="28"/>
  <c r="J185" i="28"/>
  <c r="K185" i="28" s="1"/>
  <c r="K186" i="28"/>
  <c r="F256" i="26"/>
  <c r="F256" i="30"/>
  <c r="F246" i="30"/>
  <c r="F246" i="26"/>
  <c r="K204" i="26"/>
  <c r="K35" i="27" s="1"/>
  <c r="J35" i="27"/>
  <c r="N249" i="26"/>
  <c r="N62" i="27" s="1"/>
  <c r="H39" i="28"/>
  <c r="H4" i="28" s="1"/>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Y579" i="2" s="1"/>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Y8" i="2" s="1"/>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Y99" i="2" s="1"/>
  <c r="V103" i="2"/>
  <c r="V111" i="2"/>
  <c r="V115" i="2"/>
  <c r="Y115" i="2" s="1"/>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G48" i="23" s="1"/>
  <c r="V57" i="2"/>
  <c r="V61" i="2"/>
  <c r="P66" i="2"/>
  <c r="U66" i="2" s="1"/>
  <c r="V68" i="2"/>
  <c r="S71" i="2"/>
  <c r="T71" i="2" s="1"/>
  <c r="G65" i="23"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T180" i="2"/>
  <c r="AE9" i="24" s="1"/>
  <c r="Z154" i="2"/>
  <c r="AS42" i="24"/>
  <c r="E307" i="30"/>
  <c r="E354" i="26"/>
  <c r="E353" i="26" s="1"/>
  <c r="AW83" i="17"/>
  <c r="K264" i="23"/>
  <c r="L264" i="23" s="1"/>
  <c r="AS41" i="24"/>
  <c r="K208" i="23"/>
  <c r="L208" i="23" s="1"/>
  <c r="AA26" i="24"/>
  <c r="AV97" i="24"/>
  <c r="T320" i="2"/>
  <c r="AW97" i="24" s="1"/>
  <c r="K274" i="23"/>
  <c r="L274" i="23" s="1"/>
  <c r="AV55" i="24"/>
  <c r="T350" i="2"/>
  <c r="AW55" i="24" s="1"/>
  <c r="G256" i="23"/>
  <c r="S256" i="23" s="1"/>
  <c r="AQ256" i="2"/>
  <c r="U256" i="23" s="1"/>
  <c r="AV46" i="24"/>
  <c r="T288" i="2"/>
  <c r="Z288" i="2" s="1"/>
  <c r="AV91" i="24"/>
  <c r="T362" i="2"/>
  <c r="Z362" i="2" s="1"/>
  <c r="T216" i="2"/>
  <c r="AA58" i="24"/>
  <c r="I235" i="23"/>
  <c r="J235" i="23" s="1"/>
  <c r="AS63" i="24"/>
  <c r="I295" i="23"/>
  <c r="K295" i="23"/>
  <c r="K236" i="23"/>
  <c r="L236" i="23" s="1"/>
  <c r="AQ150" i="2"/>
  <c r="U150" i="23" s="1"/>
  <c r="K54" i="23"/>
  <c r="K57" i="23"/>
  <c r="L57" i="23" s="1"/>
  <c r="H23" i="25"/>
  <c r="I23" i="25" s="1"/>
  <c r="AD63" i="24"/>
  <c r="T199" i="2"/>
  <c r="AV53" i="24"/>
  <c r="T312" i="2"/>
  <c r="AV16" i="24"/>
  <c r="T287" i="2"/>
  <c r="Z287" i="2" s="1"/>
  <c r="AV52" i="24"/>
  <c r="T291" i="2"/>
  <c r="AQ291" i="2" s="1"/>
  <c r="U290" i="23" s="1"/>
  <c r="AV56" i="24"/>
  <c r="T363" i="2"/>
  <c r="AW56" i="24" s="1"/>
  <c r="G194" i="23"/>
  <c r="AQ194" i="2"/>
  <c r="U194" i="23" s="1"/>
  <c r="AA70" i="24"/>
  <c r="AS78" i="24"/>
  <c r="T200" i="2"/>
  <c r="AA47" i="24"/>
  <c r="AA49" i="24"/>
  <c r="AA90" i="24"/>
  <c r="AA89" i="24"/>
  <c r="AA35" i="24"/>
  <c r="AA31" i="24"/>
  <c r="AA86" i="24"/>
  <c r="AA85" i="24"/>
  <c r="AV63" i="24"/>
  <c r="T296" i="2"/>
  <c r="AW63" i="24" s="1"/>
  <c r="AS79" i="24"/>
  <c r="AS82" i="24"/>
  <c r="T386" i="2"/>
  <c r="AW66" i="24" s="1"/>
  <c r="I48" i="23"/>
  <c r="I55" i="23"/>
  <c r="J55" i="23" s="1"/>
  <c r="K86" i="23"/>
  <c r="L86" i="23" s="1"/>
  <c r="K123" i="23"/>
  <c r="L123" i="23" s="1"/>
  <c r="K167" i="23"/>
  <c r="I209" i="23"/>
  <c r="J209" i="23" s="1"/>
  <c r="I292" i="23"/>
  <c r="J292" i="23" s="1"/>
  <c r="AS65" i="24"/>
  <c r="AV33" i="24"/>
  <c r="T328" i="2"/>
  <c r="Z328" i="2" s="1"/>
  <c r="I18" i="23"/>
  <c r="K66" i="23"/>
  <c r="L66" i="23" s="1"/>
  <c r="K70" i="23"/>
  <c r="K141" i="23"/>
  <c r="L141" i="23" s="1"/>
  <c r="K144" i="23"/>
  <c r="L144" i="23" s="1"/>
  <c r="K196" i="23"/>
  <c r="I210" i="23"/>
  <c r="J210" i="23" s="1"/>
  <c r="K250" i="23"/>
  <c r="L250" i="23" s="1"/>
  <c r="AS12" i="24"/>
  <c r="AA50" i="24"/>
  <c r="K210" i="23"/>
  <c r="L210" i="23" s="1"/>
  <c r="K261" i="23"/>
  <c r="L261" i="23" s="1"/>
  <c r="I261" i="23"/>
  <c r="J261" i="23" s="1"/>
  <c r="G268" i="23"/>
  <c r="N268" i="23" s="1"/>
  <c r="AQ268" i="2"/>
  <c r="U268" i="23" s="1"/>
  <c r="I276" i="23"/>
  <c r="J276" i="23" s="1"/>
  <c r="K276" i="23"/>
  <c r="L276" i="23" s="1"/>
  <c r="AS76" i="24"/>
  <c r="I296" i="23"/>
  <c r="I120" i="23"/>
  <c r="K169" i="23"/>
  <c r="L169" i="23" s="1"/>
  <c r="AS9" i="24"/>
  <c r="AA28" i="24"/>
  <c r="AS39" i="24"/>
  <c r="T295" i="2"/>
  <c r="Z295" i="2" s="1"/>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AQ142" i="2"/>
  <c r="U142" i="23" s="1"/>
  <c r="U148" i="23"/>
  <c r="R93" i="21"/>
  <c r="AO93" i="21"/>
  <c r="P184" i="2"/>
  <c r="U184" i="2" s="1"/>
  <c r="V190" i="2"/>
  <c r="P192" i="2"/>
  <c r="U192" i="2" s="1"/>
  <c r="F287" i="32" s="1"/>
  <c r="F285" i="32" s="1"/>
  <c r="S193" i="2"/>
  <c r="T193" i="2" s="1"/>
  <c r="V198" i="2"/>
  <c r="T234" i="2"/>
  <c r="G234" i="23" s="1"/>
  <c r="I251" i="21"/>
  <c r="AV251" i="21" s="1"/>
  <c r="U269" i="23"/>
  <c r="S270" i="2"/>
  <c r="T304" i="2"/>
  <c r="Z304" i="2" s="1"/>
  <c r="AV19" i="24"/>
  <c r="T364" i="2"/>
  <c r="AK364" i="2" s="1"/>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AD34" i="24"/>
  <c r="T230" i="2"/>
  <c r="AV11" i="24"/>
  <c r="T278" i="2"/>
  <c r="Z278" i="2" s="1"/>
  <c r="K79" i="23"/>
  <c r="L79" i="23" s="1"/>
  <c r="K182" i="23"/>
  <c r="L182" i="23" s="1"/>
  <c r="I206" i="23"/>
  <c r="K206" i="23"/>
  <c r="K241" i="23"/>
  <c r="L241" i="23" s="1"/>
  <c r="I241" i="23"/>
  <c r="J241" i="23" s="1"/>
  <c r="K259" i="23"/>
  <c r="L259" i="23" s="1"/>
  <c r="I259" i="23"/>
  <c r="J259" i="23" s="1"/>
  <c r="AV43" i="24"/>
  <c r="T315" i="2"/>
  <c r="AW43" i="24" s="1"/>
  <c r="AV57" i="24"/>
  <c r="T355" i="2"/>
  <c r="AW57" i="24" s="1"/>
  <c r="AK49" i="21"/>
  <c r="S49" i="21"/>
  <c r="AQ49" i="21"/>
  <c r="J49" i="21"/>
  <c r="AV49" i="21"/>
  <c r="H225" i="21"/>
  <c r="F225" i="21"/>
  <c r="G225" i="21" s="1"/>
  <c r="H238" i="21"/>
  <c r="D238" i="21"/>
  <c r="G241" i="21"/>
  <c r="I8" i="23"/>
  <c r="J8" i="23" s="1"/>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G138" i="23"/>
  <c r="AQ138" i="2"/>
  <c r="U138" i="23" s="1"/>
  <c r="P139" i="2"/>
  <c r="U139" i="2" s="1"/>
  <c r="P156" i="2"/>
  <c r="U156" i="2" s="1"/>
  <c r="P163" i="2"/>
  <c r="U163" i="2" s="1"/>
  <c r="P171" i="2"/>
  <c r="U171" i="2" s="1"/>
  <c r="R174" i="2"/>
  <c r="I133" i="21" s="1"/>
  <c r="N133" i="21" s="1"/>
  <c r="O133" i="21" s="1"/>
  <c r="P177" i="2"/>
  <c r="P179" i="2"/>
  <c r="U179" i="2" s="1"/>
  <c r="T179" i="2"/>
  <c r="Z179" i="2" s="1"/>
  <c r="P200" i="2"/>
  <c r="P211" i="2"/>
  <c r="AB91" i="24" s="1"/>
  <c r="T211" i="2"/>
  <c r="AQ211" i="2" s="1"/>
  <c r="U211" i="23" s="1"/>
  <c r="AQ214" i="2"/>
  <c r="U214" i="23" s="1"/>
  <c r="AD59" i="24"/>
  <c r="T233" i="2"/>
  <c r="Z233" i="2" s="1"/>
  <c r="P266" i="2"/>
  <c r="U266" i="2" s="1"/>
  <c r="H266" i="23" s="1"/>
  <c r="AV76" i="24"/>
  <c r="T297" i="2"/>
  <c r="Z297" i="2" s="1"/>
  <c r="V343" i="2"/>
  <c r="P344" i="2"/>
  <c r="AT51" i="24" s="1"/>
  <c r="T344" i="2"/>
  <c r="Z344" i="2"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G26" i="23"/>
  <c r="S26" i="23" s="1"/>
  <c r="AQ26" i="2"/>
  <c r="U26" i="23" s="1"/>
  <c r="G34" i="23"/>
  <c r="S34" i="23" s="1"/>
  <c r="AQ34" i="2"/>
  <c r="U34" i="23" s="1"/>
  <c r="G42" i="23"/>
  <c r="S42" i="23" s="1"/>
  <c r="AQ42" i="2"/>
  <c r="U42" i="23" s="1"/>
  <c r="G66" i="23"/>
  <c r="S66" i="23" s="1"/>
  <c r="AQ66" i="2"/>
  <c r="U66" i="23" s="1"/>
  <c r="AQ90" i="2"/>
  <c r="U90" i="23" s="1"/>
  <c r="AQ110" i="2"/>
  <c r="U110" i="23" s="1"/>
  <c r="G130" i="23"/>
  <c r="N130" i="23" s="1"/>
  <c r="AQ130" i="2"/>
  <c r="U130" i="23" s="1"/>
  <c r="AD26" i="24"/>
  <c r="T208" i="2"/>
  <c r="AD93" i="24"/>
  <c r="T237" i="2"/>
  <c r="AD84" i="24"/>
  <c r="T262" i="2"/>
  <c r="AK262" i="2" s="1"/>
  <c r="R262" i="23" s="1"/>
  <c r="AV73" i="24"/>
  <c r="T347" i="2"/>
  <c r="AW73" i="24" s="1"/>
  <c r="K11" i="23"/>
  <c r="L11" i="23" s="1"/>
  <c r="I11" i="23"/>
  <c r="J11" i="23" s="1"/>
  <c r="K309" i="23"/>
  <c r="L309" i="23" s="1"/>
  <c r="O309" i="23"/>
  <c r="AM8" i="21"/>
  <c r="V8" i="21"/>
  <c r="AM24" i="21"/>
  <c r="V24" i="21"/>
  <c r="AB30" i="21"/>
  <c r="J30" i="21"/>
  <c r="AS30" i="21"/>
  <c r="K50" i="21"/>
  <c r="AJ50" i="21"/>
  <c r="AY105" i="21"/>
  <c r="AC105" i="21"/>
  <c r="AQ102" i="2"/>
  <c r="U102" i="23" s="1"/>
  <c r="G122" i="23"/>
  <c r="N122" i="23" s="1"/>
  <c r="AQ122" i="2"/>
  <c r="U122" i="23" s="1"/>
  <c r="G146" i="23"/>
  <c r="S146" i="23" s="1"/>
  <c r="AQ146" i="2"/>
  <c r="U146" i="23" s="1"/>
  <c r="AQ154" i="2"/>
  <c r="U154" i="23" s="1"/>
  <c r="AQ170" i="2"/>
  <c r="U170" i="23" s="1"/>
  <c r="T176" i="2"/>
  <c r="AQ176" i="2" s="1"/>
  <c r="U176" i="23" s="1"/>
  <c r="AD14" i="24"/>
  <c r="T182" i="2"/>
  <c r="AQ182" i="2" s="1"/>
  <c r="U182" i="23" s="1"/>
  <c r="P189" i="2"/>
  <c r="AB71" i="24" s="1"/>
  <c r="P204" i="2"/>
  <c r="U204" i="2" s="1"/>
  <c r="P212" i="2"/>
  <c r="AB70" i="24" s="1"/>
  <c r="P230" i="2"/>
  <c r="AB34" i="24" s="1"/>
  <c r="V256" i="2"/>
  <c r="P257" i="2"/>
  <c r="U257" i="2" s="1"/>
  <c r="F309" i="32" s="1"/>
  <c r="V296" i="2"/>
  <c r="P297" i="2"/>
  <c r="AV26" i="24"/>
  <c r="T303" i="2"/>
  <c r="AW26" i="24" s="1"/>
  <c r="T313" i="2"/>
  <c r="AK313" i="2" s="1"/>
  <c r="S327" i="2"/>
  <c r="V330" i="2"/>
  <c r="P331" i="2"/>
  <c r="U331" i="2" s="1"/>
  <c r="S335" i="2"/>
  <c r="T335" i="2" s="1"/>
  <c r="AQ335" i="2" s="1"/>
  <c r="T28" i="26" s="1"/>
  <c r="V353" i="2"/>
  <c r="P354" i="2"/>
  <c r="V383" i="2"/>
  <c r="V414" i="2"/>
  <c r="P416" i="2"/>
  <c r="U416" i="2" s="1"/>
  <c r="V416" i="2"/>
  <c r="P430" i="2"/>
  <c r="P437" i="2"/>
  <c r="U437" i="2" s="1"/>
  <c r="V473" i="2"/>
  <c r="I64" i="23"/>
  <c r="K64" i="23"/>
  <c r="G86" i="23"/>
  <c r="N86" i="23" s="1"/>
  <c r="AQ86" i="2"/>
  <c r="U86" i="23" s="1"/>
  <c r="G94" i="23"/>
  <c r="S94" i="23" s="1"/>
  <c r="AQ94" i="2"/>
  <c r="U94" i="23" s="1"/>
  <c r="G114" i="23"/>
  <c r="S114" i="23" s="1"/>
  <c r="AQ114" i="2"/>
  <c r="U114" i="23" s="1"/>
  <c r="AD66" i="24"/>
  <c r="T228" i="2"/>
  <c r="AQ228" i="2" s="1"/>
  <c r="U228" i="23" s="1"/>
  <c r="AD74" i="24"/>
  <c r="T264" i="2"/>
  <c r="AV23" i="24"/>
  <c r="T310" i="2"/>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G30" i="23"/>
  <c r="AQ30" i="2"/>
  <c r="U30" i="23" s="1"/>
  <c r="G38" i="23"/>
  <c r="S38" i="23" s="1"/>
  <c r="AQ38" i="2"/>
  <c r="U38" i="23" s="1"/>
  <c r="AQ46" i="2"/>
  <c r="U46" i="23" s="1"/>
  <c r="AN101" i="21"/>
  <c r="AN102" i="21" s="1"/>
  <c r="R101" i="21"/>
  <c r="AQ11" i="2"/>
  <c r="U11" i="23" s="1"/>
  <c r="Z3" i="21"/>
  <c r="AP3" i="21"/>
  <c r="R64" i="21"/>
  <c r="AN64" i="21"/>
  <c r="AP75" i="21"/>
  <c r="S75" i="21"/>
  <c r="AD109" i="24"/>
  <c r="T196" i="2"/>
  <c r="AD48" i="24"/>
  <c r="T198" i="2"/>
  <c r="Z198" i="2" s="1"/>
  <c r="V210" i="2"/>
  <c r="AD61" i="24"/>
  <c r="T249" i="2"/>
  <c r="AQ249" i="2" s="1"/>
  <c r="AD44" i="24"/>
  <c r="T265" i="2"/>
  <c r="AE44" i="24" s="1"/>
  <c r="P271" i="2"/>
  <c r="AV15" i="24"/>
  <c r="T280" i="2"/>
  <c r="Z280" i="2" s="1"/>
  <c r="V290" i="2"/>
  <c r="P291" i="2"/>
  <c r="V311" i="2"/>
  <c r="P312" i="2"/>
  <c r="AV101" i="24"/>
  <c r="T314" i="2"/>
  <c r="AW101" i="24" s="1"/>
  <c r="S316" i="2"/>
  <c r="V363" i="2"/>
  <c r="P364" i="2"/>
  <c r="P425" i="2"/>
  <c r="U425" i="2" s="1"/>
  <c r="V460" i="2"/>
  <c r="V461" i="2"/>
  <c r="V464" i="2"/>
  <c r="K17" i="23"/>
  <c r="I17" i="23"/>
  <c r="AD55" i="24"/>
  <c r="T232" i="2"/>
  <c r="AK232" i="2" s="1"/>
  <c r="R232" i="23" s="1"/>
  <c r="AV39" i="24"/>
  <c r="T284" i="2"/>
  <c r="Z284" i="2" s="1"/>
  <c r="AV8" i="24"/>
  <c r="T306" i="2"/>
  <c r="G305" i="23" s="1"/>
  <c r="AV7" i="24"/>
  <c r="T318" i="2"/>
  <c r="Z318" i="2" s="1"/>
  <c r="AV93" i="24"/>
  <c r="T338" i="2"/>
  <c r="AW93" i="24" s="1"/>
  <c r="AV28" i="24"/>
  <c r="T340" i="2"/>
  <c r="AK340" i="2" s="1"/>
  <c r="I69" i="23"/>
  <c r="J69" i="23" s="1"/>
  <c r="I82" i="23"/>
  <c r="J82" i="23" s="1"/>
  <c r="K82" i="23"/>
  <c r="L82" i="23" s="1"/>
  <c r="K91" i="23"/>
  <c r="L91" i="23" s="1"/>
  <c r="I153" i="23"/>
  <c r="J153" i="23" s="1"/>
  <c r="K153" i="23"/>
  <c r="L153" i="23" s="1"/>
  <c r="I268" i="23"/>
  <c r="AD20" i="24"/>
  <c r="T238" i="2"/>
  <c r="G240" i="23"/>
  <c r="AQ240" i="2"/>
  <c r="U240" i="23" s="1"/>
  <c r="AD56" i="24"/>
  <c r="T252" i="2"/>
  <c r="AK252" i="2" s="1"/>
  <c r="R252" i="23" s="1"/>
  <c r="T279" i="2"/>
  <c r="AW18" i="24" s="1"/>
  <c r="AV21" i="24"/>
  <c r="T281" i="2"/>
  <c r="AQ281" i="2" s="1"/>
  <c r="U281" i="23" s="1"/>
  <c r="AV12" i="24"/>
  <c r="T286" i="2"/>
  <c r="Z286" i="2" s="1"/>
  <c r="T293" i="2"/>
  <c r="Z293" i="2" s="1"/>
  <c r="AV106" i="24"/>
  <c r="T298" i="2"/>
  <c r="AQ298" i="2" s="1"/>
  <c r="T305" i="2"/>
  <c r="T308" i="2"/>
  <c r="AW62" i="24" s="1"/>
  <c r="T324" i="2"/>
  <c r="AW48" i="24" s="1"/>
  <c r="AV30" i="24"/>
  <c r="T342" i="2"/>
  <c r="AQ342" i="2" s="1"/>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AD52" i="24"/>
  <c r="T178" i="2"/>
  <c r="AD80" i="24"/>
  <c r="T222" i="2"/>
  <c r="AQ236" i="2"/>
  <c r="U236" i="23" s="1"/>
  <c r="T241" i="2"/>
  <c r="Z241" i="2" s="1"/>
  <c r="AQ248" i="2"/>
  <c r="U248" i="23" s="1"/>
  <c r="AD39" i="24"/>
  <c r="T260" i="2"/>
  <c r="T276" i="2"/>
  <c r="AK276" i="2" s="1"/>
  <c r="R276" i="23" s="1"/>
  <c r="T283" i="2"/>
  <c r="AQ283" i="2" s="1"/>
  <c r="U283" i="23" s="1"/>
  <c r="AV13" i="24"/>
  <c r="T285" i="2"/>
  <c r="Z285" i="2" s="1"/>
  <c r="T290" i="2"/>
  <c r="AV36" i="24"/>
  <c r="T301" i="2"/>
  <c r="Z301" i="2" s="1"/>
  <c r="AV100" i="24"/>
  <c r="T368" i="2"/>
  <c r="AQ368" i="2" s="1"/>
  <c r="T255" i="32" s="1"/>
  <c r="K60" i="23"/>
  <c r="L60" i="23" s="1"/>
  <c r="I102" i="23"/>
  <c r="K140" i="23"/>
  <c r="L140" i="23" s="1"/>
  <c r="I140" i="23"/>
  <c r="J140" i="23" s="1"/>
  <c r="K181" i="23"/>
  <c r="K197" i="23"/>
  <c r="L197" i="23" s="1"/>
  <c r="I197" i="23"/>
  <c r="J197" i="23" s="1"/>
  <c r="I214" i="23"/>
  <c r="J214" i="23" s="1"/>
  <c r="K214" i="23"/>
  <c r="L214" i="23" s="1"/>
  <c r="AV96" i="24"/>
  <c r="T351" i="2"/>
  <c r="Z351" i="2" s="1"/>
  <c r="AV92" i="24"/>
  <c r="T358" i="2"/>
  <c r="AQ358" i="2"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AD28" i="24"/>
  <c r="T244" i="2"/>
  <c r="G244" i="23"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T346" i="2"/>
  <c r="Z346" i="2" s="1"/>
  <c r="V348" i="2"/>
  <c r="P349" i="2"/>
  <c r="T349" i="2"/>
  <c r="Z349" i="2" s="1"/>
  <c r="V351" i="2"/>
  <c r="P352" i="2"/>
  <c r="AV59" i="24"/>
  <c r="T353" i="2"/>
  <c r="Z353" i="2" s="1"/>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G21" i="23"/>
  <c r="AQ21" i="2"/>
  <c r="U21" i="23" s="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G49" i="23"/>
  <c r="AQ49" i="2"/>
  <c r="U49" i="23" s="1"/>
  <c r="G85" i="23"/>
  <c r="AQ85" i="2"/>
  <c r="U85" i="23" s="1"/>
  <c r="G93" i="23"/>
  <c r="AQ93" i="2"/>
  <c r="U93" i="23" s="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G105" i="23"/>
  <c r="AQ105" i="2"/>
  <c r="U105" i="23" s="1"/>
  <c r="G113" i="23"/>
  <c r="AQ113" i="2"/>
  <c r="U113" i="23" s="1"/>
  <c r="G121" i="23"/>
  <c r="AQ121" i="2"/>
  <c r="U121" i="23" s="1"/>
  <c r="G145" i="23"/>
  <c r="AQ145" i="2"/>
  <c r="U145" i="23" s="1"/>
  <c r="G153" i="23"/>
  <c r="AQ153" i="2"/>
  <c r="U153" i="23" s="1"/>
  <c r="AQ157" i="2"/>
  <c r="U157" i="23" s="1"/>
  <c r="G165" i="23"/>
  <c r="AQ165" i="2"/>
  <c r="U165" i="23" s="1"/>
  <c r="AQ169" i="2"/>
  <c r="U169" i="23" s="1"/>
  <c r="AQ173" i="2"/>
  <c r="U173" i="23" s="1"/>
  <c r="S280" i="30"/>
  <c r="S280" i="26"/>
  <c r="AQ185" i="2"/>
  <c r="U185" i="23" s="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Q217" i="2"/>
  <c r="U217" i="23" s="1"/>
  <c r="S356" i="30"/>
  <c r="S356" i="26"/>
  <c r="G272" i="23"/>
  <c r="AQ272" i="2"/>
  <c r="U272" i="23" s="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G10" i="23"/>
  <c r="AQ10" i="2"/>
  <c r="U10" i="23" s="1"/>
  <c r="G14" i="23"/>
  <c r="AQ14" i="2"/>
  <c r="U14" i="23" s="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G29" i="23"/>
  <c r="AQ29" i="2"/>
  <c r="U29" i="23" s="1"/>
  <c r="G37" i="23"/>
  <c r="AQ37" i="2"/>
  <c r="U37" i="23" s="1"/>
  <c r="G45" i="23"/>
  <c r="AQ45" i="2"/>
  <c r="U45" i="23" s="1"/>
  <c r="G53" i="23"/>
  <c r="AQ53" i="2"/>
  <c r="U53" i="23" s="1"/>
  <c r="G61" i="23"/>
  <c r="AQ61" i="2"/>
  <c r="U61" i="23" s="1"/>
  <c r="AQ65" i="2"/>
  <c r="U65" i="23" s="1"/>
  <c r="AQ69" i="2"/>
  <c r="U69" i="23" s="1"/>
  <c r="G89" i="23"/>
  <c r="AQ89" i="2"/>
  <c r="U89" i="23" s="1"/>
  <c r="G101" i="23"/>
  <c r="AQ101" i="2"/>
  <c r="U101" i="23" s="1"/>
  <c r="G129" i="23"/>
  <c r="AQ129" i="2"/>
  <c r="U129" i="23" s="1"/>
  <c r="G141" i="23"/>
  <c r="AQ141" i="2"/>
  <c r="U141" i="23" s="1"/>
  <c r="G161" i="23"/>
  <c r="AQ161" i="2"/>
  <c r="U161" i="23" s="1"/>
  <c r="AQ209" i="2"/>
  <c r="U209" i="23" s="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G239" i="23"/>
  <c r="AQ239" i="2"/>
  <c r="U239" i="23" s="1"/>
  <c r="S393" i="30"/>
  <c r="S393" i="26"/>
  <c r="G255" i="23"/>
  <c r="AQ255" i="2"/>
  <c r="U255" i="23" s="1"/>
  <c r="S396" i="30"/>
  <c r="S396" i="26"/>
  <c r="G263" i="23"/>
  <c r="AQ263" i="2"/>
  <c r="U263" i="23" s="1"/>
  <c r="G275" i="23"/>
  <c r="AQ275" i="2"/>
  <c r="U275" i="23" s="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S40" i="23"/>
  <c r="N40" i="23"/>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S287" i="30"/>
  <c r="S287" i="26"/>
  <c r="G192" i="23"/>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T142" i="26" s="1"/>
  <c r="AK82" i="24"/>
  <c r="C150" i="26"/>
  <c r="T150" i="26" s="1"/>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Q8" i="2"/>
  <c r="U8" i="23" s="1"/>
  <c r="AQ12" i="2"/>
  <c r="U12" i="23" s="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Q19" i="2"/>
  <c r="U19" i="23" s="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Q23" i="2"/>
  <c r="U23" i="23" s="1"/>
  <c r="AQ27" i="2"/>
  <c r="U27" i="23" s="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Q31" i="2"/>
  <c r="U31" i="23" s="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Q35" i="2"/>
  <c r="U35" i="23" s="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Q39" i="2"/>
  <c r="U39" i="23" s="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Q47" i="2"/>
  <c r="U47" i="23" s="1"/>
  <c r="AQ63" i="2"/>
  <c r="U63" i="23" s="1"/>
  <c r="AQ67" i="2"/>
  <c r="U67" i="23" s="1"/>
  <c r="AQ75" i="2"/>
  <c r="U75" i="23" s="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Q87" i="2"/>
  <c r="U87" i="23" s="1"/>
  <c r="AQ91" i="2"/>
  <c r="U91" i="23" s="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Q95" i="2"/>
  <c r="U95" i="23" s="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Q99" i="2"/>
  <c r="U99" i="23" s="1"/>
  <c r="AQ103" i="2"/>
  <c r="U103" i="23" s="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Q107" i="2"/>
  <c r="U107" i="23" s="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Q111" i="2"/>
  <c r="U111" i="23" s="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Q119" i="2"/>
  <c r="U119" i="23" s="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Q127" i="2"/>
  <c r="U127" i="23" s="1"/>
  <c r="AQ143" i="2"/>
  <c r="U143" i="23" s="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Q147" i="2"/>
  <c r="U147" i="23" s="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Q151" i="2"/>
  <c r="U151" i="23" s="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Q155" i="2"/>
  <c r="U155" i="23" s="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Q159" i="2"/>
  <c r="U159" i="23" s="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Q163" i="2"/>
  <c r="U163" i="23" s="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Q167" i="2"/>
  <c r="U167" i="23" s="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Q171" i="2"/>
  <c r="U171" i="23" s="1"/>
  <c r="T177" i="2"/>
  <c r="Z177" i="2" s="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T181" i="2"/>
  <c r="AV186" i="21"/>
  <c r="AR186" i="21"/>
  <c r="AN186" i="21"/>
  <c r="AJ186" i="21"/>
  <c r="AF186" i="21"/>
  <c r="AB186" i="21"/>
  <c r="X186" i="21"/>
  <c r="T186" i="21"/>
  <c r="P186" i="21"/>
  <c r="J186" i="21"/>
  <c r="AX186" i="21"/>
  <c r="AS186" i="21"/>
  <c r="AM186" i="21"/>
  <c r="AH186" i="21"/>
  <c r="AC186" i="21"/>
  <c r="W186" i="21"/>
  <c r="R186" i="21"/>
  <c r="K186" i="21"/>
  <c r="L186" i="21" s="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Q187" i="2"/>
  <c r="U187" i="23" s="1"/>
  <c r="T189" i="2"/>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Q195" i="2"/>
  <c r="U195" i="23" s="1"/>
  <c r="T197" i="2"/>
  <c r="S345" i="32" s="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T201" i="2"/>
  <c r="Z201" i="2" s="1"/>
  <c r="T205" i="2"/>
  <c r="AQ207" i="2"/>
  <c r="U207" i="23" s="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T221" i="2"/>
  <c r="T223" i="2"/>
  <c r="T227" i="2"/>
  <c r="Z227" i="2" s="1"/>
  <c r="T231" i="2"/>
  <c r="Z231" i="2" s="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T235" i="2"/>
  <c r="Z235" i="2" s="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T243" i="2"/>
  <c r="T271" i="2"/>
  <c r="Z271" i="2" s="1"/>
  <c r="T274" i="2"/>
  <c r="Z274" i="2" s="1"/>
  <c r="AQ289" i="2"/>
  <c r="U288" i="23" s="1"/>
  <c r="AV79" i="24"/>
  <c r="AV82" i="24"/>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S9" i="23"/>
  <c r="N9" i="23"/>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S28" i="23"/>
  <c r="N28" i="23"/>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N44" i="23"/>
  <c r="S44" i="23"/>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S72" i="23"/>
  <c r="N72" i="23"/>
  <c r="N80" i="23"/>
  <c r="S80" i="23"/>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S112" i="23"/>
  <c r="N112" i="23"/>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N160" i="23"/>
  <c r="S160" i="23"/>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N188" i="23"/>
  <c r="S188" i="23"/>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S315" i="30"/>
  <c r="S315" i="26"/>
  <c r="G7" i="23"/>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Q9" i="2"/>
  <c r="U9" i="23" s="1"/>
  <c r="N11" i="23"/>
  <c r="S11" i="23"/>
  <c r="AQ16" i="2"/>
  <c r="U16" i="23" s="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Q24" i="2"/>
  <c r="U24" i="23" s="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Q28" i="2"/>
  <c r="U28" i="23" s="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Q32" i="2"/>
  <c r="U32" i="23" s="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Q36" i="2"/>
  <c r="U36" i="23" s="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Q40" i="2"/>
  <c r="U40" i="23" s="1"/>
  <c r="AQ44" i="2"/>
  <c r="U44" i="23" s="1"/>
  <c r="AQ48" i="2"/>
  <c r="U48" i="23" s="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Q60" i="2"/>
  <c r="U60" i="23" s="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Q64" i="2"/>
  <c r="U64" i="23" s="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Q72" i="2"/>
  <c r="U72" i="23" s="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Q80" i="2"/>
  <c r="U80" i="23" s="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Q84" i="2"/>
  <c r="U84" i="23" s="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Q88" i="2"/>
  <c r="U88" i="23" s="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Q92" i="2"/>
  <c r="U92" i="23" s="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Q100" i="2"/>
  <c r="U100" i="23" s="1"/>
  <c r="AQ112" i="2"/>
  <c r="U112" i="23" s="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Q120" i="2"/>
  <c r="U120" i="23" s="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Q124" i="2"/>
  <c r="U124" i="23" s="1"/>
  <c r="AQ128" i="2"/>
  <c r="U128" i="23" s="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Q136" i="2"/>
  <c r="U136" i="23" s="1"/>
  <c r="AQ140" i="2"/>
  <c r="U140" i="23" s="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Q144" i="2"/>
  <c r="U144" i="23" s="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Q156" i="2"/>
  <c r="U156" i="23" s="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Q160" i="2"/>
  <c r="U160" i="23" s="1"/>
  <c r="AQ164" i="2"/>
  <c r="U164" i="23" s="1"/>
  <c r="S295" i="30"/>
  <c r="S295" i="26"/>
  <c r="G166" i="23"/>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Q168" i="2"/>
  <c r="U168" i="23" s="1"/>
  <c r="AQ172" i="2"/>
  <c r="U172" i="23" s="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Q184" i="2"/>
  <c r="U184" i="23" s="1"/>
  <c r="S281" i="30"/>
  <c r="S281" i="26"/>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Q188" i="2"/>
  <c r="U188" i="23" s="1"/>
  <c r="S283" i="30"/>
  <c r="S283" i="26"/>
  <c r="G190" i="23"/>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Q192" i="2"/>
  <c r="U192" i="23" s="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Q204" i="2"/>
  <c r="U204" i="23" s="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Q220" i="2"/>
  <c r="U220" i="23" s="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AQ242" i="2"/>
  <c r="U242" i="23" s="1"/>
  <c r="AQ250" i="2"/>
  <c r="U250" i="23" s="1"/>
  <c r="AQ266" i="2"/>
  <c r="U266" i="23" s="1"/>
  <c r="AQ273" i="2"/>
  <c r="U273" i="23" s="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AW82" i="24"/>
  <c r="J29" i="25" s="1"/>
  <c r="K29" i="25" s="1"/>
  <c r="AW79" i="24"/>
  <c r="J28" i="25" s="1"/>
  <c r="K28" i="25" s="1"/>
  <c r="C60" i="26"/>
  <c r="AK30" i="24"/>
  <c r="C102" i="26"/>
  <c r="AK51" i="24"/>
  <c r="C257" i="30"/>
  <c r="T257" i="30" s="1"/>
  <c r="C71" i="26"/>
  <c r="T71" i="26" s="1"/>
  <c r="C257" i="26"/>
  <c r="T257" i="26" s="1"/>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N24" i="23"/>
  <c r="S24" i="23"/>
  <c r="N32" i="23"/>
  <c r="S32" i="23"/>
  <c r="N36" i="23"/>
  <c r="S36" i="23"/>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S361" i="30"/>
  <c r="S361" i="26"/>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S392" i="30"/>
  <c r="S392" i="26"/>
  <c r="G254" i="23"/>
  <c r="AE86" i="24"/>
  <c r="AE85" i="24"/>
  <c r="G258" i="23"/>
  <c r="AK22" i="24"/>
  <c r="C25" i="26"/>
  <c r="C103" i="26"/>
  <c r="AK52" i="24"/>
  <c r="C122" i="26"/>
  <c r="AK65" i="24"/>
  <c r="C134" i="26"/>
  <c r="AK78" i="24"/>
  <c r="C132" i="26"/>
  <c r="AK76" i="24"/>
  <c r="C131" i="26"/>
  <c r="AK75" i="24"/>
  <c r="C123" i="26"/>
  <c r="AK67" i="24"/>
  <c r="C85" i="26"/>
  <c r="AK43" i="24"/>
  <c r="C190" i="26"/>
  <c r="AK87" i="24"/>
  <c r="C86" i="26"/>
  <c r="AK44" i="24"/>
  <c r="C191" i="26"/>
  <c r="AK88" i="24"/>
  <c r="S8" i="23"/>
  <c r="N8" i="23"/>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N12" i="23"/>
  <c r="S12" i="23"/>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N27" i="23"/>
  <c r="S27" i="23"/>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N31" i="23"/>
  <c r="S31" i="23"/>
  <c r="S35" i="23"/>
  <c r="N35" i="23"/>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N111" i="23"/>
  <c r="S111" i="23"/>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S282" i="30"/>
  <c r="S282" i="26"/>
  <c r="G183" i="23"/>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S195" i="23"/>
  <c r="N195" i="23"/>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S305" i="30"/>
  <c r="S305" i="26"/>
  <c r="G215" i="23"/>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S370" i="30"/>
  <c r="S370" i="26"/>
  <c r="G225" i="23"/>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S309" i="30"/>
  <c r="S309" i="26"/>
  <c r="G257" i="23"/>
  <c r="AD86" i="24"/>
  <c r="AD85" i="24"/>
  <c r="S381" i="30"/>
  <c r="S381" i="26"/>
  <c r="G261" i="23"/>
  <c r="S390" i="30"/>
  <c r="S390" i="26"/>
  <c r="G269" i="23"/>
  <c r="C23" i="26"/>
  <c r="AK20" i="24"/>
  <c r="C17" i="26"/>
  <c r="AK14" i="24"/>
  <c r="C258" i="30"/>
  <c r="T258" i="30" s="1"/>
  <c r="C258" i="26"/>
  <c r="T258" i="26" s="1"/>
  <c r="AK92" i="24"/>
  <c r="C199" i="26"/>
  <c r="C259" i="30"/>
  <c r="T259" i="30" s="1"/>
  <c r="C259" i="26"/>
  <c r="T259" i="26" s="1"/>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L261" i="21" s="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L32" i="23" s="1"/>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Z23" i="2"/>
  <c r="AB23" i="2"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Z19" i="2"/>
  <c r="AB19" i="2"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27" i="2"/>
  <c r="Z31" i="2"/>
  <c r="Z35" i="2"/>
  <c r="Z39" i="2"/>
  <c r="Z47" i="2"/>
  <c r="Z63" i="2"/>
  <c r="Z67" i="2"/>
  <c r="Z75" i="2"/>
  <c r="Z87" i="2"/>
  <c r="Z91" i="2"/>
  <c r="Z95" i="2"/>
  <c r="Z99" i="2"/>
  <c r="Z103" i="2"/>
  <c r="Z107" i="2"/>
  <c r="Z111" i="2"/>
  <c r="Z119" i="2"/>
  <c r="Z127" i="2"/>
  <c r="Z143" i="2"/>
  <c r="Z147" i="2"/>
  <c r="Z151" i="2"/>
  <c r="Z26" i="2"/>
  <c r="Z30" i="2"/>
  <c r="Z34" i="2"/>
  <c r="Z38" i="2"/>
  <c r="Z42" i="2"/>
  <c r="Z46" i="2"/>
  <c r="Z66" i="2"/>
  <c r="Z86" i="2"/>
  <c r="Z90" i="2"/>
  <c r="Z94" i="2"/>
  <c r="Z102" i="2"/>
  <c r="Z110" i="2"/>
  <c r="Z114" i="2"/>
  <c r="Z122" i="2"/>
  <c r="Z130" i="2"/>
  <c r="Z138" i="2"/>
  <c r="Z142" i="2"/>
  <c r="Z146" i="2"/>
  <c r="Z150" i="2"/>
  <c r="Z520" i="2"/>
  <c r="Z518" i="2"/>
  <c r="Z512" i="2"/>
  <c r="Z509" i="2"/>
  <c r="Z482" i="2"/>
  <c r="Z478" i="2"/>
  <c r="Z474" i="2"/>
  <c r="Z470" i="2"/>
  <c r="Z465" i="2"/>
  <c r="Z458" i="2"/>
  <c r="Z455" i="2"/>
  <c r="Z451" i="2"/>
  <c r="Z447" i="2"/>
  <c r="Z442" i="2"/>
  <c r="Z438" i="2"/>
  <c r="Z431" i="2"/>
  <c r="Z428" i="2"/>
  <c r="Z426" i="2"/>
  <c r="Z423" i="2"/>
  <c r="Z418" i="2"/>
  <c r="Z416" i="2"/>
  <c r="Z414" i="2"/>
  <c r="Z412" i="2"/>
  <c r="Z408" i="2"/>
  <c r="Z406" i="2"/>
  <c r="Z385" i="2"/>
  <c r="Z377" i="2"/>
  <c r="Z371" i="2"/>
  <c r="Z334" i="2"/>
  <c r="Z322" i="2"/>
  <c r="Z519" i="2"/>
  <c r="Z514" i="2"/>
  <c r="Z507" i="2"/>
  <c r="Z480" i="2"/>
  <c r="Z472" i="2"/>
  <c r="Z468" i="2"/>
  <c r="Z463" i="2"/>
  <c r="Z459" i="2"/>
  <c r="Z456" i="2"/>
  <c r="Z454" i="2"/>
  <c r="Z453" i="2"/>
  <c r="Z445" i="2"/>
  <c r="Z444" i="2"/>
  <c r="Z432" i="2"/>
  <c r="Z427" i="2"/>
  <c r="Z424" i="2"/>
  <c r="Z422" i="2"/>
  <c r="Z600" i="2"/>
  <c r="Z596" i="2"/>
  <c r="Z592" i="2"/>
  <c r="Z588" i="2"/>
  <c r="Z584" i="2"/>
  <c r="Z580" i="2"/>
  <c r="Z576" i="2"/>
  <c r="Z572" i="2"/>
  <c r="Z568" i="2"/>
  <c r="Z564" i="2"/>
  <c r="Z560" i="2"/>
  <c r="Z556" i="2"/>
  <c r="Z552" i="2"/>
  <c r="Z548" i="2"/>
  <c r="Z544" i="2"/>
  <c r="Z540" i="2"/>
  <c r="Z536" i="2"/>
  <c r="Z532" i="2"/>
  <c r="Z528" i="2"/>
  <c r="Z524" i="2"/>
  <c r="Z515" i="2"/>
  <c r="Z503" i="2"/>
  <c r="Z495" i="2"/>
  <c r="Z491" i="2"/>
  <c r="Z487" i="2"/>
  <c r="Z481" i="2"/>
  <c r="Z473" i="2"/>
  <c r="Z599" i="2"/>
  <c r="Z595" i="2"/>
  <c r="Z591" i="2"/>
  <c r="Z587" i="2"/>
  <c r="Z583" i="2"/>
  <c r="Z579" i="2"/>
  <c r="Z575" i="2"/>
  <c r="Z571" i="2"/>
  <c r="Z567" i="2"/>
  <c r="Z563" i="2"/>
  <c r="Z559" i="2"/>
  <c r="Z555" i="2"/>
  <c r="Z551" i="2"/>
  <c r="Z547" i="2"/>
  <c r="Z543" i="2"/>
  <c r="Z535" i="2"/>
  <c r="Z531" i="2"/>
  <c r="Z527" i="2"/>
  <c r="Z523" i="2"/>
  <c r="Z506" i="2"/>
  <c r="Z502" i="2"/>
  <c r="Z498" i="2"/>
  <c r="Z494" i="2"/>
  <c r="Z490" i="2"/>
  <c r="Z486" i="2"/>
  <c r="Z483" i="2"/>
  <c r="Z598" i="2"/>
  <c r="Z594" i="2"/>
  <c r="Z590" i="2"/>
  <c r="Z586" i="2"/>
  <c r="Z582" i="2"/>
  <c r="Z578" i="2"/>
  <c r="Z574" i="2"/>
  <c r="Z570" i="2"/>
  <c r="Z566" i="2"/>
  <c r="Z558" i="2"/>
  <c r="Z554" i="2"/>
  <c r="Z550" i="2"/>
  <c r="Z546" i="2"/>
  <c r="Z542" i="2"/>
  <c r="Z538" i="2"/>
  <c r="Z534" i="2"/>
  <c r="Z530" i="2"/>
  <c r="Z526" i="2"/>
  <c r="Z522" i="2"/>
  <c r="Z517" i="2"/>
  <c r="Z511" i="2"/>
  <c r="Z508" i="2"/>
  <c r="Z505" i="2"/>
  <c r="Z501" i="2"/>
  <c r="Z497" i="2"/>
  <c r="Z493" i="2"/>
  <c r="Z477" i="2"/>
  <c r="Z469" i="2"/>
  <c r="Z462" i="2"/>
  <c r="Z439" i="2"/>
  <c r="Z417" i="2"/>
  <c r="Z413" i="2"/>
  <c r="Z410" i="2"/>
  <c r="Z382" i="2"/>
  <c r="Z380" i="2"/>
  <c r="Z379" i="2"/>
  <c r="Z359" i="2"/>
  <c r="Z357" i="2"/>
  <c r="Z343" i="2"/>
  <c r="Z341" i="2"/>
  <c r="Z597" i="2"/>
  <c r="Z593" i="2"/>
  <c r="Z589" i="2"/>
  <c r="Z585" i="2"/>
  <c r="Z581" i="2"/>
  <c r="Z577" i="2"/>
  <c r="Z573" i="2"/>
  <c r="Z569" i="2"/>
  <c r="Z565" i="2"/>
  <c r="Z561" i="2"/>
  <c r="Z557" i="2"/>
  <c r="Z553" i="2"/>
  <c r="Z549" i="2"/>
  <c r="Z545" i="2"/>
  <c r="Z541" i="2"/>
  <c r="Z537" i="2"/>
  <c r="Z533" i="2"/>
  <c r="Z529" i="2"/>
  <c r="Z525" i="2"/>
  <c r="Z521" i="2"/>
  <c r="Z516" i="2"/>
  <c r="Z513" i="2"/>
  <c r="Z510" i="2"/>
  <c r="Z504" i="2"/>
  <c r="Z500" i="2"/>
  <c r="Z496" i="2"/>
  <c r="Z492" i="2"/>
  <c r="Z479" i="2"/>
  <c r="Z471" i="2"/>
  <c r="Z464" i="2"/>
  <c r="Z446" i="2"/>
  <c r="Z441" i="2"/>
  <c r="Z433" i="2"/>
  <c r="Z401" i="2"/>
  <c r="Z393" i="2"/>
  <c r="Z389" i="2"/>
  <c r="Z372" i="2"/>
  <c r="Z370" i="2"/>
  <c r="Z336" i="2"/>
  <c r="Z333" i="2"/>
  <c r="Z332" i="2"/>
  <c r="Z273" i="2"/>
  <c r="Z272" i="2"/>
  <c r="Z14" i="2"/>
  <c r="Z12" i="2"/>
  <c r="Z11" i="2"/>
  <c r="Z10" i="2"/>
  <c r="Z9" i="2"/>
  <c r="Z8" i="2"/>
  <c r="Z7" i="2"/>
  <c r="Z263" i="2"/>
  <c r="Z261" i="2"/>
  <c r="Z257" i="2"/>
  <c r="Z255" i="2"/>
  <c r="Z242" i="2"/>
  <c r="Z240" i="2"/>
  <c r="Z236" i="2"/>
  <c r="Z460" i="2"/>
  <c r="Z457" i="2"/>
  <c r="Z448" i="2"/>
  <c r="Z443" i="2"/>
  <c r="Z411" i="2"/>
  <c r="Z409" i="2"/>
  <c r="Z407" i="2"/>
  <c r="Z398" i="2"/>
  <c r="Z394" i="2"/>
  <c r="Z384" i="2"/>
  <c r="Z383" i="2"/>
  <c r="Z373" i="2"/>
  <c r="Z348" i="2"/>
  <c r="Z337" i="2"/>
  <c r="Z331" i="2"/>
  <c r="Z329" i="2"/>
  <c r="Z269" i="2"/>
  <c r="Z268" i="2"/>
  <c r="Z266" i="2"/>
  <c r="Z258" i="2"/>
  <c r="Z256" i="2"/>
  <c r="Z254" i="2"/>
  <c r="Z250" i="2"/>
  <c r="Z248" i="2"/>
  <c r="Z239" i="2"/>
  <c r="Z225" i="2"/>
  <c r="Z467" i="2"/>
  <c r="Z450" i="2"/>
  <c r="Z437" i="2"/>
  <c r="Z399" i="2"/>
  <c r="Z395" i="2"/>
  <c r="Z387" i="2"/>
  <c r="Z374" i="2"/>
  <c r="Z367" i="2"/>
  <c r="Z345" i="2"/>
  <c r="Z289" i="2"/>
  <c r="Z275" i="2"/>
  <c r="Z217" i="2"/>
  <c r="Z215" i="2"/>
  <c r="Z209" i="2"/>
  <c r="Z207" i="2"/>
  <c r="Z195" i="2"/>
  <c r="Z187" i="2"/>
  <c r="Z185" i="2"/>
  <c r="Z183" i="2"/>
  <c r="Z173" i="2"/>
  <c r="Z171" i="2"/>
  <c r="Z169" i="2"/>
  <c r="Z167" i="2"/>
  <c r="Z165" i="2"/>
  <c r="Z163" i="2"/>
  <c r="Z161" i="2"/>
  <c r="Z159" i="2"/>
  <c r="Z157" i="2"/>
  <c r="Z155" i="2"/>
  <c r="Z405" i="2"/>
  <c r="Z400" i="2"/>
  <c r="Z396" i="2"/>
  <c r="Z392" i="2"/>
  <c r="Z388" i="2"/>
  <c r="Z376" i="2"/>
  <c r="Z339" i="2"/>
  <c r="Z220" i="2"/>
  <c r="Z214" i="2"/>
  <c r="Z204" i="2"/>
  <c r="Z194" i="2"/>
  <c r="Z192" i="2"/>
  <c r="Z190" i="2"/>
  <c r="Z188" i="2"/>
  <c r="Z186" i="2"/>
  <c r="Z184" i="2"/>
  <c r="Z172" i="2"/>
  <c r="Z170" i="2"/>
  <c r="Z168" i="2"/>
  <c r="Z166" i="2"/>
  <c r="Z164" i="2"/>
  <c r="Z160" i="2"/>
  <c r="Z156" i="2"/>
  <c r="Z21" i="2"/>
  <c r="Z29" i="2"/>
  <c r="Z37" i="2"/>
  <c r="Z45" i="2"/>
  <c r="Z49" i="2"/>
  <c r="Z53" i="2"/>
  <c r="Z61" i="2"/>
  <c r="Z65" i="2"/>
  <c r="Z69" i="2"/>
  <c r="Z85" i="2"/>
  <c r="Z89" i="2"/>
  <c r="Z93" i="2"/>
  <c r="Z101" i="2"/>
  <c r="Z105" i="2"/>
  <c r="Z113" i="2"/>
  <c r="Z121" i="2"/>
  <c r="Z129" i="2"/>
  <c r="Z141" i="2"/>
  <c r="Z145" i="2"/>
  <c r="Z153" i="2"/>
  <c r="Z16" i="2"/>
  <c r="Z24" i="2"/>
  <c r="Z28" i="2"/>
  <c r="Z32" i="2"/>
  <c r="Z36" i="2"/>
  <c r="Z40" i="2"/>
  <c r="Z44" i="2"/>
  <c r="Z48" i="2"/>
  <c r="Z60" i="2"/>
  <c r="Z64" i="2"/>
  <c r="Z72" i="2"/>
  <c r="Z80" i="2"/>
  <c r="Z84" i="2"/>
  <c r="Z88" i="2"/>
  <c r="Z92" i="2"/>
  <c r="Z100" i="2"/>
  <c r="Z112" i="2"/>
  <c r="Z120" i="2"/>
  <c r="Z124" i="2"/>
  <c r="Z128" i="2"/>
  <c r="Z136" i="2"/>
  <c r="Z140" i="2"/>
  <c r="Z144" i="2"/>
  <c r="Z148"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F370" i="30" l="1"/>
  <c r="F370" i="32"/>
  <c r="J330" i="26"/>
  <c r="J330" i="32"/>
  <c r="AG106" i="24"/>
  <c r="J394" i="32"/>
  <c r="J366" i="26"/>
  <c r="J366" i="32"/>
  <c r="J351" i="30"/>
  <c r="J348"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341" i="32"/>
  <c r="AE68" i="24"/>
  <c r="S344" i="32"/>
  <c r="F319" i="26"/>
  <c r="F319" i="32"/>
  <c r="F341" i="30"/>
  <c r="F341" i="32"/>
  <c r="G134" i="23"/>
  <c r="S343" i="32"/>
  <c r="S304" i="32"/>
  <c r="S337" i="30"/>
  <c r="S337" i="32"/>
  <c r="Z221" i="2"/>
  <c r="AB221" i="2" s="1"/>
  <c r="S330" i="32"/>
  <c r="Z189" i="2"/>
  <c r="AB189" i="2" s="1"/>
  <c r="S333"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AK264" i="2"/>
  <c r="O334" i="26" s="1"/>
  <c r="N334" i="26" s="1"/>
  <c r="S334" i="32"/>
  <c r="AQ230" i="2"/>
  <c r="U230" i="23" s="1"/>
  <c r="S297" i="32"/>
  <c r="F282" i="26"/>
  <c r="F282" i="32"/>
  <c r="AQ135" i="2"/>
  <c r="U135" i="23" s="1"/>
  <c r="S296" i="32"/>
  <c r="F303" i="30"/>
  <c r="F303" i="32"/>
  <c r="G132" i="23"/>
  <c r="S298" i="32"/>
  <c r="J337" i="30"/>
  <c r="J337" i="32"/>
  <c r="J303" i="30"/>
  <c r="J303" i="32"/>
  <c r="J315" i="26"/>
  <c r="J315" i="32"/>
  <c r="Z205" i="2"/>
  <c r="AB205" i="2" s="1"/>
  <c r="S366" i="32"/>
  <c r="H247" i="23"/>
  <c r="F391" i="32"/>
  <c r="J335" i="30"/>
  <c r="J335" i="32"/>
  <c r="J305" i="30"/>
  <c r="J305" i="32"/>
  <c r="J287" i="26"/>
  <c r="J285" i="26" s="1"/>
  <c r="J287" i="32"/>
  <c r="J285" i="32" s="1"/>
  <c r="J325" i="30"/>
  <c r="J323" i="30" s="1"/>
  <c r="J325" i="32"/>
  <c r="J323" i="32" s="1"/>
  <c r="AG95" i="24"/>
  <c r="J375" i="32"/>
  <c r="J378" i="32"/>
  <c r="S351" i="30"/>
  <c r="S351" i="32"/>
  <c r="J334" i="26"/>
  <c r="J334" i="32"/>
  <c r="J356" i="26"/>
  <c r="J356" i="32"/>
  <c r="J304" i="32"/>
  <c r="J343" i="32"/>
  <c r="AG75" i="24"/>
  <c r="J332" i="32"/>
  <c r="Z247" i="2"/>
  <c r="O247" i="23" s="1"/>
  <c r="S391" i="32"/>
  <c r="F395" i="30"/>
  <c r="F395" i="32"/>
  <c r="AQ237" i="2"/>
  <c r="U237" i="23" s="1"/>
  <c r="S371" i="32"/>
  <c r="Z193" i="2"/>
  <c r="O193" i="23" s="1"/>
  <c r="S279" i="32"/>
  <c r="J295" i="30"/>
  <c r="J295" i="32"/>
  <c r="J298" i="30"/>
  <c r="J298" i="32"/>
  <c r="F339" i="26"/>
  <c r="F339" i="32"/>
  <c r="H7" i="23"/>
  <c r="F315" i="32"/>
  <c r="Z223" i="2"/>
  <c r="O223" i="23" s="1"/>
  <c r="S338" i="32"/>
  <c r="F381" i="30"/>
  <c r="F379" i="30" s="1"/>
  <c r="F378" i="30" s="1"/>
  <c r="F381" i="32"/>
  <c r="F379" i="32" s="1"/>
  <c r="F378" i="32" s="1"/>
  <c r="J370" i="30"/>
  <c r="J370" i="32"/>
  <c r="J368" i="32" s="1"/>
  <c r="J391" i="30"/>
  <c r="J391" i="32"/>
  <c r="J392" i="26"/>
  <c r="J392" i="32"/>
  <c r="J376" i="26"/>
  <c r="J376" i="32"/>
  <c r="F279" i="26"/>
  <c r="F279" i="32"/>
  <c r="F337" i="30"/>
  <c r="F337" i="32"/>
  <c r="F296" i="26"/>
  <c r="F296" i="32"/>
  <c r="F304" i="30"/>
  <c r="F343" i="32"/>
  <c r="F304" i="32"/>
  <c r="J365" i="26"/>
  <c r="J365" i="32"/>
  <c r="J361" i="26"/>
  <c r="J359" i="26" s="1"/>
  <c r="J361" i="32"/>
  <c r="J359" i="32" s="1"/>
  <c r="K359" i="32" s="1"/>
  <c r="J342" i="26"/>
  <c r="J342" i="32"/>
  <c r="J282" i="26"/>
  <c r="J282" i="32"/>
  <c r="K285" i="32"/>
  <c r="AE76" i="24"/>
  <c r="S331" i="32"/>
  <c r="S365" i="30"/>
  <c r="S365" i="32"/>
  <c r="U297" i="23"/>
  <c r="T265" i="32"/>
  <c r="R269" i="23"/>
  <c r="P269" i="23" s="1"/>
  <c r="Q269" i="23" s="1"/>
  <c r="O390" i="32"/>
  <c r="N390" i="32" s="1"/>
  <c r="R225" i="23"/>
  <c r="P225" i="23" s="1"/>
  <c r="Q225" i="23" s="1"/>
  <c r="O370" i="32"/>
  <c r="N370" i="32" s="1"/>
  <c r="R261" i="23"/>
  <c r="P261" i="23" s="1"/>
  <c r="Q261" i="23" s="1"/>
  <c r="O381" i="32"/>
  <c r="R255" i="23"/>
  <c r="P255" i="23" s="1"/>
  <c r="Q255" i="23" s="1"/>
  <c r="O393" i="32"/>
  <c r="N393" i="32" s="1"/>
  <c r="R254" i="23"/>
  <c r="P254" i="23" s="1"/>
  <c r="Q254" i="23" s="1"/>
  <c r="O392" i="32"/>
  <c r="N392" i="32" s="1"/>
  <c r="R183" i="23"/>
  <c r="P183" i="23" s="1"/>
  <c r="Q183" i="23" s="1"/>
  <c r="O282" i="32"/>
  <c r="N282" i="32" s="1"/>
  <c r="R257" i="23"/>
  <c r="P257" i="23" s="1"/>
  <c r="Q257" i="23" s="1"/>
  <c r="O309" i="32"/>
  <c r="N309" i="32" s="1"/>
  <c r="R263" i="23"/>
  <c r="P263" i="23" s="1"/>
  <c r="Q263" i="23" s="1"/>
  <c r="O396" i="32"/>
  <c r="N396" i="32" s="1"/>
  <c r="Y606" i="2"/>
  <c r="AC606" i="2" s="1"/>
  <c r="W602" i="2"/>
  <c r="Y605" i="2"/>
  <c r="AC605" i="2" s="1"/>
  <c r="Y607" i="2"/>
  <c r="AC607" i="2" s="1"/>
  <c r="W601" i="2"/>
  <c r="Y604" i="2"/>
  <c r="AC604" i="2" s="1"/>
  <c r="Y603" i="2"/>
  <c r="AC603" i="2" s="1"/>
  <c r="W606" i="2"/>
  <c r="W603" i="2"/>
  <c r="W604" i="2"/>
  <c r="Y601" i="2"/>
  <c r="AC601" i="2" s="1"/>
  <c r="W605" i="2"/>
  <c r="Y602" i="2"/>
  <c r="AC602" i="2" s="1"/>
  <c r="W607" i="2"/>
  <c r="Z499" i="2"/>
  <c r="AB499" i="2" s="1"/>
  <c r="AB601" i="2"/>
  <c r="AB602" i="2"/>
  <c r="AB605" i="2"/>
  <c r="AA605" i="2"/>
  <c r="AB603" i="2"/>
  <c r="AB604" i="2"/>
  <c r="AB606" i="2"/>
  <c r="AB607" i="2"/>
  <c r="AK562" i="2"/>
  <c r="Z562" i="2"/>
  <c r="AB562" i="2" s="1"/>
  <c r="AK489" i="2"/>
  <c r="Z539" i="2"/>
  <c r="AB539" i="2" s="1"/>
  <c r="S88" i="23"/>
  <c r="Z488" i="2"/>
  <c r="AB488" i="2" s="1"/>
  <c r="N214" i="23"/>
  <c r="N136" i="23"/>
  <c r="N99" i="23"/>
  <c r="N63" i="23"/>
  <c r="S250" i="23"/>
  <c r="N143" i="23"/>
  <c r="S220" i="23"/>
  <c r="S144" i="23"/>
  <c r="S288" i="23"/>
  <c r="N140" i="23"/>
  <c r="S107" i="23"/>
  <c r="S273" i="23"/>
  <c r="S87" i="23"/>
  <c r="N236" i="23"/>
  <c r="P250" i="23"/>
  <c r="Q250" i="23" s="1"/>
  <c r="L250" i="21"/>
  <c r="S163" i="23"/>
  <c r="L190" i="21"/>
  <c r="N91" i="23"/>
  <c r="S119" i="23"/>
  <c r="N23" i="23"/>
  <c r="S95" i="23"/>
  <c r="N127" i="23"/>
  <c r="N242" i="23"/>
  <c r="N170" i="23"/>
  <c r="N128" i="23"/>
  <c r="N248" i="23"/>
  <c r="T20" i="26"/>
  <c r="S124" i="23"/>
  <c r="T60" i="26"/>
  <c r="T24" i="26"/>
  <c r="P248" i="23"/>
  <c r="Q248" i="23" s="1"/>
  <c r="N266" i="23"/>
  <c r="P273" i="23"/>
  <c r="Q273" i="23" s="1"/>
  <c r="P236" i="23"/>
  <c r="Q236" i="23" s="1"/>
  <c r="P266" i="23"/>
  <c r="Q266" i="23" s="1"/>
  <c r="H248" i="23"/>
  <c r="G186" i="23"/>
  <c r="S186" i="23" s="1"/>
  <c r="P242" i="23"/>
  <c r="Q242" i="23" s="1"/>
  <c r="W377" i="2"/>
  <c r="G69" i="23"/>
  <c r="N69" i="23" s="1"/>
  <c r="G185" i="23"/>
  <c r="N185" i="23" s="1"/>
  <c r="G173" i="23"/>
  <c r="S173" i="23" s="1"/>
  <c r="N142" i="23"/>
  <c r="N60" i="23"/>
  <c r="H250" i="23"/>
  <c r="H236" i="23"/>
  <c r="G102" i="23"/>
  <c r="S102" i="23" s="1"/>
  <c r="J186" i="23"/>
  <c r="J29" i="23"/>
  <c r="AV65" i="24"/>
  <c r="R89" i="23"/>
  <c r="P89" i="23" s="1"/>
  <c r="Q89" i="23" s="1"/>
  <c r="R42" i="23"/>
  <c r="P42" i="23" s="1"/>
  <c r="Q42" i="23" s="1"/>
  <c r="R21" i="23"/>
  <c r="P21" i="23" s="1"/>
  <c r="Q21" i="23" s="1"/>
  <c r="R99" i="23"/>
  <c r="P99" i="23" s="1"/>
  <c r="Q99" i="23" s="1"/>
  <c r="R23" i="23"/>
  <c r="P23" i="23" s="1"/>
  <c r="Q23" i="23" s="1"/>
  <c r="R136" i="23"/>
  <c r="P136" i="23" s="1"/>
  <c r="Q136" i="23" s="1"/>
  <c r="R112" i="23"/>
  <c r="P112" i="23" s="1"/>
  <c r="Q112" i="23" s="1"/>
  <c r="R36" i="23"/>
  <c r="P36" i="23" s="1"/>
  <c r="Q36" i="23" s="1"/>
  <c r="R190" i="23"/>
  <c r="P190" i="23" s="1"/>
  <c r="Q190" i="23" s="1"/>
  <c r="R125" i="23"/>
  <c r="R138" i="23"/>
  <c r="P138" i="23" s="1"/>
  <c r="Q138" i="23" s="1"/>
  <c r="R31" i="23"/>
  <c r="P31" i="23" s="1"/>
  <c r="Q31" i="23" s="1"/>
  <c r="R170" i="23"/>
  <c r="P170" i="23" s="1"/>
  <c r="Q170" i="23" s="1"/>
  <c r="R61" i="23"/>
  <c r="P61" i="23" s="1"/>
  <c r="Q61" i="23" s="1"/>
  <c r="R127" i="23"/>
  <c r="P127" i="23" s="1"/>
  <c r="Q127" i="23" s="1"/>
  <c r="R87" i="23"/>
  <c r="P87" i="23" s="1"/>
  <c r="Q87" i="23" s="1"/>
  <c r="T265" i="30"/>
  <c r="R60" i="23"/>
  <c r="P60" i="23" s="1"/>
  <c r="Q60" i="23" s="1"/>
  <c r="R122" i="23"/>
  <c r="P122" i="23" s="1"/>
  <c r="Q122" i="23" s="1"/>
  <c r="R214" i="23"/>
  <c r="P214" i="23" s="1"/>
  <c r="Q214" i="23" s="1"/>
  <c r="G148" i="23"/>
  <c r="N148" i="23" s="1"/>
  <c r="H76" i="23"/>
  <c r="L76" i="23" s="1"/>
  <c r="H116" i="23"/>
  <c r="G110" i="23"/>
  <c r="N110" i="23" s="1"/>
  <c r="H194" i="23"/>
  <c r="H72" i="23"/>
  <c r="AT64" i="24"/>
  <c r="H256" i="23"/>
  <c r="G304" i="23"/>
  <c r="S304" i="23" s="1"/>
  <c r="R66" i="23"/>
  <c r="P66" i="23" s="1"/>
  <c r="Q66" i="23" s="1"/>
  <c r="P220" i="23"/>
  <c r="Q220" i="23" s="1"/>
  <c r="H39" i="23"/>
  <c r="H34" i="23"/>
  <c r="H291" i="23"/>
  <c r="AU104" i="24"/>
  <c r="G46" i="23"/>
  <c r="N46" i="23" s="1"/>
  <c r="H188" i="23"/>
  <c r="R72" i="23"/>
  <c r="P72" i="23" s="1"/>
  <c r="Q72" i="23" s="1"/>
  <c r="R44" i="23"/>
  <c r="P44" i="23" s="1"/>
  <c r="Q44" i="23" s="1"/>
  <c r="R28" i="23"/>
  <c r="P28" i="23" s="1"/>
  <c r="Q28" i="23" s="1"/>
  <c r="N48" i="23"/>
  <c r="S48" i="23"/>
  <c r="U436" i="2"/>
  <c r="AX110" i="24" s="1"/>
  <c r="AT110" i="24"/>
  <c r="J85" i="23"/>
  <c r="AT54" i="24"/>
  <c r="AT104" i="24"/>
  <c r="H75" i="23"/>
  <c r="H51" i="23"/>
  <c r="H27" i="23"/>
  <c r="H19" i="23"/>
  <c r="R140" i="23"/>
  <c r="P140" i="23" s="1"/>
  <c r="Q140" i="23" s="1"/>
  <c r="H195" i="23"/>
  <c r="H80" i="23"/>
  <c r="H120" i="23"/>
  <c r="L120" i="23" s="1"/>
  <c r="T430" i="2"/>
  <c r="AK430" i="2" s="1"/>
  <c r="AV107" i="24"/>
  <c r="H171" i="23"/>
  <c r="H62" i="23"/>
  <c r="H126" i="23"/>
  <c r="H152" i="23"/>
  <c r="L152" i="23" s="1"/>
  <c r="H130" i="23"/>
  <c r="H82" i="23"/>
  <c r="H54" i="23"/>
  <c r="H18" i="23"/>
  <c r="L18" i="23" s="1"/>
  <c r="H63" i="23"/>
  <c r="H17" i="23"/>
  <c r="L17" i="23" s="1"/>
  <c r="R34" i="23"/>
  <c r="P34" i="23" s="1"/>
  <c r="Q34" i="23" s="1"/>
  <c r="R110" i="23"/>
  <c r="R119" i="23"/>
  <c r="P119" i="23" s="1"/>
  <c r="Q119" i="23" s="1"/>
  <c r="R39" i="23"/>
  <c r="G19" i="23"/>
  <c r="J105" i="23"/>
  <c r="G178" i="23"/>
  <c r="N178" i="23" s="1"/>
  <c r="G75" i="23"/>
  <c r="J75" i="23" s="1"/>
  <c r="T436" i="2"/>
  <c r="AK436" i="2" s="1"/>
  <c r="AV110" i="24"/>
  <c r="L75" i="23"/>
  <c r="U430" i="2"/>
  <c r="AX107" i="24" s="1"/>
  <c r="AT107" i="24"/>
  <c r="R143" i="23"/>
  <c r="P143" i="23" s="1"/>
  <c r="Q143" i="23" s="1"/>
  <c r="R91" i="23"/>
  <c r="P91" i="23" s="1"/>
  <c r="Q91" i="23" s="1"/>
  <c r="R63" i="23"/>
  <c r="P63" i="23" s="1"/>
  <c r="Q63" i="23" s="1"/>
  <c r="R144" i="23"/>
  <c r="P144" i="23" s="1"/>
  <c r="Q144" i="23" s="1"/>
  <c r="G92" i="23"/>
  <c r="J92" i="23" s="1"/>
  <c r="H190" i="23"/>
  <c r="G238" i="23"/>
  <c r="N238" i="23" s="1"/>
  <c r="G169" i="23"/>
  <c r="N169" i="23" s="1"/>
  <c r="AT53" i="24"/>
  <c r="Z197" i="2"/>
  <c r="AB197" i="2" s="1"/>
  <c r="G156" i="23"/>
  <c r="AW54" i="24"/>
  <c r="T434" i="2"/>
  <c r="AK434" i="2" s="1"/>
  <c r="R209" i="23" s="1"/>
  <c r="AV58" i="24"/>
  <c r="Z243" i="2"/>
  <c r="O243" i="23" s="1"/>
  <c r="G172" i="23"/>
  <c r="U434" i="2"/>
  <c r="AX58" i="24" s="1"/>
  <c r="AT58" i="24"/>
  <c r="AV54" i="24"/>
  <c r="Z191" i="2"/>
  <c r="O154" i="23" s="1"/>
  <c r="G154" i="23"/>
  <c r="Z104" i="2"/>
  <c r="O90" i="23" s="1"/>
  <c r="G90" i="23"/>
  <c r="N90" i="23" s="1"/>
  <c r="H192" i="23"/>
  <c r="G158" i="23"/>
  <c r="S158" i="23" s="1"/>
  <c r="Z96" i="2"/>
  <c r="AB96" i="2" s="1"/>
  <c r="G84" i="23"/>
  <c r="H79" i="23"/>
  <c r="Z429" i="2"/>
  <c r="AB429" i="2" s="1"/>
  <c r="G207" i="23"/>
  <c r="G171" i="23"/>
  <c r="G217" i="23"/>
  <c r="S217" i="23" s="1"/>
  <c r="AE109" i="24"/>
  <c r="G155" i="23"/>
  <c r="H207" i="23"/>
  <c r="Z375" i="2"/>
  <c r="AB375" i="2" s="1"/>
  <c r="G187" i="23"/>
  <c r="J187" i="23" s="1"/>
  <c r="AV67" i="24"/>
  <c r="G164" i="23"/>
  <c r="J90" i="23"/>
  <c r="AN58" i="24"/>
  <c r="Z181" i="2"/>
  <c r="O150" i="23" s="1"/>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P93" i="23" s="1"/>
  <c r="Q93" i="23" s="1"/>
  <c r="R146" i="23"/>
  <c r="P146" i="23" s="1"/>
  <c r="Q146" i="23" s="1"/>
  <c r="R114" i="23"/>
  <c r="P114" i="23" s="1"/>
  <c r="Q114" i="23" s="1"/>
  <c r="R288" i="23"/>
  <c r="P288" i="23" s="1"/>
  <c r="Q288" i="23" s="1"/>
  <c r="R161" i="23"/>
  <c r="P161" i="23" s="1"/>
  <c r="Q161" i="23" s="1"/>
  <c r="R121" i="23"/>
  <c r="P121" i="23" s="1"/>
  <c r="Q121" i="23" s="1"/>
  <c r="R165" i="23"/>
  <c r="P165" i="23" s="1"/>
  <c r="Q165" i="23" s="1"/>
  <c r="R26" i="23"/>
  <c r="P26" i="23" s="1"/>
  <c r="Q26" i="23" s="1"/>
  <c r="R45" i="23"/>
  <c r="P45" i="23" s="1"/>
  <c r="Q45" i="23" s="1"/>
  <c r="R163" i="23"/>
  <c r="P163" i="23" s="1"/>
  <c r="Q163" i="23" s="1"/>
  <c r="R111" i="23"/>
  <c r="P111" i="23" s="1"/>
  <c r="Q111" i="23" s="1"/>
  <c r="R95" i="23"/>
  <c r="P95" i="23" s="1"/>
  <c r="Q95" i="23" s="1"/>
  <c r="R35" i="23"/>
  <c r="P35" i="23" s="1"/>
  <c r="Q35" i="23" s="1"/>
  <c r="R128" i="23"/>
  <c r="P128" i="23" s="1"/>
  <c r="Q128" i="23" s="1"/>
  <c r="R80" i="23"/>
  <c r="P80" i="23" s="1"/>
  <c r="Q80" i="23" s="1"/>
  <c r="R32" i="23"/>
  <c r="P32" i="23" s="1"/>
  <c r="Q32" i="23" s="1"/>
  <c r="G67" i="23"/>
  <c r="J67" i="23" s="1"/>
  <c r="G16" i="23"/>
  <c r="J16" i="23" s="1"/>
  <c r="H100" i="23"/>
  <c r="L100" i="23" s="1"/>
  <c r="AT10" i="24"/>
  <c r="H170" i="23"/>
  <c r="H174" i="23"/>
  <c r="J65" i="23"/>
  <c r="J48" i="23"/>
  <c r="G52" i="23"/>
  <c r="S52" i="23" s="1"/>
  <c r="H191" i="23"/>
  <c r="L191" i="23" s="1"/>
  <c r="H111" i="23"/>
  <c r="H91" i="23"/>
  <c r="H55" i="23"/>
  <c r="J291" i="23"/>
  <c r="R153" i="23"/>
  <c r="P153" i="23" s="1"/>
  <c r="Q153" i="23" s="1"/>
  <c r="R113" i="23"/>
  <c r="P113" i="23" s="1"/>
  <c r="Q113" i="23" s="1"/>
  <c r="R30" i="23"/>
  <c r="P30" i="23" s="1"/>
  <c r="Q30" i="23" s="1"/>
  <c r="R38" i="23"/>
  <c r="P38" i="23" s="1"/>
  <c r="Q38" i="23" s="1"/>
  <c r="R107" i="23"/>
  <c r="P107" i="23" s="1"/>
  <c r="Q107" i="23" s="1"/>
  <c r="R124" i="23"/>
  <c r="P124" i="23" s="1"/>
  <c r="Q124" i="23" s="1"/>
  <c r="G47" i="23"/>
  <c r="G147" i="23"/>
  <c r="G64" i="23"/>
  <c r="J64" i="23" s="1"/>
  <c r="G204" i="23"/>
  <c r="G100" i="23"/>
  <c r="H139" i="23"/>
  <c r="H123" i="23"/>
  <c r="R79" i="23"/>
  <c r="H147" i="23"/>
  <c r="H165" i="23"/>
  <c r="J127" i="23"/>
  <c r="AW53" i="24"/>
  <c r="H122" i="23"/>
  <c r="H114" i="23"/>
  <c r="H106" i="23"/>
  <c r="L106" i="23" s="1"/>
  <c r="H74" i="23"/>
  <c r="L74" i="23" s="1"/>
  <c r="H66" i="23"/>
  <c r="J84" i="23"/>
  <c r="H131" i="23"/>
  <c r="G116" i="23"/>
  <c r="S116" i="23" s="1"/>
  <c r="G108" i="23"/>
  <c r="N108" i="23" s="1"/>
  <c r="H99" i="23"/>
  <c r="H71" i="23"/>
  <c r="L71" i="23" s="1"/>
  <c r="H209" i="23"/>
  <c r="R141" i="23"/>
  <c r="P141" i="23" s="1"/>
  <c r="Q141" i="23" s="1"/>
  <c r="R130" i="23"/>
  <c r="P130" i="23" s="1"/>
  <c r="Q130" i="23" s="1"/>
  <c r="R145" i="23"/>
  <c r="P145" i="23" s="1"/>
  <c r="Q145" i="23" s="1"/>
  <c r="R142" i="23"/>
  <c r="P142" i="23" s="1"/>
  <c r="Q142" i="23" s="1"/>
  <c r="R86" i="23"/>
  <c r="P86" i="23" s="1"/>
  <c r="Q86" i="23" s="1"/>
  <c r="R27" i="23"/>
  <c r="P27" i="23" s="1"/>
  <c r="Q27" i="23" s="1"/>
  <c r="R160" i="23"/>
  <c r="P160" i="23" s="1"/>
  <c r="Q160" i="23" s="1"/>
  <c r="R88" i="23"/>
  <c r="P88" i="23" s="1"/>
  <c r="Q88" i="23" s="1"/>
  <c r="R40" i="23"/>
  <c r="P40" i="23" s="1"/>
  <c r="Q40" i="23" s="1"/>
  <c r="R24" i="23"/>
  <c r="P24" i="23" s="1"/>
  <c r="Q24" i="23" s="1"/>
  <c r="G168" i="23"/>
  <c r="G184" i="23"/>
  <c r="J184" i="23" s="1"/>
  <c r="G103" i="23"/>
  <c r="G120" i="23"/>
  <c r="J120" i="23" s="1"/>
  <c r="G151" i="23"/>
  <c r="G39" i="23"/>
  <c r="T199" i="26"/>
  <c r="T265" i="26"/>
  <c r="T103" i="26"/>
  <c r="T255" i="26"/>
  <c r="U249" i="23"/>
  <c r="T112" i="26"/>
  <c r="T255" i="30"/>
  <c r="AS39" i="21"/>
  <c r="AK162" i="2"/>
  <c r="AK97" i="2"/>
  <c r="R97" i="23" s="1"/>
  <c r="AK425" i="2"/>
  <c r="R204" i="23" s="1"/>
  <c r="AK17" i="2"/>
  <c r="R17" i="23" s="1"/>
  <c r="AK116" i="2"/>
  <c r="AK435" i="2"/>
  <c r="AK205" i="2"/>
  <c r="AK54" i="2"/>
  <c r="AK50" i="2"/>
  <c r="AK193" i="2"/>
  <c r="AK62" i="2"/>
  <c r="AK293" i="2"/>
  <c r="R292" i="23" s="1"/>
  <c r="AK82" i="2"/>
  <c r="R82" i="23" s="1"/>
  <c r="AK238" i="2"/>
  <c r="R238" i="23" s="1"/>
  <c r="AK174" i="2"/>
  <c r="R174" i="23" s="1"/>
  <c r="P174" i="23" s="1"/>
  <c r="Q174" i="23" s="1"/>
  <c r="AK78" i="2"/>
  <c r="AK33" i="2"/>
  <c r="R33" i="23" s="1"/>
  <c r="AK291" i="2"/>
  <c r="R290" i="23" s="1"/>
  <c r="AK243" i="2"/>
  <c r="R243" i="23" s="1"/>
  <c r="AK227" i="2"/>
  <c r="R227" i="23" s="1"/>
  <c r="AK211" i="2"/>
  <c r="AK179" i="2"/>
  <c r="R179" i="23" s="1"/>
  <c r="AK131" i="2"/>
  <c r="R131" i="23" s="1"/>
  <c r="P131" i="23" s="1"/>
  <c r="Q131" i="23" s="1"/>
  <c r="AK115" i="2"/>
  <c r="R100" i="23" s="1"/>
  <c r="AK83" i="2"/>
  <c r="R83" i="23" s="1"/>
  <c r="P83" i="23" s="1"/>
  <c r="Q83" i="23" s="1"/>
  <c r="AK51" i="2"/>
  <c r="AK292" i="2"/>
  <c r="R291" i="23" s="1"/>
  <c r="P291" i="23" s="1"/>
  <c r="Q291" i="23" s="1"/>
  <c r="AK260" i="2"/>
  <c r="AK244" i="2"/>
  <c r="R244" i="23" s="1"/>
  <c r="P244" i="23" s="1"/>
  <c r="Q244" i="23" s="1"/>
  <c r="AK228" i="2"/>
  <c r="R166" i="23" s="1"/>
  <c r="P166" i="23" s="1"/>
  <c r="Q166" i="23" s="1"/>
  <c r="AK196" i="2"/>
  <c r="AK180" i="2"/>
  <c r="AK132" i="2"/>
  <c r="AK68" i="2"/>
  <c r="AK52" i="2"/>
  <c r="R48" i="23" s="1"/>
  <c r="P48" i="23" s="1"/>
  <c r="Q48" i="23" s="1"/>
  <c r="AK20" i="2"/>
  <c r="R20" i="23" s="1"/>
  <c r="P20" i="23" s="1"/>
  <c r="Q20" i="23" s="1"/>
  <c r="AK320" i="2"/>
  <c r="AK304" i="2"/>
  <c r="AK319" i="2"/>
  <c r="AK303" i="2"/>
  <c r="R302" i="23" s="1"/>
  <c r="AK349" i="2"/>
  <c r="R185" i="23" s="1"/>
  <c r="AK361" i="2"/>
  <c r="AK344" i="2"/>
  <c r="AK466" i="2"/>
  <c r="AK402" i="2"/>
  <c r="AK386" i="2"/>
  <c r="AK338" i="2"/>
  <c r="AK440" i="2"/>
  <c r="AK419" i="2"/>
  <c r="AK403" i="2"/>
  <c r="AK355" i="2"/>
  <c r="AK253" i="2"/>
  <c r="R253" i="23" s="1"/>
  <c r="P253" i="23" s="1"/>
  <c r="Q253" i="23" s="1"/>
  <c r="AK189" i="2"/>
  <c r="O333" i="32" s="1"/>
  <c r="N333" i="32" s="1"/>
  <c r="AK22" i="2"/>
  <c r="R19" i="23" s="1"/>
  <c r="AK281" i="2"/>
  <c r="AK249" i="2"/>
  <c r="R249" i="23" s="1"/>
  <c r="AK277" i="2"/>
  <c r="R277" i="23" s="1"/>
  <c r="P277" i="23" s="1"/>
  <c r="Q277" i="23" s="1"/>
  <c r="AK149" i="2"/>
  <c r="AK290" i="2"/>
  <c r="AK226" i="2"/>
  <c r="R226" i="23" s="1"/>
  <c r="AK230" i="2"/>
  <c r="AK198" i="2"/>
  <c r="AK134" i="2"/>
  <c r="AK70" i="2"/>
  <c r="R70" i="23" s="1"/>
  <c r="AK287" i="2"/>
  <c r="R287" i="23" s="1"/>
  <c r="AK271" i="2"/>
  <c r="R271" i="23" s="1"/>
  <c r="AK223" i="2"/>
  <c r="AK191" i="2"/>
  <c r="AK15" i="2"/>
  <c r="R15" i="23" s="1"/>
  <c r="P15" i="23" s="1"/>
  <c r="Q15" i="23" s="1"/>
  <c r="AK13" i="2"/>
  <c r="R13" i="23" s="1"/>
  <c r="P13" i="23" s="1"/>
  <c r="Q13" i="23" s="1"/>
  <c r="AK288" i="2"/>
  <c r="AK208" i="2"/>
  <c r="AK176" i="2"/>
  <c r="R176" i="23" s="1"/>
  <c r="AK96" i="2"/>
  <c r="R96" i="23" s="1"/>
  <c r="AK326" i="2"/>
  <c r="AK317" i="2"/>
  <c r="AK315" i="2"/>
  <c r="AK421" i="2"/>
  <c r="AK397" i="2"/>
  <c r="AK485" i="2"/>
  <c r="AK404" i="2"/>
  <c r="AK350" i="2"/>
  <c r="AK368" i="2"/>
  <c r="AK415" i="2"/>
  <c r="AK351" i="2"/>
  <c r="AK335" i="2"/>
  <c r="AK301" i="2"/>
  <c r="AK237" i="2"/>
  <c r="AK117" i="2"/>
  <c r="AK77" i="2"/>
  <c r="R77" i="23" s="1"/>
  <c r="AK298" i="2"/>
  <c r="AK234" i="2"/>
  <c r="R234" i="23" s="1"/>
  <c r="P234" i="23" s="1"/>
  <c r="Q234" i="23" s="1"/>
  <c r="AK178" i="2"/>
  <c r="AK74" i="2"/>
  <c r="AK18" i="2"/>
  <c r="R18" i="23" s="1"/>
  <c r="AK241" i="2"/>
  <c r="R241" i="23" s="1"/>
  <c r="AK177" i="2"/>
  <c r="AK81" i="2"/>
  <c r="R81" i="23" s="1"/>
  <c r="AK197" i="2"/>
  <c r="AK133" i="2"/>
  <c r="R133" i="23" s="1"/>
  <c r="AK274" i="2"/>
  <c r="R274" i="23" s="1"/>
  <c r="AK286" i="2"/>
  <c r="AK222" i="2"/>
  <c r="AK158" i="2"/>
  <c r="AK126" i="2"/>
  <c r="R126" i="23" s="1"/>
  <c r="AK58" i="2"/>
  <c r="R58" i="23" s="1"/>
  <c r="AK41" i="2"/>
  <c r="R41" i="23" s="1"/>
  <c r="P41" i="23" s="1"/>
  <c r="Q41" i="23" s="1"/>
  <c r="AK25" i="2"/>
  <c r="R25" i="23" s="1"/>
  <c r="P25" i="23" s="1"/>
  <c r="Q25" i="23" s="1"/>
  <c r="AK283" i="2"/>
  <c r="AK267" i="2"/>
  <c r="AK235" i="2"/>
  <c r="R235" i="23" s="1"/>
  <c r="AK203" i="2"/>
  <c r="R203" i="23" s="1"/>
  <c r="AK139" i="2"/>
  <c r="R139" i="23" s="1"/>
  <c r="AK123" i="2"/>
  <c r="R123" i="23" s="1"/>
  <c r="P123" i="23" s="1"/>
  <c r="Q123" i="23" s="1"/>
  <c r="AK59" i="2"/>
  <c r="R59" i="23" s="1"/>
  <c r="AK284" i="2"/>
  <c r="AK108" i="2"/>
  <c r="AK76" i="2"/>
  <c r="R76" i="23" s="1"/>
  <c r="P76" i="23" s="1"/>
  <c r="Q76" i="23" s="1"/>
  <c r="AK314" i="2"/>
  <c r="AK305" i="2"/>
  <c r="R304" i="23" s="1"/>
  <c r="T304" i="23" s="1"/>
  <c r="AK312" i="2"/>
  <c r="AK318" i="2"/>
  <c r="AK461" i="2"/>
  <c r="R217" i="23" s="1"/>
  <c r="AK476" i="2"/>
  <c r="AK353" i="2"/>
  <c r="AK381" i="2"/>
  <c r="AK328" i="2"/>
  <c r="AK362" i="2"/>
  <c r="AK346" i="2"/>
  <c r="AK330" i="2"/>
  <c r="AK360" i="2"/>
  <c r="R186" i="23" s="1"/>
  <c r="AK475" i="2"/>
  <c r="AK363" i="2"/>
  <c r="AK347" i="2"/>
  <c r="R184" i="23" s="1"/>
  <c r="AK285" i="2"/>
  <c r="AK221" i="2"/>
  <c r="R221" i="23" s="1"/>
  <c r="AK106" i="2"/>
  <c r="R106" i="23" s="1"/>
  <c r="AK297" i="2"/>
  <c r="R296" i="23" s="1"/>
  <c r="AK265" i="2"/>
  <c r="R265" i="23" s="1"/>
  <c r="AK233" i="2"/>
  <c r="R233" i="23" s="1"/>
  <c r="AK201" i="2"/>
  <c r="AK137" i="2"/>
  <c r="AK73" i="2"/>
  <c r="AK181" i="2"/>
  <c r="R181" i="23" s="1"/>
  <c r="AK109" i="2"/>
  <c r="R109" i="23" s="1"/>
  <c r="AK278" i="2"/>
  <c r="R278" i="23" s="1"/>
  <c r="AK182" i="2"/>
  <c r="R151" i="23" s="1"/>
  <c r="AK118" i="2"/>
  <c r="AK57" i="2"/>
  <c r="AK295" i="2"/>
  <c r="R294" i="23" s="1"/>
  <c r="AK279" i="2"/>
  <c r="R279" i="23" s="1"/>
  <c r="AK247" i="2"/>
  <c r="AK231" i="2"/>
  <c r="R231" i="23" s="1"/>
  <c r="AK199" i="2"/>
  <c r="AK135" i="2"/>
  <c r="AK71" i="2"/>
  <c r="R71" i="23" s="1"/>
  <c r="AK55" i="2"/>
  <c r="R55" i="23" s="1"/>
  <c r="P55" i="23" s="1"/>
  <c r="Q55" i="23" s="1"/>
  <c r="AK296" i="2"/>
  <c r="R295" i="23" s="1"/>
  <c r="AK280" i="2"/>
  <c r="AK216" i="2"/>
  <c r="AK200" i="2"/>
  <c r="O331" i="32" s="1"/>
  <c r="N331" i="32" s="1"/>
  <c r="AK152" i="2"/>
  <c r="R152" i="23" s="1"/>
  <c r="P152" i="23" s="1"/>
  <c r="Q152" i="23" s="1"/>
  <c r="AK104" i="2"/>
  <c r="R104" i="23" s="1"/>
  <c r="AK56" i="2"/>
  <c r="R56" i="23" s="1"/>
  <c r="P56" i="23" s="1"/>
  <c r="Q56" i="23" s="1"/>
  <c r="AK306" i="2"/>
  <c r="R305" i="23" s="1"/>
  <c r="P305" i="23" s="1"/>
  <c r="Q305" i="23" s="1"/>
  <c r="AK324" i="2"/>
  <c r="AK308" i="2"/>
  <c r="AK310" i="2"/>
  <c r="AK429" i="2"/>
  <c r="R207" i="23" s="1"/>
  <c r="AK449" i="2"/>
  <c r="AK452" i="2"/>
  <c r="R215" i="23" s="1"/>
  <c r="P215" i="23" s="1"/>
  <c r="Q215" i="23" s="1"/>
  <c r="AK420" i="2"/>
  <c r="AK390" i="2"/>
  <c r="AK358" i="2"/>
  <c r="AK342" i="2"/>
  <c r="AK391" i="2"/>
  <c r="R192" i="23" s="1"/>
  <c r="P192" i="23" s="1"/>
  <c r="Q192" i="23" s="1"/>
  <c r="AK375" i="2"/>
  <c r="R187" i="23" s="1"/>
  <c r="P275" i="23"/>
  <c r="Q275" i="23" s="1"/>
  <c r="O295" i="26"/>
  <c r="N295" i="26" s="1"/>
  <c r="O295" i="30"/>
  <c r="N295" i="30" s="1"/>
  <c r="O356" i="30"/>
  <c r="N356" i="30" s="1"/>
  <c r="O356" i="26"/>
  <c r="N356" i="26" s="1"/>
  <c r="R272" i="23"/>
  <c r="P272" i="23" s="1"/>
  <c r="Q272" i="23" s="1"/>
  <c r="O381" i="26"/>
  <c r="O381" i="30"/>
  <c r="O392" i="30"/>
  <c r="N392" i="30" s="1"/>
  <c r="O392" i="26"/>
  <c r="N392" i="26" s="1"/>
  <c r="O283" i="30"/>
  <c r="O283" i="26"/>
  <c r="O280" i="30"/>
  <c r="N280" i="30" s="1"/>
  <c r="O280" i="26"/>
  <c r="N280" i="26" s="1"/>
  <c r="P14" i="23"/>
  <c r="Q14" i="23" s="1"/>
  <c r="O281" i="30"/>
  <c r="N281" i="30" s="1"/>
  <c r="O281" i="26"/>
  <c r="N281" i="26" s="1"/>
  <c r="O396" i="30"/>
  <c r="N396" i="30" s="1"/>
  <c r="O396" i="26"/>
  <c r="N396" i="26" s="1"/>
  <c r="O305" i="26"/>
  <c r="N305" i="26" s="1"/>
  <c r="O305" i="30"/>
  <c r="N305" i="30" s="1"/>
  <c r="O282" i="26"/>
  <c r="N282" i="26" s="1"/>
  <c r="O282" i="30"/>
  <c r="N282" i="30" s="1"/>
  <c r="O393" i="26"/>
  <c r="N393" i="26" s="1"/>
  <c r="O393" i="30"/>
  <c r="N393" i="30" s="1"/>
  <c r="O287" i="30"/>
  <c r="O287" i="26"/>
  <c r="O390" i="30"/>
  <c r="N390" i="30" s="1"/>
  <c r="O390" i="26"/>
  <c r="N390" i="26" s="1"/>
  <c r="O309" i="30"/>
  <c r="N309" i="30" s="1"/>
  <c r="O309" i="26"/>
  <c r="N309" i="26" s="1"/>
  <c r="O370" i="30"/>
  <c r="N370" i="30" s="1"/>
  <c r="O370" i="26"/>
  <c r="N370" i="26" s="1"/>
  <c r="O361" i="26"/>
  <c r="O361" i="30"/>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80" i="2"/>
  <c r="O180"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S130" i="23"/>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O100" i="23" s="1"/>
  <c r="AD257" i="21"/>
  <c r="AH257" i="21"/>
  <c r="AE257" i="21"/>
  <c r="AB257" i="21"/>
  <c r="AM155" i="21"/>
  <c r="AP155" i="21"/>
  <c r="N15" i="23"/>
  <c r="AN46" i="21"/>
  <c r="G278" i="23"/>
  <c r="N278" i="23" s="1"/>
  <c r="V58" i="21"/>
  <c r="J223" i="21"/>
  <c r="R7" i="21"/>
  <c r="N58" i="21"/>
  <c r="O58" i="21" s="1"/>
  <c r="Z237" i="2"/>
  <c r="AB237" i="2" s="1"/>
  <c r="Y257" i="21"/>
  <c r="AX257" i="21"/>
  <c r="AW257" i="21"/>
  <c r="AP257" i="21"/>
  <c r="AJ257" i="21"/>
  <c r="W257" i="21"/>
  <c r="AQ257" i="21"/>
  <c r="AY155" i="21"/>
  <c r="AA155" i="21"/>
  <c r="AY46" i="21"/>
  <c r="AO58" i="21"/>
  <c r="AQ223" i="21"/>
  <c r="AN7" i="21"/>
  <c r="AI248" i="21"/>
  <c r="AA46" i="21"/>
  <c r="AN176" i="21"/>
  <c r="W58" i="21"/>
  <c r="M257" i="21"/>
  <c r="AK223" i="21"/>
  <c r="N52" i="23"/>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386" i="2"/>
  <c r="AB386" i="2" s="1"/>
  <c r="Z228" i="2"/>
  <c r="AB228" i="2" s="1"/>
  <c r="N52" i="21"/>
  <c r="O52" i="21" s="1"/>
  <c r="AT42" i="21"/>
  <c r="X39" i="21"/>
  <c r="AQ386" i="2"/>
  <c r="AQ320" i="2"/>
  <c r="N55" i="23"/>
  <c r="R39" i="21"/>
  <c r="R248" i="21"/>
  <c r="AF248" i="21"/>
  <c r="AQ248" i="21"/>
  <c r="W122" i="21"/>
  <c r="AP122" i="21"/>
  <c r="T39" i="21"/>
  <c r="U39" i="21"/>
  <c r="S39" i="21"/>
  <c r="S52" i="21"/>
  <c r="G97" i="23"/>
  <c r="N97" i="23" s="1"/>
  <c r="U65" i="21"/>
  <c r="AL65" i="21"/>
  <c r="AT65" i="21"/>
  <c r="AV65" i="21"/>
  <c r="N39" i="21"/>
  <c r="O39" i="21" s="1"/>
  <c r="P256" i="23"/>
  <c r="Q256" i="23"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S122" i="23"/>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G180" i="23"/>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AA67" i="2" s="1"/>
  <c r="Y504" i="2"/>
  <c r="AC504" i="2" s="1"/>
  <c r="W370" i="2"/>
  <c r="L63" i="21"/>
  <c r="AC70" i="24"/>
  <c r="AP253" i="21"/>
  <c r="L258" i="21"/>
  <c r="N221" i="21"/>
  <c r="O221" i="21" s="1"/>
  <c r="X41" i="21"/>
  <c r="AG67" i="24"/>
  <c r="G238" i="21"/>
  <c r="Z281" i="2"/>
  <c r="N153" i="21"/>
  <c r="O153" i="21" s="1"/>
  <c r="AH251" i="21"/>
  <c r="AD153" i="21"/>
  <c r="AA259" i="21"/>
  <c r="AL153" i="21"/>
  <c r="AR83" i="21"/>
  <c r="AF214" i="21"/>
  <c r="X146" i="21"/>
  <c r="Z361" i="2"/>
  <c r="AB361" i="2" s="1"/>
  <c r="AM74" i="21"/>
  <c r="AO83" i="21"/>
  <c r="AA214" i="21"/>
  <c r="U146" i="21"/>
  <c r="N138" i="21"/>
  <c r="O138" i="21" s="1"/>
  <c r="Z308" i="2"/>
  <c r="AB308" i="2"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Z355" i="2"/>
  <c r="AB355" i="2"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Z368" i="2"/>
  <c r="AB368" i="2" s="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K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AW100" i="24"/>
  <c r="AE61" i="24"/>
  <c r="W418" i="2"/>
  <c r="N146" i="21"/>
  <c r="O146" i="21" s="1"/>
  <c r="N62" i="21"/>
  <c r="O62" i="21" s="1"/>
  <c r="N83" i="21"/>
  <c r="O83" i="21" s="1"/>
  <c r="N214" i="21"/>
  <c r="O214" i="21" s="1"/>
  <c r="Z283" i="2"/>
  <c r="AB283" i="2" s="1"/>
  <c r="N61" i="21"/>
  <c r="O61" i="21" s="1"/>
  <c r="AV256" i="21"/>
  <c r="W259" i="21"/>
  <c r="AG259" i="21"/>
  <c r="AR259" i="21"/>
  <c r="AI251" i="21"/>
  <c r="Q251" i="21"/>
  <c r="P251" i="21"/>
  <c r="M83" i="21"/>
  <c r="AY36" i="21"/>
  <c r="R32" i="21"/>
  <c r="AQ308" i="2"/>
  <c r="U307" i="23" s="1"/>
  <c r="AE259" i="21"/>
  <c r="AH227" i="21"/>
  <c r="AP153" i="21"/>
  <c r="W153" i="21"/>
  <c r="U153" i="21"/>
  <c r="X138" i="21"/>
  <c r="AK138" i="21"/>
  <c r="K74" i="21"/>
  <c r="AU74" i="21"/>
  <c r="W83" i="21"/>
  <c r="Q83" i="21"/>
  <c r="AE34" i="24"/>
  <c r="T214" i="21"/>
  <c r="M214" i="21"/>
  <c r="X219" i="21"/>
  <c r="T146" i="21"/>
  <c r="M137" i="21"/>
  <c r="AQ150" i="21"/>
  <c r="AP137" i="21"/>
  <c r="W239" i="21"/>
  <c r="Z298" i="2"/>
  <c r="AB298" i="2" s="1"/>
  <c r="P239" i="23"/>
  <c r="Q239" i="23" s="1"/>
  <c r="AC133" i="21"/>
  <c r="AC44" i="24"/>
  <c r="AV216" i="21"/>
  <c r="M219" i="21"/>
  <c r="G285" i="23"/>
  <c r="S285" i="23" s="1"/>
  <c r="X133" i="21"/>
  <c r="U279" i="2"/>
  <c r="Y279" i="2" s="1"/>
  <c r="M279" i="23" s="1"/>
  <c r="P216" i="21"/>
  <c r="W396" i="2"/>
  <c r="J338" i="26"/>
  <c r="AD138" i="21"/>
  <c r="AQ138" i="21"/>
  <c r="Z219" i="21"/>
  <c r="S302" i="26"/>
  <c r="Q61" i="21"/>
  <c r="AK82" i="21"/>
  <c r="Y152" i="2"/>
  <c r="N240" i="21"/>
  <c r="O240" i="21" s="1"/>
  <c r="Z158" i="2"/>
  <c r="Z319" i="2"/>
  <c r="AB319" i="2" s="1"/>
  <c r="Z230" i="2"/>
  <c r="O230" i="23"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S331" i="26"/>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S297" i="30"/>
  <c r="AJ219" i="21"/>
  <c r="V219" i="21"/>
  <c r="AE219" i="21"/>
  <c r="U133" i="21"/>
  <c r="J251" i="21"/>
  <c r="AJ150" i="21"/>
  <c r="AS32" i="21"/>
  <c r="K133" i="21"/>
  <c r="AD160" i="21"/>
  <c r="AG36" i="21"/>
  <c r="U70" i="21"/>
  <c r="V32" i="21"/>
  <c r="AS61" i="21"/>
  <c r="AI239" i="21"/>
  <c r="Y239" i="21"/>
  <c r="Q239" i="21"/>
  <c r="N239" i="21"/>
  <c r="O239" i="21" s="1"/>
  <c r="AQ265" i="2"/>
  <c r="U265" i="23" s="1"/>
  <c r="G265" i="23"/>
  <c r="Z265" i="2"/>
  <c r="AB265" i="2"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AE74" i="24"/>
  <c r="S334" i="26"/>
  <c r="G264" i="23"/>
  <c r="N264" i="23" s="1"/>
  <c r="AQ297" i="2"/>
  <c r="U296" i="23" s="1"/>
  <c r="G296" i="23"/>
  <c r="N296" i="23" s="1"/>
  <c r="U200" i="2"/>
  <c r="AC76" i="24"/>
  <c r="AB76" i="24"/>
  <c r="Z391" i="2"/>
  <c r="AB391" i="2" s="1"/>
  <c r="Z264" i="2"/>
  <c r="O264" i="23"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W76" i="24"/>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G230" i="23"/>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AQ355" i="2"/>
  <c r="T108" i="26" s="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S297" i="26"/>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AQ285" i="2"/>
  <c r="U285" i="23" s="1"/>
  <c r="AW13" i="24"/>
  <c r="N240" i="23"/>
  <c r="S240" i="23"/>
  <c r="Q256" i="21"/>
  <c r="AB256" i="21"/>
  <c r="AC64" i="24"/>
  <c r="G297" i="23"/>
  <c r="N297" i="23" s="1"/>
  <c r="AB28" i="24"/>
  <c r="U237" i="2"/>
  <c r="AC93" i="24"/>
  <c r="Y105" i="2"/>
  <c r="L43" i="21"/>
  <c r="G307" i="23"/>
  <c r="S307" i="23" s="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AA45" i="2" s="1"/>
  <c r="Y69" i="2"/>
  <c r="W78" i="2"/>
  <c r="W32" i="2"/>
  <c r="W46" i="2"/>
  <c r="Y63" i="2"/>
  <c r="AC63" i="2" s="1"/>
  <c r="W146" i="2"/>
  <c r="Y130" i="2"/>
  <c r="M130" i="23" s="1"/>
  <c r="Y114" i="2"/>
  <c r="AC114" i="2" s="1"/>
  <c r="Y86" i="2"/>
  <c r="M86" i="23" s="1"/>
  <c r="Y72" i="2"/>
  <c r="AA72" i="2" s="1"/>
  <c r="Y137" i="2"/>
  <c r="W164" i="2"/>
  <c r="H26" i="23"/>
  <c r="W26" i="2"/>
  <c r="S298" i="26"/>
  <c r="AQ132" i="2"/>
  <c r="U132" i="23" s="1"/>
  <c r="H83" i="23"/>
  <c r="L83" i="23" s="1"/>
  <c r="W83" i="2"/>
  <c r="H67" i="23"/>
  <c r="L67" i="23" s="1"/>
  <c r="W67" i="2"/>
  <c r="Y26" i="2"/>
  <c r="AA26" i="2" s="1"/>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AQ180" i="2"/>
  <c r="U180" i="23" s="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AA269" i="2" s="1"/>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AA29" i="2" s="1"/>
  <c r="H14" i="23"/>
  <c r="AN57" i="24"/>
  <c r="AI238" i="21"/>
  <c r="AE238" i="21"/>
  <c r="Y220" i="2"/>
  <c r="AC220" i="2" s="1"/>
  <c r="G276" i="23"/>
  <c r="S276" i="23" s="1"/>
  <c r="Z276" i="2"/>
  <c r="AB276" i="2" s="1"/>
  <c r="AW28" i="24"/>
  <c r="Z340" i="2"/>
  <c r="AB340" i="2" s="1"/>
  <c r="S30" i="23"/>
  <c r="N30" i="23"/>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AA14" i="2" s="1"/>
  <c r="L80" i="21"/>
  <c r="L71" i="21"/>
  <c r="U365" i="2"/>
  <c r="AX83" i="24" s="1"/>
  <c r="P224" i="21"/>
  <c r="J226" i="23"/>
  <c r="AB239" i="21"/>
  <c r="AL239" i="21"/>
  <c r="X239" i="21"/>
  <c r="AE239" i="21"/>
  <c r="G249" i="23"/>
  <c r="J249" i="23" s="1"/>
  <c r="R231" i="21"/>
  <c r="AH231" i="21"/>
  <c r="AX231" i="21"/>
  <c r="AL231" i="21"/>
  <c r="AU70" i="24"/>
  <c r="AW248" i="21"/>
  <c r="T248" i="21"/>
  <c r="AR248" i="21"/>
  <c r="Q248" i="21"/>
  <c r="P248" i="21"/>
  <c r="AV248" i="21"/>
  <c r="N146" i="23"/>
  <c r="AP239" i="21"/>
  <c r="Z239" i="21"/>
  <c r="AN239" i="21"/>
  <c r="Z203" i="2"/>
  <c r="Z347" i="2"/>
  <c r="AB347" i="2" s="1"/>
  <c r="AA175" i="21"/>
  <c r="AJ175" i="21"/>
  <c r="L194" i="21"/>
  <c r="J253" i="23"/>
  <c r="Z176" i="2"/>
  <c r="AB176" i="2" s="1"/>
  <c r="Z303" i="2"/>
  <c r="AB303" i="2" s="1"/>
  <c r="AK249" i="21"/>
  <c r="Y497" i="2"/>
  <c r="AC497" i="2" s="1"/>
  <c r="AW233" i="21"/>
  <c r="Y591" i="2"/>
  <c r="AC591" i="2" s="1"/>
  <c r="Y559" i="2"/>
  <c r="AC559" i="2" s="1"/>
  <c r="N233" i="21"/>
  <c r="O233" i="21" s="1"/>
  <c r="Z178" i="2"/>
  <c r="O178" i="23" s="1"/>
  <c r="Z305" i="2"/>
  <c r="AB305" i="2" s="1"/>
  <c r="Z253" i="2"/>
  <c r="AB253" i="2" s="1"/>
  <c r="Y417" i="2"/>
  <c r="AC417" i="2" s="1"/>
  <c r="N253" i="23"/>
  <c r="Y219" i="2"/>
  <c r="AC55" i="24"/>
  <c r="Y78" i="21"/>
  <c r="Y213" i="21"/>
  <c r="AP72" i="21"/>
  <c r="AE72" i="21"/>
  <c r="AQ296" i="2"/>
  <c r="U295" i="23" s="1"/>
  <c r="S344" i="30"/>
  <c r="H219" i="23"/>
  <c r="L219" i="23" s="1"/>
  <c r="F335" i="26"/>
  <c r="AA224" i="21"/>
  <c r="M224" i="21"/>
  <c r="K224" i="21"/>
  <c r="AF55" i="24"/>
  <c r="H232" i="23"/>
  <c r="J397" i="30"/>
  <c r="AG32" i="24"/>
  <c r="AQ301" i="2"/>
  <c r="U300" i="23" s="1"/>
  <c r="G300" i="23"/>
  <c r="N300" i="23" s="1"/>
  <c r="AQ260" i="2"/>
  <c r="U260" i="23" s="1"/>
  <c r="G260" i="23"/>
  <c r="AW12" i="24"/>
  <c r="G286" i="23"/>
  <c r="S286" i="23" s="1"/>
  <c r="AQ279" i="2"/>
  <c r="U279" i="23" s="1"/>
  <c r="G279" i="23"/>
  <c r="N279" i="23" s="1"/>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S138" i="23"/>
  <c r="N138" i="23"/>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N34" i="23"/>
  <c r="AM213" i="21"/>
  <c r="R121" i="21"/>
  <c r="P258" i="23"/>
  <c r="Q258" i="23" s="1"/>
  <c r="AI209" i="21"/>
  <c r="AX256" i="21"/>
  <c r="AL256" i="21"/>
  <c r="X256" i="21"/>
  <c r="AR256" i="21"/>
  <c r="AH249" i="21"/>
  <c r="AT249" i="21"/>
  <c r="Y446" i="2"/>
  <c r="AC446" i="2" s="1"/>
  <c r="AQ286" i="2"/>
  <c r="U286" i="23" s="1"/>
  <c r="J397" i="26"/>
  <c r="AC31" i="24"/>
  <c r="AB104" i="24"/>
  <c r="Y225" i="2"/>
  <c r="AA225" i="2" s="1"/>
  <c r="AT121" i="21"/>
  <c r="AF64" i="24"/>
  <c r="P231" i="21"/>
  <c r="Y231" i="21"/>
  <c r="Z231" i="21"/>
  <c r="AC231" i="21"/>
  <c r="Q231" i="21"/>
  <c r="AW231" i="21"/>
  <c r="AE231" i="21"/>
  <c r="AY231" i="21"/>
  <c r="J376" i="30"/>
  <c r="Y232" i="2"/>
  <c r="M232" i="23" s="1"/>
  <c r="W119" i="2"/>
  <c r="AC78" i="21"/>
  <c r="J334" i="30"/>
  <c r="V213" i="21"/>
  <c r="J356" i="30"/>
  <c r="J354" i="30" s="1"/>
  <c r="AC224" i="21"/>
  <c r="AO145" i="21"/>
  <c r="AW72" i="21"/>
  <c r="AJ239" i="21"/>
  <c r="P239" i="21"/>
  <c r="J239" i="21"/>
  <c r="R239" i="21"/>
  <c r="M239" i="21"/>
  <c r="AU239" i="21"/>
  <c r="W72" i="2"/>
  <c r="U249" i="2"/>
  <c r="W249" i="2" s="1"/>
  <c r="W61" i="24" s="1"/>
  <c r="AC61" i="24"/>
  <c r="AA216" i="21"/>
  <c r="AR216" i="21"/>
  <c r="Y353" i="2"/>
  <c r="AC353" i="2" s="1"/>
  <c r="Y458" i="2"/>
  <c r="AC458" i="2" s="1"/>
  <c r="AW21" i="24"/>
  <c r="Y481" i="2"/>
  <c r="AC481" i="2" s="1"/>
  <c r="Y420" i="2"/>
  <c r="AC420" i="2" s="1"/>
  <c r="W401" i="2"/>
  <c r="Y139" i="2"/>
  <c r="M139" i="23" s="1"/>
  <c r="Y126" i="2"/>
  <c r="AC126" i="2" s="1"/>
  <c r="AB154" i="2"/>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G295" i="23"/>
  <c r="S295" i="23" s="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G216" i="23"/>
  <c r="J216" i="23" s="1"/>
  <c r="AQ216" i="2"/>
  <c r="U216" i="23" s="1"/>
  <c r="N213" i="21"/>
  <c r="O213" i="21" s="1"/>
  <c r="Z216" i="2"/>
  <c r="AB216" i="2" s="1"/>
  <c r="Z363" i="2"/>
  <c r="AB363" i="2" s="1"/>
  <c r="Z131" i="2"/>
  <c r="O131" i="23" s="1"/>
  <c r="N121" i="21"/>
  <c r="O121" i="21" s="1"/>
  <c r="AA249" i="21"/>
  <c r="V249" i="21"/>
  <c r="W249" i="21"/>
  <c r="AU249" i="21"/>
  <c r="AB249" i="21"/>
  <c r="AV249" i="21"/>
  <c r="AM78" i="21"/>
  <c r="G211" i="23"/>
  <c r="S211" i="23" s="1"/>
  <c r="AV121" i="21"/>
  <c r="Q121" i="21"/>
  <c r="AB121" i="21"/>
  <c r="AY78" i="21"/>
  <c r="AH78" i="21"/>
  <c r="AD78" i="21"/>
  <c r="AS78" i="21"/>
  <c r="AW11" i="24"/>
  <c r="Z213" i="21"/>
  <c r="AD213" i="21"/>
  <c r="Z145" i="21"/>
  <c r="Q145" i="21"/>
  <c r="AQ145" i="21"/>
  <c r="AC145" i="21"/>
  <c r="AJ145" i="21"/>
  <c r="AJ72" i="21"/>
  <c r="Q72" i="21"/>
  <c r="N78" i="21"/>
  <c r="O78" i="21" s="1"/>
  <c r="Z296" i="2"/>
  <c r="AB296" i="2" s="1"/>
  <c r="Z199" i="2"/>
  <c r="AB199" i="2" s="1"/>
  <c r="N249" i="21"/>
  <c r="O249" i="21" s="1"/>
  <c r="S249" i="21"/>
  <c r="AG249" i="21"/>
  <c r="AD249" i="21"/>
  <c r="Z249" i="21"/>
  <c r="AF249" i="21"/>
  <c r="L109" i="21"/>
  <c r="L101" i="21"/>
  <c r="P78" i="21"/>
  <c r="AH72" i="21"/>
  <c r="AQ278" i="2"/>
  <c r="U278" i="23" s="1"/>
  <c r="AQ249" i="21"/>
  <c r="AE91" i="24"/>
  <c r="AE63" i="24"/>
  <c r="AW16" i="24"/>
  <c r="Z174" i="2"/>
  <c r="O174" i="23" s="1"/>
  <c r="Z211" i="2"/>
  <c r="O211" i="23" s="1"/>
  <c r="Z315" i="2"/>
  <c r="AB315" i="2" s="1"/>
  <c r="N145" i="21"/>
  <c r="O145" i="21" s="1"/>
  <c r="AC249" i="21"/>
  <c r="AO249" i="21"/>
  <c r="AS249" i="21"/>
  <c r="AE249" i="21"/>
  <c r="P249" i="21"/>
  <c r="AN249" i="21"/>
  <c r="J72" i="21"/>
  <c r="AI249" i="21"/>
  <c r="S341" i="26"/>
  <c r="AH121" i="21"/>
  <c r="AI121" i="21"/>
  <c r="AD121" i="21"/>
  <c r="AG121" i="21"/>
  <c r="P121" i="21"/>
  <c r="AJ121" i="21"/>
  <c r="AY72" i="21"/>
  <c r="S268" i="23"/>
  <c r="AP221" i="21"/>
  <c r="N174" i="23"/>
  <c r="AG78" i="21"/>
  <c r="R78" i="21"/>
  <c r="T78" i="21"/>
  <c r="AV78" i="21"/>
  <c r="AE78" i="21"/>
  <c r="W12" i="2"/>
  <c r="F282" i="30"/>
  <c r="U213" i="21"/>
  <c r="P213" i="21"/>
  <c r="AX213" i="21"/>
  <c r="T213" i="21"/>
  <c r="AT213" i="21"/>
  <c r="AE213" i="21"/>
  <c r="AU121" i="21"/>
  <c r="W72" i="21"/>
  <c r="AQ315" i="2"/>
  <c r="T85" i="26" s="1"/>
  <c r="AD145" i="21"/>
  <c r="Y145" i="21"/>
  <c r="AA145" i="21"/>
  <c r="R145" i="21"/>
  <c r="AS145" i="21"/>
  <c r="X145" i="21"/>
  <c r="AW145" i="21"/>
  <c r="AD72" i="21"/>
  <c r="T72" i="21"/>
  <c r="P72" i="21"/>
  <c r="AR72" i="21"/>
  <c r="Y72" i="21"/>
  <c r="AX72" i="21"/>
  <c r="W22" i="2"/>
  <c r="AM121" i="21"/>
  <c r="AR78" i="21"/>
  <c r="S344" i="26"/>
  <c r="J268" i="23"/>
  <c r="Y475" i="2"/>
  <c r="AC475" i="2" s="1"/>
  <c r="Y163" i="2"/>
  <c r="AT59" i="24"/>
  <c r="G283" i="23"/>
  <c r="N283" i="23" s="1"/>
  <c r="G281" i="23"/>
  <c r="N281" i="23" s="1"/>
  <c r="U364" i="2"/>
  <c r="AN19" i="24" s="1"/>
  <c r="T240" i="21"/>
  <c r="AG50" i="24"/>
  <c r="Y266" i="2"/>
  <c r="AA266" i="2" s="1"/>
  <c r="W494" i="2"/>
  <c r="AQ208" i="21"/>
  <c r="L13" i="23"/>
  <c r="Z360" i="2"/>
  <c r="AB360" i="2" s="1"/>
  <c r="J132" i="23"/>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S371" i="30"/>
  <c r="T132" i="21"/>
  <c r="AE132" i="21"/>
  <c r="Y207" i="21"/>
  <c r="Q135" i="21"/>
  <c r="AD135" i="21"/>
  <c r="Y261" i="2"/>
  <c r="AA261" i="2" s="1"/>
  <c r="AC21" i="24"/>
  <c r="T236" i="21"/>
  <c r="AA236" i="21"/>
  <c r="AK135" i="21"/>
  <c r="J393" i="30"/>
  <c r="AO236" i="21"/>
  <c r="G222" i="23"/>
  <c r="S222" i="23" s="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AQ314" i="2"/>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AQ232" i="2"/>
  <c r="U232" i="23" s="1"/>
  <c r="AE55" i="24"/>
  <c r="H28" i="23"/>
  <c r="Y28" i="2"/>
  <c r="W84" i="2"/>
  <c r="Y84" i="2"/>
  <c r="T206" i="2"/>
  <c r="AD47" i="24"/>
  <c r="AW67" i="24"/>
  <c r="AQ313" i="2"/>
  <c r="T123" i="26" s="1"/>
  <c r="Z222" i="2"/>
  <c r="O222" i="23" s="1"/>
  <c r="Z232" i="2"/>
  <c r="O232" i="23" s="1"/>
  <c r="T232" i="23" s="1"/>
  <c r="Z335" i="2"/>
  <c r="AB335" i="2" s="1"/>
  <c r="Z358" i="2"/>
  <c r="AB358" i="2" s="1"/>
  <c r="W407" i="2"/>
  <c r="J395" i="26"/>
  <c r="J357" i="26"/>
  <c r="J354" i="26" s="1"/>
  <c r="U227" i="21"/>
  <c r="AF227" i="21"/>
  <c r="W227" i="21"/>
  <c r="AG132" i="21"/>
  <c r="J221" i="21"/>
  <c r="K221" i="21"/>
  <c r="P221" i="21"/>
  <c r="AX221" i="21"/>
  <c r="AS221" i="21"/>
  <c r="AT221" i="21"/>
  <c r="AE221" i="21"/>
  <c r="AY221" i="21"/>
  <c r="G232" i="23"/>
  <c r="N232" i="23" s="1"/>
  <c r="AC236" i="21"/>
  <c r="AX236" i="21"/>
  <c r="AT236" i="21"/>
  <c r="AR236" i="21"/>
  <c r="AL144" i="21"/>
  <c r="N66" i="23"/>
  <c r="G196" i="23"/>
  <c r="N196" i="23" s="1"/>
  <c r="R252" i="21"/>
  <c r="S252" i="21"/>
  <c r="AS162" i="21"/>
  <c r="J341" i="30"/>
  <c r="K207" i="21"/>
  <c r="X207" i="21"/>
  <c r="AF207" i="21"/>
  <c r="AG207" i="21"/>
  <c r="AE207" i="21"/>
  <c r="AQ350" i="2"/>
  <c r="T106" i="26" s="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Z324" i="2"/>
  <c r="AB324" i="2" s="1"/>
  <c r="AB21" i="24"/>
  <c r="G237" i="23"/>
  <c r="S237" i="23" s="1"/>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W8" i="24"/>
  <c r="AX135" i="21"/>
  <c r="K135" i="21"/>
  <c r="M135" i="21"/>
  <c r="AV135" i="21"/>
  <c r="W132" i="2"/>
  <c r="H84" i="23"/>
  <c r="L84" i="23" s="1"/>
  <c r="Y68" i="2"/>
  <c r="AC68" i="2" s="1"/>
  <c r="Y36" i="2"/>
  <c r="AC36" i="2" s="1"/>
  <c r="AW45" i="24"/>
  <c r="AQ349" i="2"/>
  <c r="T87" i="26" s="1"/>
  <c r="AB162" i="21"/>
  <c r="AM162" i="21"/>
  <c r="Z162" i="21"/>
  <c r="S351" i="26"/>
  <c r="AE80" i="24"/>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AA112" i="2" s="1"/>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14" i="2"/>
  <c r="AB314" i="2" s="1"/>
  <c r="Z330" i="2"/>
  <c r="AB330" i="2" s="1"/>
  <c r="AO227" i="21"/>
  <c r="AQ292" i="2"/>
  <c r="T227" i="21"/>
  <c r="AX227" i="21"/>
  <c r="AK227" i="21"/>
  <c r="Q227" i="21"/>
  <c r="AL227" i="21"/>
  <c r="AU227" i="21"/>
  <c r="I182" i="21"/>
  <c r="N182" i="21" s="1"/>
  <c r="O182" i="21" s="1"/>
  <c r="AF132" i="21"/>
  <c r="AJ132" i="21"/>
  <c r="X132" i="21"/>
  <c r="M132" i="21"/>
  <c r="AI132" i="21"/>
  <c r="N236" i="21"/>
  <c r="O236" i="21" s="1"/>
  <c r="Z182" i="2"/>
  <c r="O151" i="23" s="1"/>
  <c r="Z306" i="2"/>
  <c r="N227" i="21"/>
  <c r="O227" i="21" s="1"/>
  <c r="Y413" i="2"/>
  <c r="AC413" i="2" s="1"/>
  <c r="Y390" i="2"/>
  <c r="AC390" i="2" s="1"/>
  <c r="AQ338" i="2"/>
  <c r="T200" i="26" s="1"/>
  <c r="AQ324" i="2"/>
  <c r="T95" i="26" s="1"/>
  <c r="J396" i="26"/>
  <c r="AE93" i="24"/>
  <c r="Y199" i="2"/>
  <c r="AU132" i="21"/>
  <c r="AO132" i="21"/>
  <c r="AP132" i="21"/>
  <c r="AH132" i="21"/>
  <c r="S132" i="21"/>
  <c r="AM132" i="21"/>
  <c r="AT42" i="24"/>
  <c r="AJ236" i="21"/>
  <c r="AV236" i="21"/>
  <c r="AP236" i="21"/>
  <c r="J236" i="21"/>
  <c r="AW236" i="21"/>
  <c r="AQ236" i="21"/>
  <c r="AE14" i="24"/>
  <c r="AI144" i="21"/>
  <c r="N94" i="23"/>
  <c r="G78" i="23"/>
  <c r="N132" i="21"/>
  <c r="O132" i="21" s="1"/>
  <c r="N135" i="21"/>
  <c r="O135" i="21" s="1"/>
  <c r="Z238" i="2"/>
  <c r="O238" i="23" s="1"/>
  <c r="Z338" i="2"/>
  <c r="AB338" i="2" s="1"/>
  <c r="Z78" i="2"/>
  <c r="O78" i="23" s="1"/>
  <c r="Y380" i="2"/>
  <c r="AC380" i="2" s="1"/>
  <c r="AT162" i="21"/>
  <c r="AD132" i="21"/>
  <c r="AQ306" i="2"/>
  <c r="U305" i="23" s="1"/>
  <c r="Y241" i="2"/>
  <c r="AC241" i="2" s="1"/>
  <c r="S371" i="26"/>
  <c r="Y215" i="2"/>
  <c r="AA215" i="2" s="1"/>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AA204" i="2" s="1"/>
  <c r="J333" i="26"/>
  <c r="J333" i="30"/>
  <c r="U224" i="2"/>
  <c r="AC73" i="24"/>
  <c r="J309" i="26"/>
  <c r="J307" i="26" s="1"/>
  <c r="Y257" i="2"/>
  <c r="AC257" i="2" s="1"/>
  <c r="J381" i="30"/>
  <c r="J379" i="30" s="1"/>
  <c r="K379" i="30" s="1"/>
  <c r="J381" i="26"/>
  <c r="J379" i="26" s="1"/>
  <c r="J378" i="26" s="1"/>
  <c r="W332" i="2"/>
  <c r="Y332" i="2"/>
  <c r="AC332" i="2" s="1"/>
  <c r="AV84" i="24"/>
  <c r="T369" i="2"/>
  <c r="AW96" i="24"/>
  <c r="AQ351" i="2"/>
  <c r="AQ241" i="2"/>
  <c r="U241" i="23" s="1"/>
  <c r="AE21" i="24"/>
  <c r="AW30" i="24"/>
  <c r="Z342" i="2"/>
  <c r="AW7" i="24"/>
  <c r="AQ318" i="2"/>
  <c r="T10" i="26" s="1"/>
  <c r="G284" i="23"/>
  <c r="S284" i="23" s="1"/>
  <c r="AW39" i="24"/>
  <c r="J20" i="25" s="1"/>
  <c r="K20" i="25" s="1"/>
  <c r="G280" i="23"/>
  <c r="S280" i="23" s="1"/>
  <c r="AQ280" i="2"/>
  <c r="U280" i="23" s="1"/>
  <c r="AW15" i="24"/>
  <c r="AQ198" i="2"/>
  <c r="U198" i="23" s="1"/>
  <c r="G198" i="23"/>
  <c r="S198" i="23" s="1"/>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AA159" i="2" s="1"/>
  <c r="W167" i="2"/>
  <c r="Y167" i="2"/>
  <c r="M167" i="23" s="1"/>
  <c r="AA232" i="21"/>
  <c r="J232" i="21"/>
  <c r="AH232" i="21"/>
  <c r="AV232" i="21"/>
  <c r="AJ232" i="21"/>
  <c r="Z232" i="21"/>
  <c r="AW232" i="21"/>
  <c r="AN232" i="21"/>
  <c r="U182" i="2"/>
  <c r="H151" i="23" s="1"/>
  <c r="AC14" i="24"/>
  <c r="F281" i="30"/>
  <c r="H186" i="23"/>
  <c r="L186" i="23" s="1"/>
  <c r="AT68" i="24"/>
  <c r="U354" i="2"/>
  <c r="AN68" i="24" s="1"/>
  <c r="AQ303" i="2"/>
  <c r="U302" i="23" s="1"/>
  <c r="G302" i="23"/>
  <c r="F309" i="26"/>
  <c r="H257" i="23"/>
  <c r="AE53" i="24"/>
  <c r="G176" i="23"/>
  <c r="N176" i="23" s="1"/>
  <c r="AQ262" i="2"/>
  <c r="U262" i="23" s="1"/>
  <c r="Z262" i="2"/>
  <c r="O262" i="23" s="1"/>
  <c r="T262" i="23" s="1"/>
  <c r="AQ233" i="2"/>
  <c r="U233" i="23" s="1"/>
  <c r="AE59" i="24"/>
  <c r="U211" i="2"/>
  <c r="W211" i="2" s="1"/>
  <c r="W91" i="24" s="1"/>
  <c r="AC91" i="24"/>
  <c r="H156" i="23"/>
  <c r="Y156" i="2"/>
  <c r="AA156" i="2" s="1"/>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AQ295" i="2"/>
  <c r="U294" i="23" s="1"/>
  <c r="G294" i="23"/>
  <c r="N294" i="23" s="1"/>
  <c r="AW78" i="24"/>
  <c r="AQ362" i="2"/>
  <c r="T198" i="26" s="1"/>
  <c r="AW91" i="24"/>
  <c r="N175" i="21"/>
  <c r="O175" i="21" s="1"/>
  <c r="Z20" i="2"/>
  <c r="AB20" i="2" s="1"/>
  <c r="Z244" i="2"/>
  <c r="AB244"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AQ284" i="2"/>
  <c r="U284" i="23" s="1"/>
  <c r="G241" i="23"/>
  <c r="N241" i="23" s="1"/>
  <c r="G233" i="23"/>
  <c r="N233" i="23" s="1"/>
  <c r="F281" i="26"/>
  <c r="AM175" i="21"/>
  <c r="U175" i="21"/>
  <c r="AQ175" i="21"/>
  <c r="AV175" i="21"/>
  <c r="N51" i="23"/>
  <c r="AW9" i="24"/>
  <c r="AB94" i="24"/>
  <c r="AP42" i="21"/>
  <c r="AD42" i="21"/>
  <c r="F395" i="26"/>
  <c r="AD104" i="24"/>
  <c r="J344" i="30"/>
  <c r="X233" i="21"/>
  <c r="AO233" i="21"/>
  <c r="W233" i="21"/>
  <c r="AE48" i="24"/>
  <c r="Y186" i="2"/>
  <c r="AA186" i="2" s="1"/>
  <c r="N114" i="23"/>
  <c r="J309" i="30"/>
  <c r="AS149" i="21"/>
  <c r="F309" i="30"/>
  <c r="W524" i="2"/>
  <c r="W461" i="2"/>
  <c r="W381" i="2"/>
  <c r="W175" i="21"/>
  <c r="AQ340" i="2"/>
  <c r="T58" i="26" s="1"/>
  <c r="AQ276" i="2"/>
  <c r="U276" i="23" s="1"/>
  <c r="Y265" i="2"/>
  <c r="AI44" i="24" s="1"/>
  <c r="AC59" i="24"/>
  <c r="Y151" i="2"/>
  <c r="AC151" i="2" s="1"/>
  <c r="Y175" i="21"/>
  <c r="AK175" i="21"/>
  <c r="P175" i="21"/>
  <c r="AC99" i="2"/>
  <c r="M99" i="23"/>
  <c r="AA42" i="21"/>
  <c r="AY42" i="21"/>
  <c r="AJ233" i="21"/>
  <c r="Y233" i="21"/>
  <c r="AM233" i="21"/>
  <c r="X232" i="21"/>
  <c r="AQ244" i="2"/>
  <c r="U244" i="23" s="1"/>
  <c r="AE28" i="24"/>
  <c r="J345" i="30"/>
  <c r="U228" i="2"/>
  <c r="W228" i="2" s="1"/>
  <c r="W66" i="24" s="1"/>
  <c r="AC66" i="24"/>
  <c r="W209" i="21"/>
  <c r="AQ209" i="21"/>
  <c r="Y452" i="2"/>
  <c r="AC452" i="2" s="1"/>
  <c r="X42" i="21"/>
  <c r="Y253" i="2"/>
  <c r="AC253" i="2" s="1"/>
  <c r="J279" i="26"/>
  <c r="AG71" i="24"/>
  <c r="AX175" i="21"/>
  <c r="AI175" i="21"/>
  <c r="Q175" i="21"/>
  <c r="X175" i="21"/>
  <c r="G262" i="23"/>
  <c r="P262" i="23" s="1"/>
  <c r="Q262" i="23" s="1"/>
  <c r="J42" i="21"/>
  <c r="W257" i="2"/>
  <c r="AB73" i="24"/>
  <c r="K233" i="21"/>
  <c r="Z233" i="21"/>
  <c r="AX226" i="21"/>
  <c r="AQ347" i="2"/>
  <c r="T129" i="26" s="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F300"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AQ344" i="2"/>
  <c r="T102" i="26" s="1"/>
  <c r="AW51" i="24"/>
  <c r="H127" i="23"/>
  <c r="L127" i="23" s="1"/>
  <c r="W127" i="2"/>
  <c r="AQ104" i="2"/>
  <c r="U104" i="23" s="1"/>
  <c r="S320" i="30"/>
  <c r="S320" i="26"/>
  <c r="AW33" i="24"/>
  <c r="AQ328" i="2"/>
  <c r="T63" i="26" s="1"/>
  <c r="S194" i="23"/>
  <c r="P194" i="23"/>
  <c r="Q194" i="23" s="1"/>
  <c r="AW46" i="24"/>
  <c r="AQ288" i="2"/>
  <c r="T93" i="26" s="1"/>
  <c r="Z350" i="2"/>
  <c r="AB350" i="2" s="1"/>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Q179" i="2"/>
  <c r="U179" i="23" s="1"/>
  <c r="G179" i="23"/>
  <c r="S179" i="23" s="1"/>
  <c r="AE54" i="24"/>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N194" i="23"/>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G303" i="23"/>
  <c r="S303" i="23" s="1"/>
  <c r="AQ304" i="2"/>
  <c r="U303" i="23" s="1"/>
  <c r="AW72" i="24"/>
  <c r="AQ234" i="2"/>
  <c r="U234" i="23" s="1"/>
  <c r="AE92" i="24"/>
  <c r="N237" i="21"/>
  <c r="O237" i="21" s="1"/>
  <c r="AE203" i="21"/>
  <c r="AM203" i="21"/>
  <c r="N144" i="21"/>
  <c r="O144" i="21" s="1"/>
  <c r="N27" i="21"/>
  <c r="O27" i="21" s="1"/>
  <c r="Z234" i="2"/>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AQ264" i="2"/>
  <c r="U264" i="23" s="1"/>
  <c r="S334" i="30"/>
  <c r="E312" i="30"/>
  <c r="J25" i="23"/>
  <c r="P7" i="23"/>
  <c r="Q7" i="23" s="1"/>
  <c r="Y207" i="2"/>
  <c r="AA207" i="2" s="1"/>
  <c r="J345" i="26"/>
  <c r="F397" i="30"/>
  <c r="AG42" i="24"/>
  <c r="J294" i="26"/>
  <c r="R240" i="21"/>
  <c r="W240" i="21"/>
  <c r="L123" i="21"/>
  <c r="J375" i="26"/>
  <c r="J373" i="26" s="1"/>
  <c r="J375" i="30"/>
  <c r="W269" i="2"/>
  <c r="Y428" i="2"/>
  <c r="AC428" i="2" s="1"/>
  <c r="AQ178" i="2"/>
  <c r="U178" i="23" s="1"/>
  <c r="AE52" i="24"/>
  <c r="AQ305" i="2"/>
  <c r="U304" i="23" s="1"/>
  <c r="AW71"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AW92" i="24"/>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Z249" i="2"/>
  <c r="Z279" i="2"/>
  <c r="O279" i="23" s="1"/>
  <c r="AE245" i="21"/>
  <c r="AU225" i="21"/>
  <c r="AQ211" i="21"/>
  <c r="AQ203" i="21"/>
  <c r="S203" i="21"/>
  <c r="J166" i="23"/>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J368" i="26" s="1"/>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AA145" i="2" s="1"/>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AA10" i="2" s="1"/>
  <c r="W10" i="2"/>
  <c r="U181" i="2"/>
  <c r="W181" i="2" s="1"/>
  <c r="W11" i="24" s="1"/>
  <c r="AB11" i="24"/>
  <c r="N251" i="21"/>
  <c r="O251" i="21" s="1"/>
  <c r="AE241" i="21"/>
  <c r="S237" i="21"/>
  <c r="AI211" i="21"/>
  <c r="W210" i="21"/>
  <c r="Y448" i="2"/>
  <c r="AC448" i="2" s="1"/>
  <c r="G290" i="23"/>
  <c r="N290" i="23" s="1"/>
  <c r="AY251" i="21"/>
  <c r="AP251" i="21"/>
  <c r="AK251" i="21"/>
  <c r="N38" i="23"/>
  <c r="N26" i="23"/>
  <c r="S331" i="30"/>
  <c r="N256" i="21"/>
  <c r="O256" i="21" s="1"/>
  <c r="Z200" i="2"/>
  <c r="AB200" i="2" s="1"/>
  <c r="Z291" i="2"/>
  <c r="AB291" i="2" s="1"/>
  <c r="N211" i="21"/>
  <c r="O211" i="21" s="1"/>
  <c r="AM230" i="21"/>
  <c r="AA211" i="21"/>
  <c r="AI208" i="21"/>
  <c r="AC256" i="21"/>
  <c r="V256" i="21"/>
  <c r="AQ256" i="21"/>
  <c r="T256" i="21"/>
  <c r="AJ256" i="21"/>
  <c r="AS251" i="21"/>
  <c r="Z251" i="21"/>
  <c r="AG251" i="21"/>
  <c r="AB251" i="21"/>
  <c r="AR251" i="21"/>
  <c r="P10" i="23"/>
  <c r="Q10" i="23" s="1"/>
  <c r="Y530" i="2"/>
  <c r="AC530" i="2" s="1"/>
  <c r="Y496" i="2"/>
  <c r="AC496" i="2" s="1"/>
  <c r="L163" i="21"/>
  <c r="Y275" i="2"/>
  <c r="AA275" i="2" s="1"/>
  <c r="L128" i="21"/>
  <c r="L18" i="21"/>
  <c r="AC84" i="24"/>
  <c r="J216" i="21"/>
  <c r="Y216" i="21"/>
  <c r="AH216" i="21"/>
  <c r="AC216" i="21"/>
  <c r="Q216" i="21"/>
  <c r="AS216" i="21"/>
  <c r="AF216" i="21"/>
  <c r="M216" i="21"/>
  <c r="AE216" i="21"/>
  <c r="AU216" i="21"/>
  <c r="W521" i="2"/>
  <c r="AW52" i="24"/>
  <c r="AW17" i="24"/>
  <c r="AD251" i="21"/>
  <c r="U251" i="21"/>
  <c r="M251" i="21"/>
  <c r="AT251" i="21"/>
  <c r="AC74" i="24"/>
  <c r="W215" i="2"/>
  <c r="G200" i="23"/>
  <c r="S200" i="23" s="1"/>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AA100" i="2" s="1"/>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AQ200" i="2"/>
  <c r="U200" i="23" s="1"/>
  <c r="U306" i="2"/>
  <c r="W306" i="2" s="1"/>
  <c r="AY8" i="24" s="1"/>
  <c r="F287" i="26"/>
  <c r="F285" i="26" s="1"/>
  <c r="K285" i="26" s="1"/>
  <c r="Y339" i="2"/>
  <c r="AC339" i="2" s="1"/>
  <c r="AM224" i="21"/>
  <c r="AQ224" i="21"/>
  <c r="S224" i="21"/>
  <c r="AF224" i="21"/>
  <c r="W232" i="2"/>
  <c r="W55" i="24" s="1"/>
  <c r="Y251" i="2"/>
  <c r="AT96" i="24"/>
  <c r="U351" i="2"/>
  <c r="AN96" i="24" s="1"/>
  <c r="Y331" i="2"/>
  <c r="AC331" i="2" s="1"/>
  <c r="Y125" i="2"/>
  <c r="M125" i="23" s="1"/>
  <c r="W80" i="2"/>
  <c r="W184" i="2"/>
  <c r="Y593" i="2"/>
  <c r="AC593" i="2" s="1"/>
  <c r="Y255" i="2"/>
  <c r="AA255" i="2" s="1"/>
  <c r="Y263" i="2"/>
  <c r="AA263" i="2" s="1"/>
  <c r="Y337" i="2"/>
  <c r="AC337" i="2" s="1"/>
  <c r="W359" i="2"/>
  <c r="Y319" i="2"/>
  <c r="AC319" i="2" s="1"/>
  <c r="W487" i="2"/>
  <c r="Y161" i="2"/>
  <c r="AA161" i="2" s="1"/>
  <c r="S294" i="30"/>
  <c r="AQ208" i="2"/>
  <c r="U208" i="23" s="1"/>
  <c r="U177" i="2"/>
  <c r="W177" i="2" s="1"/>
  <c r="W13" i="24" s="1"/>
  <c r="AC13" i="24"/>
  <c r="AW149" i="21"/>
  <c r="AF149" i="21"/>
  <c r="P149" i="21"/>
  <c r="AI149" i="21"/>
  <c r="AY149" i="21"/>
  <c r="AC149" i="21"/>
  <c r="AX149" i="21"/>
  <c r="AA149" i="21"/>
  <c r="U149" i="21"/>
  <c r="H107" i="23"/>
  <c r="W107" i="2"/>
  <c r="H94" i="23"/>
  <c r="W94" i="2"/>
  <c r="Y94" i="2"/>
  <c r="AA94" i="2" s="1"/>
  <c r="H70" i="23"/>
  <c r="L70" i="23" s="1"/>
  <c r="W70" i="2"/>
  <c r="Y70" i="2"/>
  <c r="AA70" i="2" s="1"/>
  <c r="AO42" i="21"/>
  <c r="AC42" i="21"/>
  <c r="H46" i="23"/>
  <c r="Y46" i="2"/>
  <c r="AA46" i="2" s="1"/>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84" i="24"/>
  <c r="AE42" i="21"/>
  <c r="P42" i="21"/>
  <c r="AL42" i="21"/>
  <c r="Q42" i="21"/>
  <c r="AN42" i="21"/>
  <c r="V42" i="21"/>
  <c r="AM42" i="21"/>
  <c r="L187" i="21"/>
  <c r="S86" i="23"/>
  <c r="L164" i="21"/>
  <c r="S294" i="26"/>
  <c r="AJ226" i="21"/>
  <c r="AK226" i="21"/>
  <c r="AL226" i="21"/>
  <c r="AO226" i="21"/>
  <c r="AC226" i="21"/>
  <c r="M226" i="21"/>
  <c r="AM226" i="21"/>
  <c r="AP149" i="21"/>
  <c r="AL149" i="21"/>
  <c r="W149" i="21"/>
  <c r="S149" i="21"/>
  <c r="AT149" i="21"/>
  <c r="AB149" i="21"/>
  <c r="W118" i="2"/>
  <c r="AQ51" i="2"/>
  <c r="U51" i="23" s="1"/>
  <c r="W11" i="2"/>
  <c r="AQ364" i="2"/>
  <c r="T22" i="26" s="1"/>
  <c r="W156" i="2"/>
  <c r="AQ346" i="2"/>
  <c r="T59" i="26" s="1"/>
  <c r="AW29" i="24"/>
  <c r="J335" i="26"/>
  <c r="AG64" i="24"/>
  <c r="AG76" i="24"/>
  <c r="W242" i="2"/>
  <c r="Y242" i="2"/>
  <c r="AA242" i="2" s="1"/>
  <c r="J293" i="30"/>
  <c r="J291" i="30" s="1"/>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AA138" i="2" s="1"/>
  <c r="Y165" i="2"/>
  <c r="AA165" i="2" s="1"/>
  <c r="AQ245" i="21"/>
  <c r="S245" i="21"/>
  <c r="AQ238" i="21"/>
  <c r="S238" i="21"/>
  <c r="AU230" i="21"/>
  <c r="AE230" i="21"/>
  <c r="AU215" i="21"/>
  <c r="AU210" i="21"/>
  <c r="AE210" i="21"/>
  <c r="AY245" i="21"/>
  <c r="AY215" i="21"/>
  <c r="M42" i="21"/>
  <c r="AK42" i="21"/>
  <c r="U42" i="21"/>
  <c r="AR42" i="21"/>
  <c r="W42" i="21"/>
  <c r="AS42" i="21"/>
  <c r="Z42" i="21"/>
  <c r="AQ42" i="21"/>
  <c r="L124" i="21"/>
  <c r="N42" i="23"/>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AA209" i="2" s="1"/>
  <c r="W209" i="2"/>
  <c r="U202" i="2"/>
  <c r="AC75" i="24"/>
  <c r="U198" i="2"/>
  <c r="AB48" i="24"/>
  <c r="Y239" i="2"/>
  <c r="AA239" i="2" s="1"/>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AA236" i="2" s="1"/>
  <c r="Y193" i="2"/>
  <c r="W317" i="2"/>
  <c r="Y329" i="2"/>
  <c r="AC329" i="2" s="1"/>
  <c r="Y577" i="2"/>
  <c r="AC577" i="2" s="1"/>
  <c r="Y142" i="2"/>
  <c r="AA142" i="2" s="1"/>
  <c r="Y62" i="2"/>
  <c r="AA62" i="2" s="1"/>
  <c r="G209" i="21"/>
  <c r="Y529" i="2"/>
  <c r="AC529" i="2" s="1"/>
  <c r="L209" i="30"/>
  <c r="N209" i="30" s="1"/>
  <c r="AE243" i="21"/>
  <c r="AE237" i="21"/>
  <c r="AE222" i="21"/>
  <c r="AE209" i="21"/>
  <c r="J134" i="23"/>
  <c r="L218" i="21"/>
  <c r="L45" i="21"/>
  <c r="W442" i="2"/>
  <c r="Y442" i="2"/>
  <c r="AC442" i="2" s="1"/>
  <c r="Y194" i="2"/>
  <c r="AA194" i="2" s="1"/>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AA24" i="2" s="1"/>
  <c r="Y32" i="2"/>
  <c r="AA32" i="2" s="1"/>
  <c r="H32" i="23"/>
  <c r="H40" i="23"/>
  <c r="W40" i="2"/>
  <c r="Y40" i="2"/>
  <c r="AA40" i="2" s="1"/>
  <c r="Y48" i="2"/>
  <c r="AA48" i="2" s="1"/>
  <c r="H48" i="23"/>
  <c r="L48" i="23" s="1"/>
  <c r="H53" i="23"/>
  <c r="L53" i="23" s="1"/>
  <c r="W53" i="2"/>
  <c r="Y53" i="2"/>
  <c r="AA53" i="2" s="1"/>
  <c r="G58" i="23"/>
  <c r="AQ58" i="2"/>
  <c r="U58" i="23" s="1"/>
  <c r="Y64" i="2"/>
  <c r="AC64" i="2" s="1"/>
  <c r="H64" i="23"/>
  <c r="L64" i="23" s="1"/>
  <c r="G70" i="23"/>
  <c r="J70" i="23" s="1"/>
  <c r="AQ70" i="2"/>
  <c r="U70" i="23" s="1"/>
  <c r="W76" i="2"/>
  <c r="Y76" i="2"/>
  <c r="H81" i="23"/>
  <c r="L81" i="23" s="1"/>
  <c r="W81" i="2"/>
  <c r="H88" i="23"/>
  <c r="W88" i="2"/>
  <c r="Y88" i="2"/>
  <c r="AA88" i="2" s="1"/>
  <c r="Y96" i="2"/>
  <c r="H96" i="23"/>
  <c r="L96" i="23" s="1"/>
  <c r="H101" i="23"/>
  <c r="W101" i="2"/>
  <c r="Y101" i="2"/>
  <c r="AA101" i="2" s="1"/>
  <c r="H108" i="23"/>
  <c r="W108" i="2"/>
  <c r="W116" i="2"/>
  <c r="Y116" i="2"/>
  <c r="H121" i="23"/>
  <c r="W121" i="2"/>
  <c r="Y121" i="2"/>
  <c r="AA121" i="2" s="1"/>
  <c r="H128" i="23"/>
  <c r="W128" i="2"/>
  <c r="Y128" i="2"/>
  <c r="AA128" i="2" s="1"/>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J368" i="30" s="1"/>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AA256" i="2" s="1"/>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AA192" i="2" s="1"/>
  <c r="W188" i="2"/>
  <c r="Y188" i="2"/>
  <c r="AA188" i="2" s="1"/>
  <c r="Y81" i="2"/>
  <c r="L38" i="21"/>
  <c r="L134" i="21"/>
  <c r="L172" i="21"/>
  <c r="J55" i="27"/>
  <c r="K242" i="26"/>
  <c r="K55" i="27" s="1"/>
  <c r="W409" i="2"/>
  <c r="AW59" i="24"/>
  <c r="AQ353" i="2"/>
  <c r="T110" i="26" s="1"/>
  <c r="AD95" i="24"/>
  <c r="T246" i="2"/>
  <c r="Y289" i="2"/>
  <c r="AA289" i="2" s="1"/>
  <c r="G245" i="21"/>
  <c r="W255" i="2"/>
  <c r="L393" i="32" s="1"/>
  <c r="AV49" i="24"/>
  <c r="T300" i="2"/>
  <c r="AK300" i="2" s="1"/>
  <c r="R299" i="23" s="1"/>
  <c r="AT71" i="24"/>
  <c r="U305" i="2"/>
  <c r="W319" i="2"/>
  <c r="AT44" i="24"/>
  <c r="U323" i="2"/>
  <c r="AN44" i="24" s="1"/>
  <c r="W337" i="2"/>
  <c r="Y401" i="2"/>
  <c r="AA401" i="2" s="1"/>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A214" i="2" s="1"/>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AA190" i="2" s="1"/>
  <c r="H239" i="23"/>
  <c r="W239" i="2"/>
  <c r="AV77" i="24"/>
  <c r="T302" i="2"/>
  <c r="AK302" i="2" s="1"/>
  <c r="R301" i="23" s="1"/>
  <c r="AT43" i="24"/>
  <c r="U315" i="2"/>
  <c r="W329" i="2"/>
  <c r="Y345" i="2"/>
  <c r="AC345" i="2" s="1"/>
  <c r="Y367" i="2"/>
  <c r="AC367" i="2" s="1"/>
  <c r="H217" i="23"/>
  <c r="W217" i="2"/>
  <c r="Y268" i="2"/>
  <c r="AA268" i="2" s="1"/>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AA141" i="2" s="1"/>
  <c r="Y157" i="2"/>
  <c r="AA157" i="2" s="1"/>
  <c r="Y173" i="2"/>
  <c r="AA173" i="2" s="1"/>
  <c r="W331" i="2"/>
  <c r="Y162" i="2"/>
  <c r="AA162" i="2" s="1"/>
  <c r="Y240" i="2"/>
  <c r="AA240" i="2" s="1"/>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AA248" i="2" s="1"/>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A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AA185" i="2" s="1"/>
  <c r="Y37" i="2"/>
  <c r="AA37" i="2" s="1"/>
  <c r="Y416" i="2"/>
  <c r="AC416" i="2" s="1"/>
  <c r="Y170" i="2"/>
  <c r="AA170" i="2" s="1"/>
  <c r="Y129" i="2"/>
  <c r="AA129" i="2" s="1"/>
  <c r="Y97" i="2"/>
  <c r="Y89" i="2"/>
  <c r="AA89" i="2" s="1"/>
  <c r="Y65" i="2"/>
  <c r="AA65" i="2" s="1"/>
  <c r="Y49" i="2"/>
  <c r="AA49" i="2" s="1"/>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P49" i="23"/>
  <c r="Q49" i="23" s="1"/>
  <c r="N257" i="23"/>
  <c r="S257" i="23"/>
  <c r="L147" i="21"/>
  <c r="M8" i="23"/>
  <c r="AC8" i="2"/>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N244" i="23"/>
  <c r="S244" i="23"/>
  <c r="N166" i="23"/>
  <c r="S166"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AE57" i="24"/>
  <c r="G231" i="23"/>
  <c r="AQ231" i="2"/>
  <c r="U231" i="23" s="1"/>
  <c r="S330" i="30"/>
  <c r="S330" i="26"/>
  <c r="AE72" i="24"/>
  <c r="G221" i="23"/>
  <c r="AQ221" i="2"/>
  <c r="U221" i="23" s="1"/>
  <c r="L157" i="21"/>
  <c r="L77" i="21"/>
  <c r="Y519" i="2"/>
  <c r="AC519" i="2" s="1"/>
  <c r="W471" i="2"/>
  <c r="Y407" i="2"/>
  <c r="AC407" i="2" s="1"/>
  <c r="N305" i="23"/>
  <c r="S305" i="23"/>
  <c r="W511" i="2"/>
  <c r="S263" i="23"/>
  <c r="N263" i="23"/>
  <c r="S239" i="23"/>
  <c r="N239" i="23"/>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S261" i="23"/>
  <c r="N261" i="23"/>
  <c r="M89" i="28"/>
  <c r="L89" i="28"/>
  <c r="M182" i="28"/>
  <c r="L182" i="28"/>
  <c r="M63" i="28"/>
  <c r="J61" i="28"/>
  <c r="L63" i="28"/>
  <c r="N174" i="21"/>
  <c r="O174" i="21" s="1"/>
  <c r="L221" i="30"/>
  <c r="N221" i="30" s="1"/>
  <c r="N217" i="30" s="1"/>
  <c r="N216" i="30" s="1"/>
  <c r="K37" i="30"/>
  <c r="K196" i="30"/>
  <c r="J8" i="27"/>
  <c r="J7" i="26"/>
  <c r="K8" i="26"/>
  <c r="K8" i="27" s="1"/>
  <c r="J47" i="27"/>
  <c r="J233" i="26"/>
  <c r="P240" i="23"/>
  <c r="Q240" i="23" s="1"/>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J363" i="26"/>
  <c r="S254" i="23"/>
  <c r="N254" i="23"/>
  <c r="L179" i="21"/>
  <c r="L178" i="21"/>
  <c r="S234" i="23"/>
  <c r="N234" i="23"/>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AC579" i="2"/>
  <c r="W563" i="2"/>
  <c r="Y563" i="2"/>
  <c r="AC563" i="2" s="1"/>
  <c r="W547" i="2"/>
  <c r="Y547" i="2"/>
  <c r="AC547" i="2" s="1"/>
  <c r="W531" i="2"/>
  <c r="Y531" i="2"/>
  <c r="AC531" i="2" s="1"/>
  <c r="W450" i="2"/>
  <c r="L242" i="21"/>
  <c r="L148" i="21"/>
  <c r="L140" i="21"/>
  <c r="N190" i="23"/>
  <c r="S190" i="23"/>
  <c r="L129" i="21"/>
  <c r="L91" i="21"/>
  <c r="S134" i="23"/>
  <c r="N134" i="23"/>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AW14" i="24"/>
  <c r="G274" i="23"/>
  <c r="AQ274" i="2"/>
  <c r="U274" i="23" s="1"/>
  <c r="G271" i="23"/>
  <c r="AW20" i="24"/>
  <c r="AQ271" i="2"/>
  <c r="U271" i="23" s="1"/>
  <c r="L234" i="21"/>
  <c r="AE58" i="24"/>
  <c r="G235" i="23"/>
  <c r="AQ235" i="2"/>
  <c r="U235" i="23" s="1"/>
  <c r="S338" i="30"/>
  <c r="S338" i="26"/>
  <c r="AE77" i="24"/>
  <c r="G223" i="23"/>
  <c r="AQ223" i="2"/>
  <c r="U223" i="23" s="1"/>
  <c r="L173" i="21"/>
  <c r="S345" i="30"/>
  <c r="S345" i="26"/>
  <c r="AE65" i="24"/>
  <c r="G197" i="23"/>
  <c r="AQ197" i="2"/>
  <c r="U197" i="23" s="1"/>
  <c r="L127" i="21"/>
  <c r="AE11" i="24"/>
  <c r="G181" i="23"/>
  <c r="J181" i="23" s="1"/>
  <c r="AQ181" i="2"/>
  <c r="U181" i="23" s="1"/>
  <c r="AE13" i="24"/>
  <c r="G177" i="23"/>
  <c r="AQ177" i="2"/>
  <c r="U177" i="23" s="1"/>
  <c r="L180" i="21"/>
  <c r="L64" i="21"/>
  <c r="L8" i="21"/>
  <c r="W575" i="2"/>
  <c r="W543" i="2"/>
  <c r="W517" i="2"/>
  <c r="Y490" i="2"/>
  <c r="AC490" i="2" s="1"/>
  <c r="W467" i="2"/>
  <c r="W437" i="2"/>
  <c r="Y385" i="2"/>
  <c r="AC385" i="2" s="1"/>
  <c r="AX69" i="24"/>
  <c r="AX41" i="24"/>
  <c r="Y361" i="2"/>
  <c r="AC361" i="2" s="1"/>
  <c r="W361" i="2"/>
  <c r="J347" i="30"/>
  <c r="L158" i="21"/>
  <c r="Y472" i="2"/>
  <c r="AC472" i="2" s="1"/>
  <c r="Y527" i="2"/>
  <c r="AC527" i="2" s="1"/>
  <c r="Y505" i="2"/>
  <c r="AC505" i="2" s="1"/>
  <c r="Y468" i="2"/>
  <c r="AC468" i="2" s="1"/>
  <c r="W376" i="2"/>
  <c r="N161" i="23"/>
  <c r="S161" i="23"/>
  <c r="S101" i="23"/>
  <c r="N101" i="23"/>
  <c r="S89" i="23"/>
  <c r="N89" i="23"/>
  <c r="S61" i="23"/>
  <c r="N61" i="23"/>
  <c r="N29" i="23"/>
  <c r="S29" i="23"/>
  <c r="L57" i="21"/>
  <c r="W491" i="2"/>
  <c r="W445" i="2"/>
  <c r="W408" i="2"/>
  <c r="L102" i="21"/>
  <c r="W522" i="2"/>
  <c r="W504" i="2"/>
  <c r="W470" i="2"/>
  <c r="W382" i="2"/>
  <c r="S157" i="23"/>
  <c r="N157" i="23"/>
  <c r="S121" i="23"/>
  <c r="N121" i="23"/>
  <c r="S113" i="23"/>
  <c r="N113" i="23"/>
  <c r="N85" i="23"/>
  <c r="S85" i="23"/>
  <c r="S49" i="23"/>
  <c r="N49" i="23"/>
  <c r="L21" i="21"/>
  <c r="N21" i="23"/>
  <c r="S21" i="23"/>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N258" i="23"/>
  <c r="S258" i="23"/>
  <c r="M47" i="28"/>
  <c r="L47" i="28"/>
  <c r="M86" i="28"/>
  <c r="J84" i="28"/>
  <c r="L86" i="28"/>
  <c r="M79" i="28"/>
  <c r="L79" i="28"/>
  <c r="M217" i="28"/>
  <c r="L217" i="28"/>
  <c r="N198" i="21"/>
  <c r="O198" i="21" s="1"/>
  <c r="L251" i="26"/>
  <c r="J15" i="27"/>
  <c r="K82" i="26"/>
  <c r="K15" i="27" s="1"/>
  <c r="J18" i="27"/>
  <c r="K100" i="26"/>
  <c r="K18" i="27" s="1"/>
  <c r="J19" i="27"/>
  <c r="K116" i="26"/>
  <c r="K19" i="27" s="1"/>
  <c r="P105" i="23"/>
  <c r="Q105" i="23"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J258" i="23"/>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S215" i="23"/>
  <c r="N215" i="23"/>
  <c r="L195" i="21"/>
  <c r="L217" i="21"/>
  <c r="N183" i="23"/>
  <c r="S183" i="23"/>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I279" i="26"/>
  <c r="L191" i="21"/>
  <c r="L95" i="21"/>
  <c r="L60" i="21"/>
  <c r="L56" i="21"/>
  <c r="N7" i="23"/>
  <c r="S7" i="23"/>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S366" i="30"/>
  <c r="AE87" i="24"/>
  <c r="S366" i="26"/>
  <c r="G205" i="23"/>
  <c r="AQ205" i="2"/>
  <c r="U205" i="23" s="1"/>
  <c r="S333" i="26"/>
  <c r="S333" i="30"/>
  <c r="AE71" i="24"/>
  <c r="G189" i="23"/>
  <c r="J189" i="23" s="1"/>
  <c r="AQ189" i="2"/>
  <c r="U189" i="23" s="1"/>
  <c r="W599" i="2"/>
  <c r="W567" i="2"/>
  <c r="W535" i="2"/>
  <c r="Y510" i="2"/>
  <c r="AC510" i="2" s="1"/>
  <c r="W481" i="2"/>
  <c r="Y465" i="2"/>
  <c r="AC465" i="2" s="1"/>
  <c r="W424" i="2"/>
  <c r="Y381" i="2"/>
  <c r="AC381" i="2" s="1"/>
  <c r="L152" i="21"/>
  <c r="N132" i="23"/>
  <c r="S132" i="23"/>
  <c r="L10" i="21"/>
  <c r="W520" i="2"/>
  <c r="W453" i="2"/>
  <c r="W422" i="2"/>
  <c r="L73" i="21"/>
  <c r="L44" i="21"/>
  <c r="L37" i="21"/>
  <c r="W515" i="2"/>
  <c r="Y489" i="2"/>
  <c r="AC489" i="2" s="1"/>
  <c r="W458" i="2"/>
  <c r="S275" i="23"/>
  <c r="N275" i="23"/>
  <c r="S255" i="23"/>
  <c r="N255" i="23"/>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P195" i="23"/>
  <c r="Q195" i="23"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P129" i="23"/>
  <c r="Q129" i="23" s="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N269" i="23"/>
  <c r="S269" i="23"/>
  <c r="N225" i="23"/>
  <c r="S225" i="23"/>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AE16" i="24"/>
  <c r="G243" i="23"/>
  <c r="AQ243" i="2"/>
  <c r="U243" i="23" s="1"/>
  <c r="L247" i="21"/>
  <c r="AE7" i="24"/>
  <c r="G227" i="23"/>
  <c r="AQ227" i="2"/>
  <c r="U227" i="23" s="1"/>
  <c r="G201" i="23"/>
  <c r="AE62" i="24"/>
  <c r="AQ201" i="2"/>
  <c r="U201" i="23" s="1"/>
  <c r="L48" i="21"/>
  <c r="W591" i="2"/>
  <c r="W559" i="2"/>
  <c r="Y528" i="2"/>
  <c r="AC528" i="2" s="1"/>
  <c r="Y506" i="2"/>
  <c r="AC506" i="2" s="1"/>
  <c r="W477" i="2"/>
  <c r="Y461" i="2"/>
  <c r="AC461" i="2" s="1"/>
  <c r="Y419" i="2"/>
  <c r="AC419" i="2" s="1"/>
  <c r="S192" i="23"/>
  <c r="N192" i="23"/>
  <c r="W497" i="2"/>
  <c r="W452" i="2"/>
  <c r="W417" i="2"/>
  <c r="W513" i="2"/>
  <c r="Y482" i="2"/>
  <c r="AC482" i="2" s="1"/>
  <c r="W455" i="2"/>
  <c r="L118" i="21"/>
  <c r="L9" i="21"/>
  <c r="N141" i="23"/>
  <c r="S141" i="23"/>
  <c r="S129" i="23"/>
  <c r="N129" i="23"/>
  <c r="S65" i="23"/>
  <c r="N65" i="23"/>
  <c r="N53" i="23"/>
  <c r="S53" i="23"/>
  <c r="N45" i="23"/>
  <c r="S45" i="23"/>
  <c r="S41" i="23"/>
  <c r="N41" i="23"/>
  <c r="S37" i="23"/>
  <c r="N37" i="23"/>
  <c r="N25" i="23"/>
  <c r="S25" i="23"/>
  <c r="L25" i="21"/>
  <c r="Y521" i="2"/>
  <c r="AC521" i="2" s="1"/>
  <c r="W431" i="2"/>
  <c r="W384" i="2"/>
  <c r="S14" i="23"/>
  <c r="N14" i="23"/>
  <c r="N10" i="23"/>
  <c r="S10" i="23"/>
  <c r="Y597" i="2"/>
  <c r="AC597" i="2" s="1"/>
  <c r="Y514" i="2"/>
  <c r="AC514" i="2" s="1"/>
  <c r="W488" i="2"/>
  <c r="W440" i="2"/>
  <c r="W374" i="2"/>
  <c r="S272" i="23"/>
  <c r="N272" i="23"/>
  <c r="S165" i="23"/>
  <c r="N165" i="23"/>
  <c r="S153" i="23"/>
  <c r="N153" i="23"/>
  <c r="S145" i="23"/>
  <c r="N145" i="23"/>
  <c r="S105" i="23"/>
  <c r="N105" i="23"/>
  <c r="N93" i="23"/>
  <c r="S93" i="23"/>
  <c r="L90" i="21"/>
  <c r="L98" i="21"/>
  <c r="L69" i="21"/>
  <c r="L29" i="21"/>
  <c r="O19" i="23"/>
  <c r="O23" i="23"/>
  <c r="O140" i="23"/>
  <c r="AB140" i="2"/>
  <c r="O124" i="23"/>
  <c r="AB124" i="2"/>
  <c r="O92" i="23"/>
  <c r="AB92" i="2"/>
  <c r="O60" i="23"/>
  <c r="AB60" i="2"/>
  <c r="O44" i="23"/>
  <c r="AB44" i="2"/>
  <c r="O28" i="23"/>
  <c r="AB28" i="2"/>
  <c r="O141" i="23"/>
  <c r="AB141" i="2"/>
  <c r="O93" i="23"/>
  <c r="AB93" i="2"/>
  <c r="O61" i="23"/>
  <c r="AB61" i="2"/>
  <c r="O45" i="23"/>
  <c r="AB45" i="2"/>
  <c r="O29" i="23"/>
  <c r="AB29" i="2"/>
  <c r="O17" i="23"/>
  <c r="AA17" i="2"/>
  <c r="AB17" i="2"/>
  <c r="AB162" i="2"/>
  <c r="O170" i="23"/>
  <c r="AB170" i="2"/>
  <c r="AB186" i="2"/>
  <c r="O194" i="23"/>
  <c r="T194" i="23" s="1"/>
  <c r="AB194" i="2"/>
  <c r="AB280" i="2"/>
  <c r="AB339" i="2"/>
  <c r="AB376" i="2"/>
  <c r="AB400" i="2"/>
  <c r="AB155" i="2"/>
  <c r="O163" i="23"/>
  <c r="AB163" i="2"/>
  <c r="O171" i="23"/>
  <c r="AB171" i="2"/>
  <c r="O179" i="23"/>
  <c r="AB179" i="2"/>
  <c r="AB187" i="2"/>
  <c r="O195" i="23"/>
  <c r="T195" i="23" s="1"/>
  <c r="AB195" i="2"/>
  <c r="O296" i="23"/>
  <c r="AB297" i="2"/>
  <c r="AB353" i="2"/>
  <c r="AB437" i="2"/>
  <c r="O225" i="23"/>
  <c r="AB225" i="2"/>
  <c r="O233" i="23"/>
  <c r="AB233" i="2"/>
  <c r="O241" i="23"/>
  <c r="AB241" i="2"/>
  <c r="O250" i="23"/>
  <c r="T250" i="23" s="1"/>
  <c r="AB250" i="2"/>
  <c r="O258" i="23"/>
  <c r="T258" i="23" s="1"/>
  <c r="AB258" i="2"/>
  <c r="O266" i="23"/>
  <c r="T266" i="23" s="1"/>
  <c r="AB266" i="2"/>
  <c r="O286" i="23"/>
  <c r="AB286" i="2"/>
  <c r="AB329" i="2"/>
  <c r="AB349" i="2"/>
  <c r="AB383" i="2"/>
  <c r="AB394" i="2"/>
  <c r="AB409" i="2"/>
  <c r="AB443" i="2"/>
  <c r="AB460" i="2"/>
  <c r="O261" i="23"/>
  <c r="AB261" i="2"/>
  <c r="O8" i="23"/>
  <c r="T8" i="23" s="1"/>
  <c r="AB8" i="2"/>
  <c r="AA8" i="2"/>
  <c r="O12" i="23"/>
  <c r="T12" i="23" s="1"/>
  <c r="AB12" i="2"/>
  <c r="O273" i="23"/>
  <c r="T273" i="23" s="1"/>
  <c r="AB273" i="2"/>
  <c r="O287" i="23"/>
  <c r="AB287" i="2"/>
  <c r="AB370" i="2"/>
  <c r="AB433" i="2"/>
  <c r="AB471" i="2"/>
  <c r="AB496" i="2"/>
  <c r="AB513" i="2"/>
  <c r="AB529" i="2"/>
  <c r="AB545" i="2"/>
  <c r="AB561" i="2"/>
  <c r="AB577" i="2"/>
  <c r="AB593" i="2"/>
  <c r="AB380" i="2"/>
  <c r="AB413" i="2"/>
  <c r="AB462" i="2"/>
  <c r="AB489" i="2"/>
  <c r="AB505" i="2"/>
  <c r="AB522" i="2"/>
  <c r="AB538" i="2"/>
  <c r="AB554" i="2"/>
  <c r="AB570" i="2"/>
  <c r="AB586" i="2"/>
  <c r="AB475" i="2"/>
  <c r="AB494" i="2"/>
  <c r="AB523" i="2"/>
  <c r="AB555" i="2"/>
  <c r="AB571" i="2"/>
  <c r="AB587" i="2"/>
  <c r="AB473" i="2"/>
  <c r="AB495" i="2"/>
  <c r="AB524" i="2"/>
  <c r="AB540" i="2"/>
  <c r="AB556" i="2"/>
  <c r="AB572" i="2"/>
  <c r="AB588" i="2"/>
  <c r="AB419" i="2"/>
  <c r="AB444" i="2"/>
  <c r="AB456" i="2"/>
  <c r="AB472" i="2"/>
  <c r="AB507" i="2"/>
  <c r="AB346" i="2"/>
  <c r="AB362" i="2"/>
  <c r="AB408" i="2"/>
  <c r="AB418" i="2"/>
  <c r="AB428" i="2"/>
  <c r="AB442" i="2"/>
  <c r="AB458" i="2"/>
  <c r="AB474" i="2"/>
  <c r="AB512" i="2"/>
  <c r="O138" i="23"/>
  <c r="AB138" i="2"/>
  <c r="O122" i="23"/>
  <c r="AB122" i="2"/>
  <c r="O106" i="23"/>
  <c r="AB106" i="2"/>
  <c r="AB90" i="2"/>
  <c r="O74" i="23"/>
  <c r="AB74" i="2"/>
  <c r="O58" i="23"/>
  <c r="AB58" i="2"/>
  <c r="O42" i="23"/>
  <c r="AB42" i="2"/>
  <c r="O26" i="23"/>
  <c r="AB26" i="2"/>
  <c r="AB147" i="2"/>
  <c r="O99" i="23"/>
  <c r="AA99" i="2"/>
  <c r="AB99" i="2"/>
  <c r="O67" i="23"/>
  <c r="AB67" i="2"/>
  <c r="O35" i="23"/>
  <c r="AB35" i="2"/>
  <c r="O136" i="23"/>
  <c r="AB136" i="2"/>
  <c r="O120" i="23"/>
  <c r="AB120" i="2"/>
  <c r="O88" i="23"/>
  <c r="AB88" i="2"/>
  <c r="O72" i="23"/>
  <c r="AB72" i="2"/>
  <c r="O40" i="23"/>
  <c r="AB40" i="2"/>
  <c r="O24" i="23"/>
  <c r="AB24" i="2"/>
  <c r="O153" i="23"/>
  <c r="AB153" i="2"/>
  <c r="O121" i="23"/>
  <c r="AB121" i="2"/>
  <c r="O105" i="23"/>
  <c r="T105" i="23" s="1"/>
  <c r="AB105" i="2"/>
  <c r="O89" i="23"/>
  <c r="AB89" i="2"/>
  <c r="AB73" i="2"/>
  <c r="AB156" i="2"/>
  <c r="O164" i="23"/>
  <c r="AB164" i="2"/>
  <c r="O172" i="23"/>
  <c r="AB172" i="2"/>
  <c r="O188" i="23"/>
  <c r="T188" i="23" s="1"/>
  <c r="AB188" i="2"/>
  <c r="O204" i="23"/>
  <c r="AB204" i="2"/>
  <c r="O220" i="23"/>
  <c r="T220" i="23" s="1"/>
  <c r="AB220" i="2"/>
  <c r="O284" i="23"/>
  <c r="AB284" i="2"/>
  <c r="AB388" i="2"/>
  <c r="AB405" i="2"/>
  <c r="AB157" i="2"/>
  <c r="O165" i="23"/>
  <c r="AB165" i="2"/>
  <c r="O173" i="23"/>
  <c r="AB173" i="2"/>
  <c r="O285" i="23"/>
  <c r="AB285" i="2"/>
  <c r="AB301" i="2"/>
  <c r="AB344" i="2"/>
  <c r="AB374" i="2"/>
  <c r="AB395" i="2"/>
  <c r="AB450" i="2"/>
  <c r="O227" i="23"/>
  <c r="AB227" i="2"/>
  <c r="O235" i="23"/>
  <c r="AB235" i="2"/>
  <c r="O271" i="23"/>
  <c r="AB271" i="2"/>
  <c r="AB331" i="2"/>
  <c r="AB351" i="2"/>
  <c r="AB384" i="2"/>
  <c r="AB398" i="2"/>
  <c r="AB411" i="2"/>
  <c r="AB448" i="2"/>
  <c r="O240" i="23"/>
  <c r="T240" i="23" s="1"/>
  <c r="AB240" i="2"/>
  <c r="O255" i="23"/>
  <c r="AB255" i="2"/>
  <c r="O263" i="23"/>
  <c r="AB263" i="2"/>
  <c r="O9" i="23"/>
  <c r="T9" i="23" s="1"/>
  <c r="AB9" i="2"/>
  <c r="O274" i="23"/>
  <c r="AB274" i="2"/>
  <c r="AB336" i="2"/>
  <c r="AB372" i="2"/>
  <c r="AB401" i="2"/>
  <c r="AB441" i="2"/>
  <c r="AB479" i="2"/>
  <c r="AB500" i="2"/>
  <c r="AB516" i="2"/>
  <c r="AB533" i="2"/>
  <c r="AB549" i="2"/>
  <c r="AB565" i="2"/>
  <c r="AB581" i="2"/>
  <c r="AB597" i="2"/>
  <c r="AB357" i="2"/>
  <c r="AB382" i="2"/>
  <c r="AB417" i="2"/>
  <c r="AB469" i="2"/>
  <c r="AB493" i="2"/>
  <c r="AB508" i="2"/>
  <c r="AB526" i="2"/>
  <c r="AB542" i="2"/>
  <c r="AB558" i="2"/>
  <c r="AB574" i="2"/>
  <c r="AB590" i="2"/>
  <c r="AB483" i="2"/>
  <c r="AB498" i="2"/>
  <c r="AB527" i="2"/>
  <c r="AB543" i="2"/>
  <c r="AB559" i="2"/>
  <c r="AB575" i="2"/>
  <c r="AB591" i="2"/>
  <c r="AB481" i="2"/>
  <c r="AB528" i="2"/>
  <c r="AB544" i="2"/>
  <c r="AB560" i="2"/>
  <c r="AB576" i="2"/>
  <c r="AB592" i="2"/>
  <c r="AB422" i="2"/>
  <c r="AB432" i="2"/>
  <c r="AB445" i="2"/>
  <c r="AB459" i="2"/>
  <c r="AB476" i="2"/>
  <c r="AB514" i="2"/>
  <c r="AB318" i="2"/>
  <c r="AB334" i="2"/>
  <c r="AB385" i="2"/>
  <c r="AB412" i="2"/>
  <c r="AB420" i="2"/>
  <c r="AB431" i="2"/>
  <c r="AB447" i="2"/>
  <c r="AB461" i="2"/>
  <c r="AB478" i="2"/>
  <c r="AB518" i="2"/>
  <c r="AB150" i="2"/>
  <c r="AB118" i="2"/>
  <c r="AB102" i="2"/>
  <c r="O86" i="23"/>
  <c r="AB86" i="2"/>
  <c r="AB70" i="2"/>
  <c r="O54" i="23"/>
  <c r="AB54" i="2"/>
  <c r="O38" i="23"/>
  <c r="AB38" i="2"/>
  <c r="O143" i="23"/>
  <c r="AB143" i="2"/>
  <c r="O127" i="23"/>
  <c r="AB127" i="2"/>
  <c r="O111" i="23"/>
  <c r="AB111" i="2"/>
  <c r="O95" i="23"/>
  <c r="AB95" i="2"/>
  <c r="O63" i="23"/>
  <c r="AB63" i="2"/>
  <c r="AB47" i="2"/>
  <c r="O31" i="23"/>
  <c r="AB31" i="2"/>
  <c r="O148" i="23"/>
  <c r="AB148" i="2"/>
  <c r="AB100" i="2"/>
  <c r="AB84" i="2"/>
  <c r="O36" i="23"/>
  <c r="AB36" i="2"/>
  <c r="AB149" i="2"/>
  <c r="O133" i="23"/>
  <c r="AB133" i="2"/>
  <c r="AB101" i="2"/>
  <c r="AB85" i="2"/>
  <c r="AB69" i="2"/>
  <c r="O53" i="23"/>
  <c r="AB53" i="2"/>
  <c r="O37" i="23"/>
  <c r="AB37" i="2"/>
  <c r="O21" i="23"/>
  <c r="AA21" i="2"/>
  <c r="AB21" i="2"/>
  <c r="AB166" i="2"/>
  <c r="O190" i="23"/>
  <c r="AB190" i="2"/>
  <c r="O198" i="23"/>
  <c r="AB198" i="2"/>
  <c r="O214" i="23"/>
  <c r="AB214" i="2"/>
  <c r="AB288" i="2"/>
  <c r="AB304" i="2"/>
  <c r="AB392" i="2"/>
  <c r="AB435" i="2"/>
  <c r="AB159" i="2"/>
  <c r="AB167" i="2"/>
  <c r="O183" i="23"/>
  <c r="AB183" i="2"/>
  <c r="O207" i="23"/>
  <c r="AB207" i="2"/>
  <c r="O215" i="23"/>
  <c r="AB215" i="2"/>
  <c r="O275" i="23"/>
  <c r="T275" i="23" s="1"/>
  <c r="AB275" i="2"/>
  <c r="O288" i="23"/>
  <c r="AB289" i="2"/>
  <c r="AB345" i="2"/>
  <c r="AB399" i="2"/>
  <c r="AB467" i="2"/>
  <c r="O254" i="23"/>
  <c r="AB254" i="2"/>
  <c r="O268" i="23"/>
  <c r="T268" i="23" s="1"/>
  <c r="AB268" i="2"/>
  <c r="O278" i="23"/>
  <c r="AB278" i="2"/>
  <c r="AB337" i="2"/>
  <c r="AB403" i="2"/>
  <c r="AB415" i="2"/>
  <c r="AB452" i="2"/>
  <c r="O226" i="23"/>
  <c r="AB226" i="2"/>
  <c r="O242" i="23"/>
  <c r="T242" i="23" s="1"/>
  <c r="AB242" i="2"/>
  <c r="O257" i="23"/>
  <c r="AB257" i="2"/>
  <c r="O10" i="23"/>
  <c r="T10" i="23" s="1"/>
  <c r="AB10" i="2"/>
  <c r="O14" i="23"/>
  <c r="T14" i="23" s="1"/>
  <c r="AB14" i="2"/>
  <c r="O294" i="23"/>
  <c r="AB295" i="2"/>
  <c r="AB332" i="2"/>
  <c r="AB389" i="2"/>
  <c r="AB446" i="2"/>
  <c r="AB504" i="2"/>
  <c r="AB521" i="2"/>
  <c r="AB537" i="2"/>
  <c r="AB553" i="2"/>
  <c r="AB569" i="2"/>
  <c r="AB585" i="2"/>
  <c r="AB341" i="2"/>
  <c r="AB359" i="2"/>
  <c r="AB404" i="2"/>
  <c r="AB477" i="2"/>
  <c r="AB497" i="2"/>
  <c r="AB511" i="2"/>
  <c r="AB530" i="2"/>
  <c r="AB546" i="2"/>
  <c r="AB578" i="2"/>
  <c r="AB594" i="2"/>
  <c r="AB486" i="2"/>
  <c r="AB502" i="2"/>
  <c r="AB531" i="2"/>
  <c r="AB547" i="2"/>
  <c r="AB563" i="2"/>
  <c r="AB579" i="2"/>
  <c r="AB595" i="2"/>
  <c r="AB487" i="2"/>
  <c r="AB503" i="2"/>
  <c r="AB532" i="2"/>
  <c r="AB548" i="2"/>
  <c r="AB564" i="2"/>
  <c r="AB580" i="2"/>
  <c r="AB596" i="2"/>
  <c r="AB424" i="2"/>
  <c r="AB453" i="2"/>
  <c r="AB463" i="2"/>
  <c r="AB480" i="2"/>
  <c r="AB519" i="2"/>
  <c r="AB322" i="2"/>
  <c r="AB371" i="2"/>
  <c r="AB402" i="2"/>
  <c r="AB414" i="2"/>
  <c r="AB423" i="2"/>
  <c r="AB451" i="2"/>
  <c r="AB465" i="2"/>
  <c r="AB482" i="2"/>
  <c r="AB520" i="2"/>
  <c r="O146" i="23"/>
  <c r="AB146" i="2"/>
  <c r="O130" i="23"/>
  <c r="AB130" i="2"/>
  <c r="O114" i="23"/>
  <c r="AB114" i="2"/>
  <c r="O82" i="23"/>
  <c r="AB82" i="2"/>
  <c r="O66" i="23"/>
  <c r="AB66" i="2"/>
  <c r="O50" i="23"/>
  <c r="AB50" i="2"/>
  <c r="O34" i="23"/>
  <c r="AB34" i="2"/>
  <c r="AB22" i="2"/>
  <c r="O139" i="23"/>
  <c r="AB139" i="2"/>
  <c r="O107" i="23"/>
  <c r="AB107" i="2"/>
  <c r="O91" i="23"/>
  <c r="AB91" i="2"/>
  <c r="O75" i="23"/>
  <c r="AB75" i="2"/>
  <c r="O59" i="23"/>
  <c r="AB59" i="2"/>
  <c r="O27" i="23"/>
  <c r="AB27" i="2"/>
  <c r="O144" i="23"/>
  <c r="AB144" i="2"/>
  <c r="O128" i="23"/>
  <c r="AB128" i="2"/>
  <c r="O112" i="23"/>
  <c r="AB112" i="2"/>
  <c r="O80" i="23"/>
  <c r="AB80" i="2"/>
  <c r="O64" i="23"/>
  <c r="AB64" i="2"/>
  <c r="O48" i="23"/>
  <c r="AB48" i="2"/>
  <c r="O32" i="23"/>
  <c r="AB32" i="2"/>
  <c r="O16" i="23"/>
  <c r="AB16" i="2"/>
  <c r="O145" i="23"/>
  <c r="AB145" i="2"/>
  <c r="O129" i="23"/>
  <c r="T129" i="23" s="1"/>
  <c r="AB129" i="2"/>
  <c r="O113" i="23"/>
  <c r="AB113" i="2"/>
  <c r="AB65" i="2"/>
  <c r="O49" i="23"/>
  <c r="T49" i="23" s="1"/>
  <c r="AB49" i="2"/>
  <c r="O33" i="23"/>
  <c r="AB33" i="2"/>
  <c r="O160" i="23"/>
  <c r="AB160" i="2"/>
  <c r="O168" i="23"/>
  <c r="AB168" i="2"/>
  <c r="AB184" i="2"/>
  <c r="AB192" i="2"/>
  <c r="AB396" i="2"/>
  <c r="AB449" i="2"/>
  <c r="O161" i="23"/>
  <c r="AB161" i="2"/>
  <c r="AB169" i="2"/>
  <c r="AB177" i="2"/>
  <c r="O185" i="23"/>
  <c r="AB185" i="2"/>
  <c r="O201" i="23"/>
  <c r="AB201" i="2"/>
  <c r="AB209" i="2"/>
  <c r="O217" i="23"/>
  <c r="AB217" i="2"/>
  <c r="O292" i="23"/>
  <c r="AB293" i="2"/>
  <c r="AB367" i="2"/>
  <c r="AB387" i="2"/>
  <c r="AB425" i="2"/>
  <c r="O231" i="23"/>
  <c r="AB231" i="2"/>
  <c r="O239" i="23"/>
  <c r="T239" i="23" s="1"/>
  <c r="AB239" i="2"/>
  <c r="O248" i="23"/>
  <c r="T248" i="23" s="1"/>
  <c r="AB248" i="2"/>
  <c r="O256" i="23"/>
  <c r="T256" i="23" s="1"/>
  <c r="AB256" i="2"/>
  <c r="O269" i="23"/>
  <c r="AB269" i="2"/>
  <c r="AB328" i="2"/>
  <c r="AB348" i="2"/>
  <c r="AB373" i="2"/>
  <c r="AB407" i="2"/>
  <c r="AB421" i="2"/>
  <c r="AB457" i="2"/>
  <c r="O236" i="23"/>
  <c r="T236" i="23" s="1"/>
  <c r="AB236" i="2"/>
  <c r="O7" i="23"/>
  <c r="T7" i="23" s="1"/>
  <c r="AB7" i="2"/>
  <c r="O11" i="23"/>
  <c r="T11" i="23" s="1"/>
  <c r="AB11" i="2"/>
  <c r="O272" i="23"/>
  <c r="AB272" i="2"/>
  <c r="AB333" i="2"/>
  <c r="AB393" i="2"/>
  <c r="AB464" i="2"/>
  <c r="AB492" i="2"/>
  <c r="AB510" i="2"/>
  <c r="AB525" i="2"/>
  <c r="AB541" i="2"/>
  <c r="AB557" i="2"/>
  <c r="AB573" i="2"/>
  <c r="AB589" i="2"/>
  <c r="AB343" i="2"/>
  <c r="AB379" i="2"/>
  <c r="AB410" i="2"/>
  <c r="AB439" i="2"/>
  <c r="AB485" i="2"/>
  <c r="AB501" i="2"/>
  <c r="AB517" i="2"/>
  <c r="AB534" i="2"/>
  <c r="AB550" i="2"/>
  <c r="AB566" i="2"/>
  <c r="AB582" i="2"/>
  <c r="AB598" i="2"/>
  <c r="AB490" i="2"/>
  <c r="AB506" i="2"/>
  <c r="AB535" i="2"/>
  <c r="AB551" i="2"/>
  <c r="AB567" i="2"/>
  <c r="AB583" i="2"/>
  <c r="AB599" i="2"/>
  <c r="AB491" i="2"/>
  <c r="AB515" i="2"/>
  <c r="AB536" i="2"/>
  <c r="AB552" i="2"/>
  <c r="AB568" i="2"/>
  <c r="AB584" i="2"/>
  <c r="AB600" i="2"/>
  <c r="AB427" i="2"/>
  <c r="AB440" i="2"/>
  <c r="AB454" i="2"/>
  <c r="AB468" i="2"/>
  <c r="AB377" i="2"/>
  <c r="AB406" i="2"/>
  <c r="AB416" i="2"/>
  <c r="AB426" i="2"/>
  <c r="AB438" i="2"/>
  <c r="AB455" i="2"/>
  <c r="AB470" i="2"/>
  <c r="AB509" i="2"/>
  <c r="O142" i="23"/>
  <c r="AB142" i="2"/>
  <c r="O126" i="23"/>
  <c r="AB126" i="2"/>
  <c r="AB110" i="2"/>
  <c r="O94" i="23"/>
  <c r="AB94" i="2"/>
  <c r="AB62" i="2"/>
  <c r="O46" i="23"/>
  <c r="AB46" i="2"/>
  <c r="O30" i="23"/>
  <c r="AB30" i="2"/>
  <c r="AB151" i="2"/>
  <c r="O119" i="23"/>
  <c r="AB119" i="2"/>
  <c r="O103" i="23"/>
  <c r="AB103" i="2"/>
  <c r="O87" i="23"/>
  <c r="AB87" i="2"/>
  <c r="O39" i="23"/>
  <c r="AB39" i="2"/>
  <c r="J313" i="32" l="1"/>
  <c r="O205" i="23"/>
  <c r="P100" i="23"/>
  <c r="Q100" i="23" s="1"/>
  <c r="R264" i="23"/>
  <c r="T264" i="23" s="1"/>
  <c r="AB193" i="2"/>
  <c r="J388" i="32"/>
  <c r="J354" i="32"/>
  <c r="O221" i="23"/>
  <c r="T221" i="23" s="1"/>
  <c r="T225" i="23"/>
  <c r="AA193" i="2"/>
  <c r="AB267" i="2"/>
  <c r="T255" i="23"/>
  <c r="AA267" i="2"/>
  <c r="J291" i="32"/>
  <c r="J300" i="32"/>
  <c r="K300" i="32" s="1"/>
  <c r="AB223" i="2"/>
  <c r="O189" i="23"/>
  <c r="T257" i="23"/>
  <c r="O334" i="32"/>
  <c r="N334" i="32" s="1"/>
  <c r="AA247" i="2"/>
  <c r="T269" i="23"/>
  <c r="AB247" i="2"/>
  <c r="O303" i="30"/>
  <c r="N303" i="30" s="1"/>
  <c r="O334" i="30"/>
  <c r="N334" i="30" s="1"/>
  <c r="T263" i="23"/>
  <c r="O303" i="26"/>
  <c r="N303" i="26" s="1"/>
  <c r="R98" i="23"/>
  <c r="P98" i="23" s="1"/>
  <c r="Q98" i="23" s="1"/>
  <c r="J387" i="32"/>
  <c r="J386" i="32" s="1"/>
  <c r="J385" i="32" s="1"/>
  <c r="J384" i="32" s="1"/>
  <c r="J383" i="32" s="1"/>
  <c r="AK210" i="2"/>
  <c r="R210" i="23" s="1"/>
  <c r="S321" i="32"/>
  <c r="L343" i="32"/>
  <c r="L304" i="32"/>
  <c r="H210" i="23"/>
  <c r="F321" i="32"/>
  <c r="W224" i="2"/>
  <c r="F336" i="32"/>
  <c r="Y230" i="2"/>
  <c r="F297" i="32"/>
  <c r="L298" i="30"/>
  <c r="L298" i="32"/>
  <c r="F334" i="26"/>
  <c r="F334" i="32"/>
  <c r="L361" i="26"/>
  <c r="L361" i="32"/>
  <c r="L359" i="32" s="1"/>
  <c r="I279" i="32"/>
  <c r="F277" i="32"/>
  <c r="F276" i="32" s="1"/>
  <c r="F275" i="32" s="1"/>
  <c r="F274" i="32" s="1"/>
  <c r="J290" i="32"/>
  <c r="J373" i="32"/>
  <c r="J277" i="32"/>
  <c r="AK246" i="2"/>
  <c r="O375" i="26" s="1"/>
  <c r="N375" i="26" s="1"/>
  <c r="S375" i="32"/>
  <c r="Y213" i="2"/>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F366" i="32"/>
  <c r="F363" i="32" s="1"/>
  <c r="Y197" i="2"/>
  <c r="F345" i="32"/>
  <c r="L320" i="30"/>
  <c r="L320" i="32"/>
  <c r="AF68" i="24"/>
  <c r="F344" i="32"/>
  <c r="S340" i="32"/>
  <c r="S310" i="32"/>
  <c r="H246" i="23"/>
  <c r="F375" i="32"/>
  <c r="F340" i="30"/>
  <c r="F310" i="32"/>
  <c r="F307" i="32" s="1"/>
  <c r="K307" i="32" s="1"/>
  <c r="F340" i="32"/>
  <c r="K379" i="32"/>
  <c r="F317" i="32"/>
  <c r="K317" i="32" s="1"/>
  <c r="J347" i="32"/>
  <c r="K347" i="32" s="1"/>
  <c r="AK219" i="2"/>
  <c r="O335" i="26" s="1"/>
  <c r="N335" i="26" s="1"/>
  <c r="S335" i="32"/>
  <c r="AK224" i="2"/>
  <c r="R224" i="23" s="1"/>
  <c r="S336" i="32"/>
  <c r="Y189" i="2"/>
  <c r="AA189" i="2" s="1"/>
  <c r="F333" i="32"/>
  <c r="AK218" i="2"/>
  <c r="O325" i="32" s="1"/>
  <c r="N325" i="32" s="1"/>
  <c r="N323" i="32" s="1"/>
  <c r="S325" i="32"/>
  <c r="AK270" i="2"/>
  <c r="O376" i="32" s="1"/>
  <c r="N376" i="32" s="1"/>
  <c r="S376" i="32"/>
  <c r="L305" i="30"/>
  <c r="L305" i="32"/>
  <c r="Y259" i="2"/>
  <c r="M259" i="23" s="1"/>
  <c r="F357" i="32"/>
  <c r="F354" i="32" s="1"/>
  <c r="L370" i="26"/>
  <c r="L370" i="32"/>
  <c r="L303" i="26"/>
  <c r="L303" i="32"/>
  <c r="Y237" i="2"/>
  <c r="F371" i="32"/>
  <c r="F368" i="32" s="1"/>
  <c r="K368" i="32" s="1"/>
  <c r="W63" i="24"/>
  <c r="L341" i="32"/>
  <c r="F313" i="32"/>
  <c r="K313" i="32" s="1"/>
  <c r="J353" i="32"/>
  <c r="K378" i="32"/>
  <c r="J328" i="32"/>
  <c r="L287" i="30"/>
  <c r="L287" i="32"/>
  <c r="L285" i="32" s="1"/>
  <c r="Y223" i="2"/>
  <c r="AA223" i="2" s="1"/>
  <c r="F338" i="32"/>
  <c r="Y221" i="2"/>
  <c r="AA221" i="2" s="1"/>
  <c r="F330" i="32"/>
  <c r="W202" i="2"/>
  <c r="L332" i="32" s="1"/>
  <c r="F332" i="32"/>
  <c r="AK175" i="2"/>
  <c r="O342" i="32" s="1"/>
  <c r="N342" i="32" s="1"/>
  <c r="S342" i="32"/>
  <c r="L390" i="30"/>
  <c r="L390" i="32"/>
  <c r="Y218" i="2"/>
  <c r="F325" i="32"/>
  <c r="F323" i="32" s="1"/>
  <c r="K323" i="32" s="1"/>
  <c r="L309" i="30"/>
  <c r="L307" i="30" s="1"/>
  <c r="L309" i="32"/>
  <c r="L307" i="32" s="1"/>
  <c r="M307" i="32" s="1"/>
  <c r="Y270" i="2"/>
  <c r="F376" i="32"/>
  <c r="L282" i="30"/>
  <c r="L282" i="32"/>
  <c r="L277" i="32" s="1"/>
  <c r="L276" i="32" s="1"/>
  <c r="W245" i="2"/>
  <c r="F293" i="32"/>
  <c r="F291" i="32" s="1"/>
  <c r="W200" i="2"/>
  <c r="F331" i="32"/>
  <c r="J363" i="32"/>
  <c r="T261" i="23"/>
  <c r="T254" i="23"/>
  <c r="R199" i="23"/>
  <c r="P199" i="23" s="1"/>
  <c r="Q199" i="23" s="1"/>
  <c r="O341" i="32"/>
  <c r="N341" i="32" s="1"/>
  <c r="R137" i="23"/>
  <c r="P137" i="23" s="1"/>
  <c r="Q137" i="23" s="1"/>
  <c r="O365" i="32"/>
  <c r="N365" i="32" s="1"/>
  <c r="R267" i="23"/>
  <c r="P267" i="23" s="1"/>
  <c r="Q267" i="23" s="1"/>
  <c r="O395" i="32"/>
  <c r="N395" i="32" s="1"/>
  <c r="O338" i="30"/>
  <c r="N338" i="30" s="1"/>
  <c r="O338" i="32"/>
  <c r="N338" i="32" s="1"/>
  <c r="R260" i="23"/>
  <c r="P260" i="23" s="1"/>
  <c r="Q260" i="23" s="1"/>
  <c r="O302" i="32"/>
  <c r="N302" i="32" s="1"/>
  <c r="R78" i="23"/>
  <c r="T78" i="23" s="1"/>
  <c r="O319" i="32"/>
  <c r="N319" i="32" s="1"/>
  <c r="T183" i="23"/>
  <c r="T256" i="30"/>
  <c r="T256" i="32"/>
  <c r="T253" i="26"/>
  <c r="T253" i="32"/>
  <c r="R134" i="23"/>
  <c r="P134" i="23" s="1"/>
  <c r="Q134" i="23" s="1"/>
  <c r="O304" i="32"/>
  <c r="N304" i="32" s="1"/>
  <c r="O343" i="32"/>
  <c r="N343" i="32" s="1"/>
  <c r="R205" i="23"/>
  <c r="O366" i="32"/>
  <c r="N366" i="32" s="1"/>
  <c r="R216" i="23"/>
  <c r="P216" i="23" s="1"/>
  <c r="Q216" i="23" s="1"/>
  <c r="O344" i="32"/>
  <c r="N344" i="32" s="1"/>
  <c r="R247" i="23"/>
  <c r="P247" i="23" s="1"/>
  <c r="Q247" i="23" s="1"/>
  <c r="O391" i="32"/>
  <c r="N391" i="32" s="1"/>
  <c r="R117" i="23"/>
  <c r="P117" i="23" s="1"/>
  <c r="Q117" i="23" s="1"/>
  <c r="O337" i="32"/>
  <c r="N337" i="32" s="1"/>
  <c r="O339" i="26"/>
  <c r="N339" i="26" s="1"/>
  <c r="O339" i="32"/>
  <c r="N339" i="32" s="1"/>
  <c r="R193" i="23"/>
  <c r="T193" i="23" s="1"/>
  <c r="O279" i="32"/>
  <c r="N279" i="32" s="1"/>
  <c r="N277" i="32" s="1"/>
  <c r="N276" i="32" s="1"/>
  <c r="N275" i="32" s="1"/>
  <c r="N274" i="32" s="1"/>
  <c r="T252" i="26"/>
  <c r="T252" i="32"/>
  <c r="R135" i="23"/>
  <c r="P135" i="23" s="1"/>
  <c r="Q135" i="23" s="1"/>
  <c r="O296" i="32"/>
  <c r="N296" i="32" s="1"/>
  <c r="R197" i="23"/>
  <c r="P197" i="23" s="1"/>
  <c r="Q197" i="23" s="1"/>
  <c r="O345" i="32"/>
  <c r="N345" i="32" s="1"/>
  <c r="R237" i="23"/>
  <c r="P237" i="23" s="1"/>
  <c r="Q237" i="23" s="1"/>
  <c r="O371" i="32"/>
  <c r="N371" i="32" s="1"/>
  <c r="N368" i="32" s="1"/>
  <c r="R208" i="23"/>
  <c r="T208" i="23" s="1"/>
  <c r="O294" i="32"/>
  <c r="N294" i="32" s="1"/>
  <c r="R230" i="23"/>
  <c r="P230" i="23" s="1"/>
  <c r="Q230" i="23" s="1"/>
  <c r="O297" i="32"/>
  <c r="N297" i="32" s="1"/>
  <c r="R132" i="23"/>
  <c r="P132" i="23" s="1"/>
  <c r="Q132" i="23" s="1"/>
  <c r="O298" i="32"/>
  <c r="N298" i="32" s="1"/>
  <c r="AA606" i="2"/>
  <c r="AA603" i="2"/>
  <c r="AA607" i="2"/>
  <c r="AA602" i="2"/>
  <c r="AA604" i="2"/>
  <c r="AA601" i="2"/>
  <c r="L211" i="21"/>
  <c r="S185" i="23"/>
  <c r="N173" i="23"/>
  <c r="S69" i="23"/>
  <c r="S169" i="23"/>
  <c r="N304"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186" i="23"/>
  <c r="Q186" i="23" s="1"/>
  <c r="P204" i="23"/>
  <c r="Q204" i="23" s="1"/>
  <c r="P184" i="23"/>
  <c r="Q184" i="23" s="1"/>
  <c r="P185" i="23"/>
  <c r="Q185" i="23" s="1"/>
  <c r="P187" i="23"/>
  <c r="Q187" i="23" s="1"/>
  <c r="T122" i="23"/>
  <c r="O197" i="23"/>
  <c r="T197" i="23" s="1"/>
  <c r="O104" i="23"/>
  <c r="T104" i="23" s="1"/>
  <c r="T40" i="23"/>
  <c r="T99" i="23"/>
  <c r="T138" i="23"/>
  <c r="T119" i="23"/>
  <c r="T36" i="23"/>
  <c r="T28" i="23"/>
  <c r="T63" i="23"/>
  <c r="P203" i="23"/>
  <c r="Q203" i="23" s="1"/>
  <c r="P217" i="23"/>
  <c r="Q217" i="23" s="1"/>
  <c r="J203" i="23"/>
  <c r="S203" i="23"/>
  <c r="P19" i="23"/>
  <c r="Q19" i="23" s="1"/>
  <c r="P110" i="23"/>
  <c r="Q110" i="23" s="1"/>
  <c r="T39" i="23"/>
  <c r="T80" i="23"/>
  <c r="T130" i="23"/>
  <c r="T31" i="23"/>
  <c r="T128" i="23"/>
  <c r="T89" i="23"/>
  <c r="T121" i="23"/>
  <c r="T23" i="23"/>
  <c r="T165" i="23"/>
  <c r="T38" i="23"/>
  <c r="AB243" i="2"/>
  <c r="AB191" i="2"/>
  <c r="T87" i="23"/>
  <c r="T146" i="23"/>
  <c r="T163" i="23"/>
  <c r="T66" i="23"/>
  <c r="T95" i="23"/>
  <c r="T153" i="23"/>
  <c r="T88" i="23"/>
  <c r="T112" i="23"/>
  <c r="T144" i="23"/>
  <c r="T190" i="23"/>
  <c r="T21" i="23"/>
  <c r="T136" i="23"/>
  <c r="T42" i="23"/>
  <c r="T140" i="23"/>
  <c r="P79" i="23"/>
  <c r="Q79" i="23" s="1"/>
  <c r="R284" i="23"/>
  <c r="T284" i="23" s="1"/>
  <c r="R307" i="23"/>
  <c r="T307" i="23" s="1"/>
  <c r="J102" i="23"/>
  <c r="T161" i="23"/>
  <c r="T34" i="23"/>
  <c r="T114" i="23"/>
  <c r="O85" i="23"/>
  <c r="O84" i="23"/>
  <c r="R306" i="23"/>
  <c r="T306" i="23" s="1"/>
  <c r="R282" i="23"/>
  <c r="R310" i="23"/>
  <c r="T310" i="23" s="1"/>
  <c r="R57" i="23"/>
  <c r="P57" i="23" s="1"/>
  <c r="Q57" i="23" s="1"/>
  <c r="R118" i="23"/>
  <c r="P118" i="23" s="1"/>
  <c r="Q118" i="23" s="1"/>
  <c r="R178" i="23"/>
  <c r="P178" i="23" s="1"/>
  <c r="Q178" i="23" s="1"/>
  <c r="T30" i="23"/>
  <c r="T127" i="23"/>
  <c r="O156" i="23"/>
  <c r="T35" i="23"/>
  <c r="O280" i="23"/>
  <c r="O65" i="23"/>
  <c r="O181" i="23"/>
  <c r="T181" i="23" s="1"/>
  <c r="T26" i="23"/>
  <c r="T61" i="23"/>
  <c r="T142" i="23"/>
  <c r="O192" i="23"/>
  <c r="T192" i="23" s="1"/>
  <c r="T288" i="23"/>
  <c r="O191" i="23"/>
  <c r="O166" i="23"/>
  <c r="T166" i="23" s="1"/>
  <c r="T111" i="23"/>
  <c r="T143" i="23"/>
  <c r="O187" i="23"/>
  <c r="T187" i="23" s="1"/>
  <c r="O73" i="23"/>
  <c r="O62" i="23"/>
  <c r="T160" i="23"/>
  <c r="T113" i="23"/>
  <c r="T145" i="23"/>
  <c r="T32" i="23"/>
  <c r="T27" i="23"/>
  <c r="T107" i="23"/>
  <c r="O69" i="23"/>
  <c r="O300" i="23"/>
  <c r="O157" i="23"/>
  <c r="T24" i="23"/>
  <c r="T72" i="23"/>
  <c r="O147" i="23"/>
  <c r="T170" i="23"/>
  <c r="T60" i="23"/>
  <c r="T124" i="23"/>
  <c r="O177" i="23"/>
  <c r="O22" i="23"/>
  <c r="T86" i="23"/>
  <c r="O118" i="23"/>
  <c r="AB181" i="2"/>
  <c r="O155" i="23"/>
  <c r="T141" i="23"/>
  <c r="T44" i="23"/>
  <c r="R298" i="23"/>
  <c r="AA96" i="2"/>
  <c r="O51" i="23"/>
  <c r="R177" i="23"/>
  <c r="R285" i="23"/>
  <c r="P285" i="23" s="1"/>
  <c r="Q285" i="23" s="1"/>
  <c r="T91" i="23"/>
  <c r="T214" i="23"/>
  <c r="O70" i="23"/>
  <c r="T70" i="23" s="1"/>
  <c r="O102" i="23"/>
  <c r="AB104" i="2"/>
  <c r="T45" i="23"/>
  <c r="T93" i="23"/>
  <c r="AA197" i="2"/>
  <c r="R300" i="23"/>
  <c r="P300" i="23" s="1"/>
  <c r="Q300" i="23" s="1"/>
  <c r="R198" i="23"/>
  <c r="T198" i="23" s="1"/>
  <c r="O110" i="23"/>
  <c r="T110" i="23" s="1"/>
  <c r="O184" i="23"/>
  <c r="T184" i="23" s="1"/>
  <c r="R158" i="23"/>
  <c r="P158" i="23" s="1"/>
  <c r="Q158" i="23" s="1"/>
  <c r="O169" i="23"/>
  <c r="O186" i="23"/>
  <c r="T186" i="23" s="1"/>
  <c r="O162" i="23"/>
  <c r="O101" i="23"/>
  <c r="O149" i="23"/>
  <c r="O47" i="23"/>
  <c r="AY106" i="24"/>
  <c r="L51" i="21"/>
  <c r="O115" i="23"/>
  <c r="P151" i="23"/>
  <c r="Q151" i="23" s="1"/>
  <c r="R73" i="23"/>
  <c r="M163" i="23"/>
  <c r="H149" i="23"/>
  <c r="L149" i="23" s="1"/>
  <c r="AN110" i="24"/>
  <c r="R280" i="23"/>
  <c r="R200" i="23"/>
  <c r="P200" i="23" s="1"/>
  <c r="Q200" i="23" s="1"/>
  <c r="R311" i="23"/>
  <c r="T311" i="23" s="1"/>
  <c r="R283" i="23"/>
  <c r="P283" i="23" s="1"/>
  <c r="Q283"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T204" i="23"/>
  <c r="AK202" i="2"/>
  <c r="G159" i="23"/>
  <c r="M21" i="23"/>
  <c r="M187" i="23"/>
  <c r="H185" i="23"/>
  <c r="M55" i="23"/>
  <c r="M203" i="23"/>
  <c r="M69" i="23"/>
  <c r="M90" i="23"/>
  <c r="M105" i="23"/>
  <c r="M93" i="23"/>
  <c r="M102" i="23"/>
  <c r="R201" i="23"/>
  <c r="P201" i="23" s="1"/>
  <c r="Q201" i="23" s="1"/>
  <c r="R108" i="23"/>
  <c r="P108" i="23" s="1"/>
  <c r="Q108" i="23" s="1"/>
  <c r="R74" i="23"/>
  <c r="P74" i="23" s="1"/>
  <c r="Q74" i="23" s="1"/>
  <c r="R191" i="23"/>
  <c r="P191" i="23" s="1"/>
  <c r="Q191" i="23" s="1"/>
  <c r="R189" i="23"/>
  <c r="P189" i="23" s="1"/>
  <c r="Q189" i="23" s="1"/>
  <c r="R303" i="23"/>
  <c r="T303"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T215" i="23"/>
  <c r="T100" i="23"/>
  <c r="M84" i="23"/>
  <c r="M219" i="23"/>
  <c r="H159" i="23"/>
  <c r="L159" i="23" s="1"/>
  <c r="M147" i="23"/>
  <c r="M50" i="23"/>
  <c r="M152" i="23"/>
  <c r="R211" i="23"/>
  <c r="T211" i="23" s="1"/>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T48" i="23"/>
  <c r="T207" i="23"/>
  <c r="T19" i="23"/>
  <c r="H187" i="23"/>
  <c r="L187" i="23" s="1"/>
  <c r="AK229" i="2"/>
  <c r="G167" i="23"/>
  <c r="M199" i="23"/>
  <c r="M79" i="23"/>
  <c r="R182" i="23"/>
  <c r="R222" i="23"/>
  <c r="P222" i="23" s="1"/>
  <c r="Q222" i="23" s="1"/>
  <c r="R281" i="23"/>
  <c r="P281" i="23" s="1"/>
  <c r="Q281" i="23" s="1"/>
  <c r="R180" i="23"/>
  <c r="T180" i="23" s="1"/>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T217" i="23"/>
  <c r="T185" i="23"/>
  <c r="T151" i="23"/>
  <c r="H150" i="23"/>
  <c r="M218" i="23"/>
  <c r="G182" i="23"/>
  <c r="N182" i="23" s="1"/>
  <c r="M28" i="23"/>
  <c r="H164" i="23"/>
  <c r="R286" i="23"/>
  <c r="T286" i="23" s="1"/>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6" i="26"/>
  <c r="T19" i="26"/>
  <c r="T18" i="26"/>
  <c r="T122" i="26"/>
  <c r="T55" i="26"/>
  <c r="T256" i="26"/>
  <c r="T132" i="26"/>
  <c r="T14" i="26"/>
  <c r="T253" i="30"/>
  <c r="T252" i="30"/>
  <c r="T23" i="26"/>
  <c r="T127" i="26"/>
  <c r="T77" i="26"/>
  <c r="T128" i="26"/>
  <c r="T11" i="26"/>
  <c r="U253" i="23"/>
  <c r="T68" i="26"/>
  <c r="T84" i="26"/>
  <c r="T134" i="26"/>
  <c r="T39" i="26"/>
  <c r="T125" i="26"/>
  <c r="T66" i="26"/>
  <c r="T15" i="26"/>
  <c r="T119" i="26"/>
  <c r="T25" i="26"/>
  <c r="T21" i="26"/>
  <c r="T12" i="26"/>
  <c r="T105" i="26"/>
  <c r="T120" i="26"/>
  <c r="T104" i="26"/>
  <c r="T17" i="26"/>
  <c r="H276" i="23"/>
  <c r="L248" i="21"/>
  <c r="L260" i="21"/>
  <c r="M9" i="23"/>
  <c r="K359" i="30"/>
  <c r="P125" i="23"/>
  <c r="Q125" i="23" s="1"/>
  <c r="P81" i="23"/>
  <c r="Q81" i="23" s="1"/>
  <c r="T97" i="23"/>
  <c r="O319" i="26"/>
  <c r="N319" i="26" s="1"/>
  <c r="T139" i="23"/>
  <c r="O279" i="30"/>
  <c r="T287" i="23"/>
  <c r="L143" i="21"/>
  <c r="L112" i="21"/>
  <c r="T17" i="23"/>
  <c r="T292" i="23"/>
  <c r="T235" i="23"/>
  <c r="T241" i="23"/>
  <c r="T227" i="23"/>
  <c r="O345" i="30"/>
  <c r="O294" i="30"/>
  <c r="P227" i="23"/>
  <c r="Q227" i="23" s="1"/>
  <c r="T13" i="23"/>
  <c r="O319" i="30"/>
  <c r="N319" i="30" s="1"/>
  <c r="O366" i="30"/>
  <c r="N366" i="30" s="1"/>
  <c r="P233" i="23"/>
  <c r="Q233" i="23" s="1"/>
  <c r="P226" i="23"/>
  <c r="Q226" i="23" s="1"/>
  <c r="P249" i="23"/>
  <c r="Q249" i="23" s="1"/>
  <c r="P82" i="23"/>
  <c r="Q82" i="23" s="1"/>
  <c r="P104" i="23"/>
  <c r="Q104" i="23" s="1"/>
  <c r="P59" i="23"/>
  <c r="Q59" i="23" s="1"/>
  <c r="P58" i="23"/>
  <c r="Q58" i="23" s="1"/>
  <c r="P176" i="23"/>
  <c r="Q176" i="23" s="1"/>
  <c r="P106" i="23"/>
  <c r="Q106" i="23" s="1"/>
  <c r="P139" i="23"/>
  <c r="Q139" i="23" s="1"/>
  <c r="P179" i="23"/>
  <c r="Q179" i="23" s="1"/>
  <c r="T58" i="23"/>
  <c r="T133" i="23"/>
  <c r="O365" i="30"/>
  <c r="T238" i="23"/>
  <c r="O279" i="26"/>
  <c r="O366" i="26"/>
  <c r="N366" i="26" s="1"/>
  <c r="O371" i="26"/>
  <c r="N371" i="26" s="1"/>
  <c r="N368" i="26" s="1"/>
  <c r="O304" i="30"/>
  <c r="N304" i="30" s="1"/>
  <c r="T231" i="23"/>
  <c r="P221" i="23"/>
  <c r="Q221" i="23" s="1"/>
  <c r="O331" i="26"/>
  <c r="T106" i="23"/>
  <c r="T179" i="23"/>
  <c r="O297" i="26"/>
  <c r="N297" i="26" s="1"/>
  <c r="O333" i="30"/>
  <c r="N333" i="30" s="1"/>
  <c r="T126" i="23"/>
  <c r="T305" i="23"/>
  <c r="T277" i="23"/>
  <c r="T77" i="23"/>
  <c r="P109" i="23"/>
  <c r="Q109" i="23" s="1"/>
  <c r="T83" i="23"/>
  <c r="O298" i="26"/>
  <c r="N298" i="26" s="1"/>
  <c r="O333" i="26"/>
  <c r="N333" i="26" s="1"/>
  <c r="O294" i="26"/>
  <c r="T274" i="23"/>
  <c r="P304" i="23"/>
  <c r="Q304" i="23" s="1"/>
  <c r="T55" i="23"/>
  <c r="O297" i="30"/>
  <c r="N297" i="30" s="1"/>
  <c r="O331" i="30"/>
  <c r="N331" i="30" s="1"/>
  <c r="O302" i="30"/>
  <c r="N302" i="30" s="1"/>
  <c r="O345" i="26"/>
  <c r="O371" i="30"/>
  <c r="N371" i="30" s="1"/>
  <c r="N368" i="30" s="1"/>
  <c r="T279" i="23"/>
  <c r="P302" i="23"/>
  <c r="Q302" i="23" s="1"/>
  <c r="P265" i="23"/>
  <c r="Q265" i="23" s="1"/>
  <c r="O296" i="26"/>
  <c r="N296" i="26" s="1"/>
  <c r="O341" i="30"/>
  <c r="O343" i="26"/>
  <c r="N343" i="26" s="1"/>
  <c r="O302" i="26"/>
  <c r="N302" i="26" s="1"/>
  <c r="O304" i="26"/>
  <c r="N304" i="26" s="1"/>
  <c r="T59" i="23"/>
  <c r="T123" i="23"/>
  <c r="O296" i="30"/>
  <c r="N296" i="30" s="1"/>
  <c r="O343" i="30"/>
  <c r="N343" i="30" s="1"/>
  <c r="O395" i="30"/>
  <c r="N395" i="30" s="1"/>
  <c r="O338" i="26"/>
  <c r="N338" i="26" s="1"/>
  <c r="R223" i="23"/>
  <c r="T223" i="23" s="1"/>
  <c r="O339" i="30"/>
  <c r="N339" i="30" s="1"/>
  <c r="O391" i="26"/>
  <c r="N391" i="26" s="1"/>
  <c r="O337" i="30"/>
  <c r="N337" i="30" s="1"/>
  <c r="R149" i="23"/>
  <c r="O344" i="26"/>
  <c r="N344" i="26" s="1"/>
  <c r="T33" i="23"/>
  <c r="T226" i="23"/>
  <c r="T271" i="23"/>
  <c r="T243" i="23"/>
  <c r="T233" i="23"/>
  <c r="T291" i="23"/>
  <c r="T131" i="23"/>
  <c r="O344" i="30"/>
  <c r="N344" i="30" s="1"/>
  <c r="O341" i="26"/>
  <c r="O391" i="30"/>
  <c r="N391" i="30" s="1"/>
  <c r="O395" i="26"/>
  <c r="N395" i="26" s="1"/>
  <c r="T82" i="23"/>
  <c r="T294" i="23"/>
  <c r="T278" i="23"/>
  <c r="T296"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79" i="23"/>
  <c r="Q279" i="23" s="1"/>
  <c r="P235" i="23"/>
  <c r="Q235" i="23" s="1"/>
  <c r="P292" i="23"/>
  <c r="Q292" i="23" s="1"/>
  <c r="T308" i="23"/>
  <c r="P295" i="23"/>
  <c r="Q295" i="23" s="1"/>
  <c r="P294" i="23"/>
  <c r="Q294" i="23" s="1"/>
  <c r="P278" i="23"/>
  <c r="Q278" i="23" s="1"/>
  <c r="P296" i="23"/>
  <c r="Q296" i="23" s="1"/>
  <c r="P271" i="23"/>
  <c r="Q271" i="23" s="1"/>
  <c r="Z251" i="2"/>
  <c r="AB251" i="2" s="1"/>
  <c r="AK251" i="2"/>
  <c r="O397" i="32" s="1"/>
  <c r="N397" i="32" s="1"/>
  <c r="P274" i="23"/>
  <c r="Q274" i="23" s="1"/>
  <c r="P77" i="23"/>
  <c r="Q77" i="23" s="1"/>
  <c r="P287" i="23"/>
  <c r="Q287" i="23" s="1"/>
  <c r="P290" i="23"/>
  <c r="Q290" i="23" s="1"/>
  <c r="P97" i="23"/>
  <c r="Q97" i="23" s="1"/>
  <c r="P276" i="23"/>
  <c r="Q276" i="23" s="1"/>
  <c r="N283" i="30"/>
  <c r="T272" i="23"/>
  <c r="AX18" i="24"/>
  <c r="N81" i="23"/>
  <c r="N57" i="23"/>
  <c r="Y276" i="2"/>
  <c r="AA276" i="2" s="1"/>
  <c r="AA179" i="2"/>
  <c r="Y278" i="2"/>
  <c r="AA278" i="2" s="1"/>
  <c r="S81" i="23"/>
  <c r="L361" i="30"/>
  <c r="L359" i="30" s="1"/>
  <c r="Y282" i="2"/>
  <c r="M282" i="23" s="1"/>
  <c r="O41" i="23"/>
  <c r="T41" i="23" s="1"/>
  <c r="H283" i="23"/>
  <c r="S278"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80" i="2"/>
  <c r="AB123" i="2"/>
  <c r="AA107" i="2"/>
  <c r="S109" i="23"/>
  <c r="M35" i="23"/>
  <c r="J363" i="30"/>
  <c r="O109" i="23"/>
  <c r="T109" i="23" s="1"/>
  <c r="AA109" i="2"/>
  <c r="AA15" i="2"/>
  <c r="AA13" i="2"/>
  <c r="AB13" i="2"/>
  <c r="AC7" i="2"/>
  <c r="AC15" i="2"/>
  <c r="S97" i="23"/>
  <c r="N228" i="23"/>
  <c r="L39" i="21"/>
  <c r="H293" i="23"/>
  <c r="L293" i="23" s="1"/>
  <c r="AA272" i="2"/>
  <c r="Y283" i="2"/>
  <c r="AA283" i="2" s="1"/>
  <c r="AX104" i="24"/>
  <c r="AN9" i="24"/>
  <c r="H282" i="23"/>
  <c r="AX9" i="24"/>
  <c r="AE47" i="24"/>
  <c r="M113" i="23"/>
  <c r="AB51" i="2"/>
  <c r="AB83" i="2"/>
  <c r="W294" i="2"/>
  <c r="AY104" i="24" s="1"/>
  <c r="J109" i="23"/>
  <c r="AA83" i="2"/>
  <c r="AA147" i="2"/>
  <c r="AA12" i="2"/>
  <c r="S180" i="23"/>
  <c r="AC232" i="2"/>
  <c r="Y180" i="2"/>
  <c r="J137" i="23"/>
  <c r="AN79" i="24"/>
  <c r="M91" i="23"/>
  <c r="AA34" i="2"/>
  <c r="AC225" i="2"/>
  <c r="W341" i="2"/>
  <c r="AY79" i="24" s="1"/>
  <c r="AN82" i="24"/>
  <c r="P33" i="23"/>
  <c r="Q33" i="23" s="1"/>
  <c r="M56" i="23"/>
  <c r="J97" i="23"/>
  <c r="AA91" i="2"/>
  <c r="S33" i="23"/>
  <c r="M15" i="23"/>
  <c r="AC147" i="2"/>
  <c r="S397" i="30"/>
  <c r="AC72" i="2"/>
  <c r="N33" i="23"/>
  <c r="O237" i="23"/>
  <c r="O52" i="23"/>
  <c r="O135" i="23"/>
  <c r="AB115" i="2"/>
  <c r="AA115" i="2"/>
  <c r="W308" i="2"/>
  <c r="AY62" i="24" s="1"/>
  <c r="AA9" i="2"/>
  <c r="AA124" i="2"/>
  <c r="AF70" i="24"/>
  <c r="AN21" i="24"/>
  <c r="AC79" i="2"/>
  <c r="W197" i="2"/>
  <c r="L155" i="21"/>
  <c r="N109" i="23"/>
  <c r="L341" i="26"/>
  <c r="AN83" i="24"/>
  <c r="M118" i="23"/>
  <c r="M71" i="23"/>
  <c r="AN46" i="24"/>
  <c r="Y176" i="2"/>
  <c r="AA176" i="2" s="1"/>
  <c r="O81" i="23"/>
  <c r="T81" i="23" s="1"/>
  <c r="O25" i="23"/>
  <c r="T25" i="23" s="1"/>
  <c r="O108" i="23"/>
  <c r="AA25" i="2"/>
  <c r="AB97" i="2"/>
  <c r="AA108" i="2"/>
  <c r="O228" i="23"/>
  <c r="AA97" i="2"/>
  <c r="H278" i="23"/>
  <c r="H279" i="23"/>
  <c r="S264" i="23"/>
  <c r="Y356" i="2"/>
  <c r="AC356" i="2" s="1"/>
  <c r="M123" i="23"/>
  <c r="AX10" i="24"/>
  <c r="N260" i="23"/>
  <c r="AA81" i="2"/>
  <c r="AA455" i="2"/>
  <c r="AA113" i="2"/>
  <c r="AA374" i="2"/>
  <c r="AX11" i="24"/>
  <c r="AX37" i="24"/>
  <c r="W282" i="2"/>
  <c r="AY10" i="24" s="1"/>
  <c r="AA520" i="2"/>
  <c r="H295" i="23"/>
  <c r="L295" i="23" s="1"/>
  <c r="L58" i="21"/>
  <c r="S279" i="23"/>
  <c r="AA500" i="2"/>
  <c r="S310" i="30"/>
  <c r="L70" i="21"/>
  <c r="L82" i="21"/>
  <c r="AA90" i="2"/>
  <c r="S104" i="23"/>
  <c r="M153" i="23"/>
  <c r="Y281" i="2"/>
  <c r="AC281" i="2" s="1"/>
  <c r="AA187" i="2"/>
  <c r="N265" i="23"/>
  <c r="S260" i="23"/>
  <c r="AC179" i="2"/>
  <c r="S162" i="23"/>
  <c r="AA123" i="2"/>
  <c r="AA111" i="2"/>
  <c r="AA155" i="2"/>
  <c r="M111" i="23"/>
  <c r="AA36" i="2"/>
  <c r="AI64" i="24"/>
  <c r="L76" i="21"/>
  <c r="AA504" i="2"/>
  <c r="N180" i="23"/>
  <c r="L146" i="21"/>
  <c r="L214" i="21"/>
  <c r="L150" i="21"/>
  <c r="L216" i="21"/>
  <c r="AC90" i="2"/>
  <c r="N117" i="23"/>
  <c r="Y246" i="2"/>
  <c r="AI95" i="24" s="1"/>
  <c r="F375" i="26"/>
  <c r="Y344" i="2"/>
  <c r="AC344" i="2" s="1"/>
  <c r="AC204" i="2"/>
  <c r="H281" i="23"/>
  <c r="L281" i="23" s="1"/>
  <c r="N285" i="23"/>
  <c r="AA114" i="2"/>
  <c r="M16" i="23"/>
  <c r="W212" i="2"/>
  <c r="W70" i="24" s="1"/>
  <c r="L74" i="21"/>
  <c r="L133" i="21"/>
  <c r="AA50" i="2"/>
  <c r="AC152" i="2"/>
  <c r="N77" i="23"/>
  <c r="L341" i="30"/>
  <c r="N230" i="23"/>
  <c r="W176" i="2"/>
  <c r="W53" i="24" s="1"/>
  <c r="W365" i="2"/>
  <c r="AY83" i="24" s="1"/>
  <c r="AC203" i="2"/>
  <c r="W237" i="2"/>
  <c r="L232" i="21"/>
  <c r="M78" i="23"/>
  <c r="S310" i="26"/>
  <c r="AE70" i="24"/>
  <c r="AC50" i="2"/>
  <c r="AA203" i="2"/>
  <c r="AA27" i="2"/>
  <c r="AA382" i="2"/>
  <c r="S340" i="26"/>
  <c r="S340" i="30"/>
  <c r="J17" i="23"/>
  <c r="F371" i="30"/>
  <c r="F368" i="30" s="1"/>
  <c r="K368" i="30" s="1"/>
  <c r="AA348" i="2"/>
  <c r="Y354" i="2"/>
  <c r="AC354" i="2" s="1"/>
  <c r="AF53" i="24"/>
  <c r="AA169" i="2"/>
  <c r="AA166" i="2"/>
  <c r="AA85" i="2"/>
  <c r="AA118" i="2"/>
  <c r="M43" i="23"/>
  <c r="AX46" i="24"/>
  <c r="W354" i="2"/>
  <c r="AY68" i="24" s="1"/>
  <c r="S296" i="23"/>
  <c r="N276" i="23"/>
  <c r="L156" i="21"/>
  <c r="P17" i="23"/>
  <c r="Q17" i="23" s="1"/>
  <c r="M58" i="23"/>
  <c r="L117" i="21"/>
  <c r="L303" i="30"/>
  <c r="AA55" i="2"/>
  <c r="AA164" i="2"/>
  <c r="F310" i="26"/>
  <c r="F307" i="26" s="1"/>
  <c r="K307" i="26" s="1"/>
  <c r="F375" i="30"/>
  <c r="S283" i="23"/>
  <c r="AC102" i="2"/>
  <c r="M57" i="23"/>
  <c r="AA153" i="2"/>
  <c r="AA51" i="2"/>
  <c r="S117" i="23"/>
  <c r="S397" i="26"/>
  <c r="AC269" i="2"/>
  <c r="M72" i="23"/>
  <c r="S265"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S230" i="23"/>
  <c r="N249" i="23"/>
  <c r="N198" i="23"/>
  <c r="Y224" i="2"/>
  <c r="AI73" i="24" s="1"/>
  <c r="F371" i="26"/>
  <c r="F368" i="26" s="1"/>
  <c r="K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B281" i="2"/>
  <c r="AA152" i="2"/>
  <c r="AB137" i="2"/>
  <c r="AB290" i="2"/>
  <c r="O152" i="23"/>
  <c r="T152" i="23" s="1"/>
  <c r="AA134" i="2"/>
  <c r="AB158" i="2"/>
  <c r="O283" i="23"/>
  <c r="O158" i="23"/>
  <c r="AA56" i="2"/>
  <c r="O68" i="23"/>
  <c r="AB56" i="2"/>
  <c r="AA137" i="2"/>
  <c r="L32" i="21"/>
  <c r="L249" i="21"/>
  <c r="M237" i="23"/>
  <c r="AI93" i="24"/>
  <c r="L142" i="21"/>
  <c r="L253" i="21"/>
  <c r="L251" i="21"/>
  <c r="L239" i="21"/>
  <c r="L41" i="21"/>
  <c r="L176" i="21"/>
  <c r="AA71" i="2"/>
  <c r="O71" i="23"/>
  <c r="T71" i="23" s="1"/>
  <c r="AB117" i="2"/>
  <c r="AA117" i="2"/>
  <c r="AA119" i="2"/>
  <c r="AA257" i="2"/>
  <c r="AA93" i="2"/>
  <c r="AB77" i="2"/>
  <c r="N237" i="23"/>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65" i="23"/>
  <c r="T265" i="23" s="1"/>
  <c r="AB230" i="2"/>
  <c r="O297" i="23"/>
  <c r="O79" i="23"/>
  <c r="T79" i="23" s="1"/>
  <c r="N73" i="23"/>
  <c r="M220" i="23"/>
  <c r="M63" i="23"/>
  <c r="Y200" i="2"/>
  <c r="M200" i="23" s="1"/>
  <c r="M108" i="23"/>
  <c r="AN97" i="24"/>
  <c r="L35" i="21"/>
  <c r="AA87" i="2"/>
  <c r="AA444" i="2"/>
  <c r="Y364" i="2"/>
  <c r="AC364" i="2" s="1"/>
  <c r="N295" i="23"/>
  <c r="Y320" i="2"/>
  <c r="AC320" i="2" s="1"/>
  <c r="AC98" i="2"/>
  <c r="AX84" i="24"/>
  <c r="M19" i="23"/>
  <c r="W216" i="2"/>
  <c r="AC11" i="2"/>
  <c r="J198" i="23"/>
  <c r="M22" i="23"/>
  <c r="L78" i="21"/>
  <c r="AA63" i="2"/>
  <c r="AA38" i="2"/>
  <c r="AA61" i="2"/>
  <c r="AW182" i="21"/>
  <c r="AO287" i="21" s="1"/>
  <c r="Y216" i="2"/>
  <c r="AI68" i="24" s="1"/>
  <c r="AB43" i="2"/>
  <c r="AA220" i="2"/>
  <c r="Y182" i="21"/>
  <c r="AI287" i="21" s="1"/>
  <c r="W364" i="2"/>
  <c r="AY19" i="24" s="1"/>
  <c r="N211" i="23"/>
  <c r="S226" i="23"/>
  <c r="AA11" i="2"/>
  <c r="AA43" i="2"/>
  <c r="AA22" i="2"/>
  <c r="AA95" i="2"/>
  <c r="AA417" i="2"/>
  <c r="AA42" i="2"/>
  <c r="AE182" i="21"/>
  <c r="AL281" i="21" s="1"/>
  <c r="AX19" i="24"/>
  <c r="AC95" i="2"/>
  <c r="AX97" i="24"/>
  <c r="M265" i="23"/>
  <c r="F344" i="26"/>
  <c r="N302" i="23"/>
  <c r="M253" i="23"/>
  <c r="M61" i="23"/>
  <c r="Y249" i="2"/>
  <c r="AA249" i="2" s="1"/>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N303" i="23"/>
  <c r="AC219" i="2"/>
  <c r="M47" i="23"/>
  <c r="N193" i="23"/>
  <c r="S297" i="23"/>
  <c r="K285" i="30"/>
  <c r="M66" i="23"/>
  <c r="AC69" i="2"/>
  <c r="L224" i="21"/>
  <c r="N79" i="23"/>
  <c r="S79" i="23"/>
  <c r="AB264" i="2"/>
  <c r="F331" i="30"/>
  <c r="F331" i="26"/>
  <c r="AF76" i="24"/>
  <c r="H200" i="23"/>
  <c r="L200" i="23" s="1"/>
  <c r="H224" i="23"/>
  <c r="L224" i="23" s="1"/>
  <c r="AC169" i="2"/>
  <c r="L135" i="21"/>
  <c r="M59" i="23"/>
  <c r="AE42" i="24"/>
  <c r="AQ212" i="2"/>
  <c r="U212" i="23" s="1"/>
  <c r="Z212" i="2"/>
  <c r="W286" i="2"/>
  <c r="AY12" i="24" s="1"/>
  <c r="AA54" i="2"/>
  <c r="AA250" i="2"/>
  <c r="M244" i="23"/>
  <c r="Y369" i="2"/>
  <c r="AC369" i="2" s="1"/>
  <c r="S300" i="23"/>
  <c r="S249" i="23"/>
  <c r="AX68" i="24"/>
  <c r="S289" i="23"/>
  <c r="M131" i="23"/>
  <c r="M36" i="23"/>
  <c r="M20" i="23"/>
  <c r="W259" i="2"/>
  <c r="L233" i="21"/>
  <c r="O116" i="23"/>
  <c r="AA534" i="2"/>
  <c r="AA559" i="2"/>
  <c r="AA336" i="2"/>
  <c r="AA163" i="2"/>
  <c r="AX56" i="24"/>
  <c r="Y306" i="2"/>
  <c r="AC306" i="2" s="1"/>
  <c r="Y365" i="2"/>
  <c r="AC365" i="2" s="1"/>
  <c r="P232" i="23"/>
  <c r="Q232" i="23"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N307" i="23"/>
  <c r="AA73" i="2"/>
  <c r="AA74" i="2"/>
  <c r="Y350" i="2"/>
  <c r="AC350" i="2" s="1"/>
  <c r="S281" i="23"/>
  <c r="M44" i="23"/>
  <c r="AC105" i="2"/>
  <c r="E289" i="30"/>
  <c r="E273" i="30" s="1"/>
  <c r="E272" i="30" s="1"/>
  <c r="AA168" i="2"/>
  <c r="AA341" i="2"/>
  <c r="AA237" i="2"/>
  <c r="AA172" i="2"/>
  <c r="AA105" i="2"/>
  <c r="AA122" i="2"/>
  <c r="M120" i="23"/>
  <c r="Y300" i="2"/>
  <c r="M299" i="23" s="1"/>
  <c r="AI28" i="24"/>
  <c r="AI84" i="24"/>
  <c r="AC237" i="2"/>
  <c r="W363" i="2"/>
  <c r="AY56" i="24" s="1"/>
  <c r="H311" i="23"/>
  <c r="S196" i="23"/>
  <c r="N284" i="23"/>
  <c r="S176" i="23"/>
  <c r="L309" i="26"/>
  <c r="L307" i="26" s="1"/>
  <c r="M307" i="26" s="1"/>
  <c r="L370" i="30"/>
  <c r="J40" i="25"/>
  <c r="K40" i="25" s="1"/>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O276" i="23"/>
  <c r="T276" i="23" s="1"/>
  <c r="AC106" i="2"/>
  <c r="M106" i="23"/>
  <c r="AC14" i="2"/>
  <c r="M14" i="23"/>
  <c r="L221" i="21"/>
  <c r="J196" i="23"/>
  <c r="AB178" i="2"/>
  <c r="O199" i="23"/>
  <c r="AA199" i="2"/>
  <c r="O302" i="23"/>
  <c r="T302" i="23" s="1"/>
  <c r="AB203" i="2"/>
  <c r="O203" i="23"/>
  <c r="T203" i="23" s="1"/>
  <c r="AA98" i="2"/>
  <c r="AA446" i="2"/>
  <c r="AA421" i="2"/>
  <c r="O176" i="23"/>
  <c r="T176" i="23" s="1"/>
  <c r="AA445" i="2"/>
  <c r="O253" i="23"/>
  <c r="T253" i="23" s="1"/>
  <c r="AA253" i="2"/>
  <c r="AA450" i="2"/>
  <c r="M229" i="23"/>
  <c r="AI104" i="24"/>
  <c r="AI87" i="24"/>
  <c r="M205" i="23"/>
  <c r="AA205" i="2"/>
  <c r="AC205" i="2"/>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O216" i="23"/>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AB211" i="2"/>
  <c r="O98" i="23"/>
  <c r="O295" i="23"/>
  <c r="T295" i="23" s="1"/>
  <c r="AA566" i="2"/>
  <c r="AA598" i="2"/>
  <c r="AA458" i="2"/>
  <c r="H175" i="23"/>
  <c r="F342" i="26"/>
  <c r="W175" i="2"/>
  <c r="L342" i="32" s="1"/>
  <c r="F342" i="30"/>
  <c r="Y175" i="2"/>
  <c r="AF67" i="24"/>
  <c r="H234" i="23"/>
  <c r="AF92" i="24"/>
  <c r="W378" i="2"/>
  <c r="AY32" i="24" s="1"/>
  <c r="M241" i="23"/>
  <c r="Y378" i="2"/>
  <c r="AC378" i="2" s="1"/>
  <c r="Y362" i="2"/>
  <c r="AC362" i="2" s="1"/>
  <c r="Y352" i="2"/>
  <c r="AC352" i="2" s="1"/>
  <c r="N216" i="23"/>
  <c r="N286" i="23"/>
  <c r="Y234" i="2"/>
  <c r="M234" i="23" s="1"/>
  <c r="J388" i="26"/>
  <c r="J387" i="26" s="1"/>
  <c r="J386" i="26" s="1"/>
  <c r="J385" i="26" s="1"/>
  <c r="J384" i="26" s="1"/>
  <c r="J383" i="26" s="1"/>
  <c r="AN60" i="24"/>
  <c r="L227" i="21"/>
  <c r="H229" i="23"/>
  <c r="L229" i="23" s="1"/>
  <c r="AF104" i="24"/>
  <c r="AF111" i="24"/>
  <c r="H205" i="23"/>
  <c r="F366" i="26"/>
  <c r="F363" i="26" s="1"/>
  <c r="K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N262" i="23"/>
  <c r="S216" i="23"/>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N283" i="26" s="1"/>
  <c r="W258" i="2"/>
  <c r="W234" i="2"/>
  <c r="W92" i="24" s="1"/>
  <c r="AF35" i="24"/>
  <c r="F293" i="30"/>
  <c r="F293" i="26"/>
  <c r="AF31" i="24"/>
  <c r="H245" i="23"/>
  <c r="L245" i="23" s="1"/>
  <c r="AB131" i="2"/>
  <c r="AA582" i="2"/>
  <c r="AA550" i="2"/>
  <c r="AA573" i="2"/>
  <c r="AA565" i="2"/>
  <c r="L144" i="21"/>
  <c r="AC266" i="2"/>
  <c r="M266" i="23"/>
  <c r="L145" i="21"/>
  <c r="AA567" i="2"/>
  <c r="AI94" i="24"/>
  <c r="AC270" i="2"/>
  <c r="M243" i="23"/>
  <c r="AI16" i="24"/>
  <c r="N104" i="23"/>
  <c r="M261" i="23"/>
  <c r="AX73" i="24"/>
  <c r="AX15" i="24"/>
  <c r="AX23" i="24"/>
  <c r="AX45" i="24"/>
  <c r="N179" i="23"/>
  <c r="N133" i="23"/>
  <c r="S262"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S290" i="23"/>
  <c r="Y351" i="2"/>
  <c r="AC351" i="2" s="1"/>
  <c r="Y310" i="2"/>
  <c r="AC310" i="2" s="1"/>
  <c r="Y338" i="2"/>
  <c r="AC338" i="2" s="1"/>
  <c r="M31" i="23"/>
  <c r="AC218" i="2"/>
  <c r="S294" i="23"/>
  <c r="AW84" i="24"/>
  <c r="N222" i="23"/>
  <c r="Y227" i="2"/>
  <c r="M227" i="23" s="1"/>
  <c r="AB78" i="2"/>
  <c r="AA406" i="2"/>
  <c r="AA425" i="2"/>
  <c r="AA404" i="2"/>
  <c r="AA392" i="2"/>
  <c r="AA380" i="2"/>
  <c r="AA376" i="2"/>
  <c r="AX96" i="24"/>
  <c r="M136" i="23"/>
  <c r="AI60" i="24"/>
  <c r="W76" i="24"/>
  <c r="G213" i="23"/>
  <c r="J213" i="23" s="1"/>
  <c r="H284" i="23"/>
  <c r="L284" i="23" s="1"/>
  <c r="AX48" i="24"/>
  <c r="H270" i="23"/>
  <c r="L270" i="23" s="1"/>
  <c r="M54" i="23"/>
  <c r="AI283" i="21"/>
  <c r="L252" i="21"/>
  <c r="J78" i="23"/>
  <c r="AA330" i="2"/>
  <c r="AB277" i="2"/>
  <c r="AA477" i="2"/>
  <c r="M230" i="23"/>
  <c r="AC230" i="2"/>
  <c r="AA230" i="2"/>
  <c r="AA372" i="2"/>
  <c r="S357" i="26"/>
  <c r="W290" i="2"/>
  <c r="AY54" i="24" s="1"/>
  <c r="Y298" i="2"/>
  <c r="AA298" i="2" s="1"/>
  <c r="S302" i="23"/>
  <c r="M127" i="23"/>
  <c r="L149" i="21"/>
  <c r="F277" i="30"/>
  <c r="F276" i="30" s="1"/>
  <c r="F275" i="30" s="1"/>
  <c r="F274" i="30" s="1"/>
  <c r="M195" i="23"/>
  <c r="M68" i="23"/>
  <c r="J291" i="26"/>
  <c r="W300" i="2"/>
  <c r="AY49" i="24" s="1"/>
  <c r="AC28" i="2"/>
  <c r="AA28" i="2"/>
  <c r="AQ259" i="2"/>
  <c r="U259" i="23" s="1"/>
  <c r="H289" i="23"/>
  <c r="L289" i="23" s="1"/>
  <c r="H299" i="23"/>
  <c r="S232" i="23"/>
  <c r="J300" i="30"/>
  <c r="AN28" i="24"/>
  <c r="AA64" i="2"/>
  <c r="AA195" i="2"/>
  <c r="AI111" i="24"/>
  <c r="Y340" i="2"/>
  <c r="AA387" i="2"/>
  <c r="AA191" i="2"/>
  <c r="AB232" i="2"/>
  <c r="S357" i="30"/>
  <c r="E289" i="26"/>
  <c r="E273" i="26" s="1"/>
  <c r="E272" i="26" s="1"/>
  <c r="Y366" i="2"/>
  <c r="AC366" i="2" s="1"/>
  <c r="W318" i="2"/>
  <c r="AY7" i="24" s="1"/>
  <c r="AC167" i="2"/>
  <c r="P241" i="23"/>
  <c r="Q241" i="23" s="1"/>
  <c r="W340" i="2"/>
  <c r="AY28" i="24" s="1"/>
  <c r="N200" i="23"/>
  <c r="H297" i="23"/>
  <c r="L297" i="23" s="1"/>
  <c r="S241" i="23"/>
  <c r="L256" i="21"/>
  <c r="AA343" i="2"/>
  <c r="AA390" i="2"/>
  <c r="AA355" i="2"/>
  <c r="AA68" i="2"/>
  <c r="AA243" i="2"/>
  <c r="AA395" i="2"/>
  <c r="G259" i="23"/>
  <c r="AX54" i="24"/>
  <c r="W351" i="2"/>
  <c r="AY96" i="24" s="1"/>
  <c r="AX7" i="24"/>
  <c r="AN8" i="24"/>
  <c r="AC229" i="2"/>
  <c r="AF20" i="24"/>
  <c r="N208" i="23"/>
  <c r="S252" i="23"/>
  <c r="S394" i="26"/>
  <c r="Y284" i="2"/>
  <c r="AA284" i="2" s="1"/>
  <c r="AX106" i="24"/>
  <c r="M254" i="23"/>
  <c r="M250" i="23"/>
  <c r="L175" i="21"/>
  <c r="L132" i="21"/>
  <c r="L236" i="21"/>
  <c r="AB262" i="2"/>
  <c r="AA232" i="2"/>
  <c r="AA493" i="2"/>
  <c r="AA533" i="2"/>
  <c r="AB306" i="2"/>
  <c r="AA244" i="2"/>
  <c r="AA20" i="2"/>
  <c r="AB238" i="2"/>
  <c r="O244" i="23"/>
  <c r="T244" i="23" s="1"/>
  <c r="AB182" i="2"/>
  <c r="O20" i="23"/>
  <c r="T20" i="23" s="1"/>
  <c r="AA549" i="2"/>
  <c r="AA516" i="2"/>
  <c r="O196" i="23"/>
  <c r="AA78" i="2"/>
  <c r="AB222" i="2"/>
  <c r="AA292" i="2"/>
  <c r="O249" i="23"/>
  <c r="T249" i="23" s="1"/>
  <c r="AA575" i="2"/>
  <c r="AA581" i="2"/>
  <c r="AC349" i="2"/>
  <c r="AA349" i="2"/>
  <c r="AC215" i="2"/>
  <c r="M215" i="23"/>
  <c r="AA265" i="2"/>
  <c r="AA384" i="2"/>
  <c r="AA104" i="2"/>
  <c r="AA125" i="2"/>
  <c r="W366" i="2"/>
  <c r="AY85" i="24" s="1"/>
  <c r="Y226" i="2"/>
  <c r="AA226" i="2" s="1"/>
  <c r="AX77" i="24"/>
  <c r="M270" i="23"/>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M307" i="30" s="1"/>
  <c r="AN45" i="24"/>
  <c r="J300" i="26"/>
  <c r="K378" i="26"/>
  <c r="J98" i="23"/>
  <c r="AX70" i="24"/>
  <c r="AX42" i="24"/>
  <c r="AA262" i="2"/>
  <c r="AF89" i="24"/>
  <c r="M24" i="23"/>
  <c r="AB342" i="2"/>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AA296" i="2" s="1"/>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279" i="2"/>
  <c r="AA337" i="2"/>
  <c r="AA345" i="2"/>
  <c r="AA388" i="2"/>
  <c r="AA408" i="2"/>
  <c r="AA397" i="2"/>
  <c r="AA443" i="2"/>
  <c r="AA589" i="2"/>
  <c r="AA451" i="2"/>
  <c r="AA371" i="2"/>
  <c r="AA502" i="2"/>
  <c r="AA511" i="2"/>
  <c r="AB234" i="2"/>
  <c r="AI85" i="24"/>
  <c r="M258" i="23"/>
  <c r="AI86" i="24"/>
  <c r="AC258" i="2"/>
  <c r="AA258" i="2"/>
  <c r="AC346" i="2"/>
  <c r="AA346" i="2"/>
  <c r="AF39" i="24"/>
  <c r="F302" i="30"/>
  <c r="F300" i="30" s="1"/>
  <c r="F302" i="26"/>
  <c r="F300" i="26" s="1"/>
  <c r="H260" i="23"/>
  <c r="AC197" i="2"/>
  <c r="AI65" i="24"/>
  <c r="M197" i="23"/>
  <c r="AF91" i="24"/>
  <c r="Y211" i="2"/>
  <c r="W182" i="2"/>
  <c r="W14" i="24" s="1"/>
  <c r="H182" i="23"/>
  <c r="Y182" i="2"/>
  <c r="M151" i="23" s="1"/>
  <c r="AF14" i="24"/>
  <c r="H233" i="23"/>
  <c r="AF59" i="24"/>
  <c r="Y233" i="2"/>
  <c r="M168" i="23" s="1"/>
  <c r="AA399" i="2"/>
  <c r="AA383" i="2"/>
  <c r="M76" i="23"/>
  <c r="Y314" i="2"/>
  <c r="AC314" i="2" s="1"/>
  <c r="L331" i="26"/>
  <c r="AX29" i="24"/>
  <c r="Y260" i="2"/>
  <c r="AA260" i="2" s="1"/>
  <c r="H211" i="23"/>
  <c r="AC156" i="2"/>
  <c r="M156" i="23"/>
  <c r="AA584" i="2"/>
  <c r="AA546" i="2"/>
  <c r="AA324"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AI34" i="24"/>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O200" i="23"/>
  <c r="AA482" i="2"/>
  <c r="AA503" i="2"/>
  <c r="AA579" i="2"/>
  <c r="AA486" i="2"/>
  <c r="AA553" i="2"/>
  <c r="AB249" i="2"/>
  <c r="O234" i="23"/>
  <c r="T234" i="23" s="1"/>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L336" i="30"/>
  <c r="L336" i="26"/>
  <c r="AC207" i="2"/>
  <c r="M207" i="23"/>
  <c r="AQ245" i="2"/>
  <c r="U245" i="23" s="1"/>
  <c r="AE31" i="24"/>
  <c r="S293" i="26"/>
  <c r="S293" i="30"/>
  <c r="AE35" i="24"/>
  <c r="Z245" i="2"/>
  <c r="AA499" i="2"/>
  <c r="AA449" i="2"/>
  <c r="AA480" i="2"/>
  <c r="AA532" i="2"/>
  <c r="AB312" i="2"/>
  <c r="AB279" i="2"/>
  <c r="AA518" i="2"/>
  <c r="AA592" i="2"/>
  <c r="AA508" i="2"/>
  <c r="AA469" i="2"/>
  <c r="AA495" i="2"/>
  <c r="AA484" i="2"/>
  <c r="AA599" i="2"/>
  <c r="AA464" i="2"/>
  <c r="AA457" i="2"/>
  <c r="AA564" i="2"/>
  <c r="AA530" i="2"/>
  <c r="AA577" i="2"/>
  <c r="AA485" i="2"/>
  <c r="AA456" i="2"/>
  <c r="AA519" i="2"/>
  <c r="AA595" i="2"/>
  <c r="AA563" i="2"/>
  <c r="AA531" i="2"/>
  <c r="AA576" i="2"/>
  <c r="AA544" i="2"/>
  <c r="AA498" i="2"/>
  <c r="O290" i="23"/>
  <c r="T290" i="23" s="1"/>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AI83" i="24"/>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AC259" i="2"/>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J14" i="25" s="1"/>
  <c r="K14" i="25" s="1"/>
  <c r="G282" i="23"/>
  <c r="AQ282" i="2"/>
  <c r="Z282" i="2"/>
  <c r="M221" i="23"/>
  <c r="AC221" i="2"/>
  <c r="AI72" i="24"/>
  <c r="AC77" i="2"/>
  <c r="M77" i="23"/>
  <c r="S54" i="23"/>
  <c r="N54" i="23"/>
  <c r="AN89" i="24"/>
  <c r="AC289" i="2"/>
  <c r="M288" i="23"/>
  <c r="L351" i="30"/>
  <c r="L348" i="30" s="1"/>
  <c r="L347" i="30" s="1"/>
  <c r="L351" i="26"/>
  <c r="L348" i="26" s="1"/>
  <c r="L347" i="26" s="1"/>
  <c r="W80" i="24"/>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I71" i="24"/>
  <c r="AC189" i="2"/>
  <c r="M189" i="23"/>
  <c r="AC157" i="2"/>
  <c r="M157" i="23"/>
  <c r="W299" i="2"/>
  <c r="AY75" i="24" s="1"/>
  <c r="AX75" i="24"/>
  <c r="H298" i="23"/>
  <c r="L298" i="23" s="1"/>
  <c r="N118" i="23"/>
  <c r="S118" i="23"/>
  <c r="S50" i="23"/>
  <c r="N50" i="23"/>
  <c r="AN87" i="24"/>
  <c r="W75" i="24"/>
  <c r="L332" i="30"/>
  <c r="L332" i="26"/>
  <c r="AN36" i="24"/>
  <c r="L339" i="26"/>
  <c r="L339" i="30"/>
  <c r="M117" i="23"/>
  <c r="AC117" i="2"/>
  <c r="S82" i="23"/>
  <c r="N82" i="23"/>
  <c r="W305" i="2"/>
  <c r="AY71" i="24" s="1"/>
  <c r="Y305" i="2"/>
  <c r="AX71" i="24"/>
  <c r="H304" i="23"/>
  <c r="AW49" i="24"/>
  <c r="J23" i="25" s="1"/>
  <c r="K23" i="25" s="1"/>
  <c r="G299" i="23"/>
  <c r="P299" i="23" s="1"/>
  <c r="Q299" i="23" s="1"/>
  <c r="Z300" i="2"/>
  <c r="AQ300" i="2"/>
  <c r="W35" i="24"/>
  <c r="W31" i="24"/>
  <c r="AI77" i="24"/>
  <c r="AC223" i="2"/>
  <c r="M223" i="23"/>
  <c r="AC188" i="2"/>
  <c r="M188" i="23"/>
  <c r="Y299" i="2"/>
  <c r="AW88" i="24"/>
  <c r="AQ327" i="2"/>
  <c r="T191" i="26" s="1"/>
  <c r="Z327" i="2"/>
  <c r="O182" i="23" s="1"/>
  <c r="W291" i="2"/>
  <c r="AY52" i="24" s="1"/>
  <c r="H290" i="23"/>
  <c r="AX52" i="24"/>
  <c r="Y291" i="2"/>
  <c r="AW44" i="24"/>
  <c r="J21" i="25" s="1"/>
  <c r="K21" i="25" s="1"/>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L291" i="32" s="1"/>
  <c r="M291" i="32" s="1"/>
  <c r="M290" i="32" s="1"/>
  <c r="M289"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C213" i="2"/>
  <c r="M213" i="23"/>
  <c r="AI106" i="24"/>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S189" i="23"/>
  <c r="N189" i="23"/>
  <c r="M150" i="28"/>
  <c r="M149" i="28" s="1"/>
  <c r="J149" i="28"/>
  <c r="K149" i="28" s="1"/>
  <c r="K150" i="28"/>
  <c r="J7" i="28"/>
  <c r="K8" i="28"/>
  <c r="K76" i="28"/>
  <c r="K160" i="28"/>
  <c r="L230" i="21"/>
  <c r="L41" i="28"/>
  <c r="N117" i="30"/>
  <c r="N116" i="30" s="1"/>
  <c r="S177" i="23"/>
  <c r="N177" i="23"/>
  <c r="N271" i="23"/>
  <c r="S271" i="23"/>
  <c r="AW68" i="24"/>
  <c r="AQ354" i="2"/>
  <c r="T124" i="26" s="1"/>
  <c r="Z354" i="2"/>
  <c r="J117" i="28"/>
  <c r="K117" i="28" s="1"/>
  <c r="K118" i="28"/>
  <c r="L61" i="28"/>
  <c r="M61" i="28" s="1"/>
  <c r="N231" i="23"/>
  <c r="S231" i="23"/>
  <c r="L98" i="28"/>
  <c r="L97" i="28" s="1"/>
  <c r="K166" i="28"/>
  <c r="K207" i="28"/>
  <c r="M207" i="28"/>
  <c r="L50" i="26"/>
  <c r="L359" i="26"/>
  <c r="N361" i="26"/>
  <c r="N359" i="26" s="1"/>
  <c r="N243" i="23"/>
  <c r="S243" i="23"/>
  <c r="P243" i="23"/>
  <c r="Q243" i="23" s="1"/>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N287" i="30"/>
  <c r="N285" i="30" s="1"/>
  <c r="L285" i="30"/>
  <c r="K68" i="28"/>
  <c r="M198" i="28"/>
  <c r="M197" i="28" s="1"/>
  <c r="J197" i="28"/>
  <c r="L154" i="28"/>
  <c r="M154" i="28" s="1"/>
  <c r="N82" i="26"/>
  <c r="N15" i="27" s="1"/>
  <c r="L64" i="27"/>
  <c r="N251" i="26"/>
  <c r="N64" i="27" s="1"/>
  <c r="K84" i="28"/>
  <c r="J54" i="27"/>
  <c r="K241" i="26"/>
  <c r="K54" i="27" s="1"/>
  <c r="L8" i="27"/>
  <c r="L7" i="26"/>
  <c r="S223" i="23"/>
  <c r="N223" i="23"/>
  <c r="S274" i="23"/>
  <c r="N274" i="23"/>
  <c r="N47" i="27"/>
  <c r="N233" i="26"/>
  <c r="N46" i="27" s="1"/>
  <c r="L233" i="26"/>
  <c r="L47" i="27"/>
  <c r="S221" i="23"/>
  <c r="N221" i="23"/>
  <c r="N201" i="23"/>
  <c r="S201" i="23"/>
  <c r="N227" i="23"/>
  <c r="S227" i="23"/>
  <c r="J353" i="30"/>
  <c r="K33" i="28"/>
  <c r="AX94" i="24"/>
  <c r="W375" i="2"/>
  <c r="AY94" i="24" s="1"/>
  <c r="L57" i="27"/>
  <c r="L241" i="26"/>
  <c r="L54" i="27" s="1"/>
  <c r="S205" i="23"/>
  <c r="N205" i="23"/>
  <c r="J353" i="26"/>
  <c r="AN94" i="24"/>
  <c r="L68" i="28"/>
  <c r="M68" i="28" s="1"/>
  <c r="L8" i="28"/>
  <c r="L76" i="28"/>
  <c r="M76" i="28" s="1"/>
  <c r="L183" i="21"/>
  <c r="L225" i="21"/>
  <c r="L243" i="21"/>
  <c r="AY69" i="24"/>
  <c r="AY41" i="24"/>
  <c r="S181" i="23"/>
  <c r="N181" i="23"/>
  <c r="P181" i="23"/>
  <c r="Q181" i="23" s="1"/>
  <c r="N197" i="23"/>
  <c r="S197" i="23"/>
  <c r="S235" i="23"/>
  <c r="N235" i="23"/>
  <c r="K201" i="28"/>
  <c r="J200" i="28"/>
  <c r="M8" i="26"/>
  <c r="L198" i="21"/>
  <c r="AW85" i="24"/>
  <c r="AQ366" i="2"/>
  <c r="T183" i="26" s="1"/>
  <c r="Z366" i="2"/>
  <c r="K98" i="28"/>
  <c r="J97" i="28"/>
  <c r="K97" i="28" s="1"/>
  <c r="L166" i="28"/>
  <c r="M166" i="28" s="1"/>
  <c r="P231" i="23"/>
  <c r="Q231" i="23" s="1"/>
  <c r="T205" i="23" l="1"/>
  <c r="P264" i="23"/>
  <c r="Q264" i="23" s="1"/>
  <c r="R246" i="23"/>
  <c r="K363" i="32"/>
  <c r="F290" i="32"/>
  <c r="K348" i="32"/>
  <c r="O376" i="26"/>
  <c r="N376" i="26" s="1"/>
  <c r="T267" i="23"/>
  <c r="T199" i="23"/>
  <c r="O335" i="30"/>
  <c r="N335" i="30" s="1"/>
  <c r="R270" i="23"/>
  <c r="P270" i="23" s="1"/>
  <c r="Q270" i="23" s="1"/>
  <c r="P208" i="23"/>
  <c r="Q208" i="23" s="1"/>
  <c r="O375" i="30"/>
  <c r="N375" i="30" s="1"/>
  <c r="T247" i="23"/>
  <c r="T134" i="23"/>
  <c r="L275" i="32"/>
  <c r="L274" i="32" s="1"/>
  <c r="T98" i="23"/>
  <c r="O376" i="30"/>
  <c r="N376" i="30" s="1"/>
  <c r="T260" i="23"/>
  <c r="R219" i="23"/>
  <c r="P219" i="23" s="1"/>
  <c r="Q219" i="23" s="1"/>
  <c r="O335" i="32"/>
  <c r="N335" i="32" s="1"/>
  <c r="O342" i="26"/>
  <c r="N342" i="26" s="1"/>
  <c r="O336" i="26"/>
  <c r="N336" i="26" s="1"/>
  <c r="O321" i="32"/>
  <c r="N321" i="32" s="1"/>
  <c r="N317" i="32" s="1"/>
  <c r="N313" i="32" s="1"/>
  <c r="N291" i="32"/>
  <c r="R218" i="23"/>
  <c r="P218" i="23" s="1"/>
  <c r="Q218" i="23" s="1"/>
  <c r="P193" i="23"/>
  <c r="Q193" i="23" s="1"/>
  <c r="T216" i="23"/>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K353" i="32"/>
  <c r="K291" i="32"/>
  <c r="W95" i="24"/>
  <c r="L375" i="32"/>
  <c r="L371" i="26"/>
  <c r="L368" i="26" s="1"/>
  <c r="L371" i="32"/>
  <c r="L368" i="32" s="1"/>
  <c r="F328" i="32"/>
  <c r="F327" i="32" s="1"/>
  <c r="W73" i="24"/>
  <c r="L336" i="32"/>
  <c r="K388" i="32"/>
  <c r="K387" i="32" s="1"/>
  <c r="K386" i="32" s="1"/>
  <c r="K385" i="32" s="1"/>
  <c r="K384" i="32" s="1"/>
  <c r="K383" i="32" s="1"/>
  <c r="L302" i="30"/>
  <c r="L302" i="32"/>
  <c r="L300" i="32" s="1"/>
  <c r="L290" i="32" s="1"/>
  <c r="L321" i="26"/>
  <c r="L321" i="32"/>
  <c r="L317" i="32" s="1"/>
  <c r="L313" i="32" s="1"/>
  <c r="L376" i="30"/>
  <c r="L376" i="32"/>
  <c r="L366" i="26"/>
  <c r="L366" i="32"/>
  <c r="L363" i="32" s="1"/>
  <c r="W74" i="24"/>
  <c r="L334" i="32"/>
  <c r="L325" i="26"/>
  <c r="L323" i="26" s="1"/>
  <c r="L325" i="32"/>
  <c r="L323" i="32" s="1"/>
  <c r="F312" i="32"/>
  <c r="F289" i="32" s="1"/>
  <c r="F273" i="32" s="1"/>
  <c r="F272" i="32" s="1"/>
  <c r="J276" i="32"/>
  <c r="K277" i="32"/>
  <c r="M277" i="32"/>
  <c r="M276" i="32" s="1"/>
  <c r="M275" i="32" s="1"/>
  <c r="M274" i="32" s="1"/>
  <c r="M273" i="32" s="1"/>
  <c r="M272" i="32" s="1"/>
  <c r="J289" i="32"/>
  <c r="N363" i="32"/>
  <c r="T237" i="23"/>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182" i="23"/>
  <c r="Q182" i="23" s="1"/>
  <c r="P306" i="23"/>
  <c r="Q306" i="23" s="1"/>
  <c r="T178" i="23"/>
  <c r="T200"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T189" i="23"/>
  <c r="P298" i="23"/>
  <c r="Q298" i="23" s="1"/>
  <c r="AA430" i="2"/>
  <c r="T68" i="23"/>
  <c r="T51" i="23"/>
  <c r="P73" i="23"/>
  <c r="Q73" i="23" s="1"/>
  <c r="T54" i="23"/>
  <c r="T182"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283"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P223" i="23"/>
  <c r="Q223" i="23" s="1"/>
  <c r="N345" i="26"/>
  <c r="N300" i="26"/>
  <c r="N331" i="26"/>
  <c r="N341" i="30"/>
  <c r="N300" i="30"/>
  <c r="N341" i="26"/>
  <c r="O251" i="23"/>
  <c r="AA251" i="2"/>
  <c r="P149" i="23"/>
  <c r="Q149" i="23" s="1"/>
  <c r="O213" i="23"/>
  <c r="AA213" i="2"/>
  <c r="N373" i="26"/>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N345" i="30" s="1"/>
  <c r="L366" i="30"/>
  <c r="L363" i="30" s="1"/>
  <c r="M176" i="23"/>
  <c r="AC176" i="2"/>
  <c r="M246" i="23"/>
  <c r="M238" i="23"/>
  <c r="W93" i="24"/>
  <c r="W65" i="24"/>
  <c r="AA216" i="2"/>
  <c r="L375" i="30"/>
  <c r="L373" i="30" s="1"/>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L317" i="26"/>
  <c r="L313" i="26" s="1"/>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L300" i="30"/>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L363" i="26"/>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N277" i="26" s="1"/>
  <c r="N276" i="26" s="1"/>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P246" i="23"/>
  <c r="Q246" i="23" s="1"/>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246" i="23" l="1"/>
  <c r="T219" i="23"/>
  <c r="T270" i="23"/>
  <c r="N373" i="30"/>
  <c r="L328" i="32"/>
  <c r="L327" i="32" s="1"/>
  <c r="T218" i="23"/>
  <c r="T175" i="23"/>
  <c r="L373" i="32"/>
  <c r="J275" i="32"/>
  <c r="K276" i="32"/>
  <c r="K328" i="32"/>
  <c r="K289" i="32"/>
  <c r="K312" i="32"/>
  <c r="N290" i="32"/>
  <c r="N328" i="32"/>
  <c r="N327" i="32" s="1"/>
  <c r="N312" i="32" s="1"/>
  <c r="T159" i="23"/>
  <c r="T202" i="23"/>
  <c r="T229" i="23"/>
  <c r="T167" i="23"/>
  <c r="T251" i="23"/>
  <c r="P259" i="23"/>
  <c r="Q259" i="23" s="1"/>
  <c r="T212" i="23"/>
  <c r="N328" i="30"/>
  <c r="N327" i="30" s="1"/>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N275" i="26"/>
  <c r="N274" i="26" s="1"/>
  <c r="K291" i="26"/>
  <c r="K291" i="30"/>
  <c r="F290" i="30"/>
  <c r="F312" i="26"/>
  <c r="F289" i="26" s="1"/>
  <c r="F273" i="26" s="1"/>
  <c r="F272" i="26" s="1"/>
  <c r="K328" i="26"/>
  <c r="F312" i="30"/>
  <c r="K328" i="30"/>
  <c r="J289" i="30"/>
  <c r="L328" i="26"/>
  <c r="L327" i="26" s="1"/>
  <c r="L328" i="30"/>
  <c r="L327" i="30" s="1"/>
  <c r="L312"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2" l="1"/>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L289" i="30" s="1"/>
  <c r="L273" i="30" s="1"/>
  <c r="L272" i="30" s="1"/>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J273" i="32" l="1"/>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<sst xmlns="http://schemas.openxmlformats.org/spreadsheetml/2006/main" count="18579" uniqueCount="3845">
  <si>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</si>
  <si>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</si>
  <si>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</si>
  <si>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</si>
  <si>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</si>
  <si>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</si>
  <si>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</si>
  <si>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</si>
  <si>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</si>
  <si>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</si>
  <si>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</si>
  <si>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</si>
  <si>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</si>
  <si>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</si>
  <si>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</si>
  <si>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</si>
  <si>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</si>
  <si>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</si>
  <si>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</si>
  <si>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</si>
  <si>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</si>
  <si>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</si>
  <si>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</si>
  <si>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</si>
  <si>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</si>
  <si>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</si>
  <si>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</si>
  <si>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</si>
  <si>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</si>
  <si>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</si>
  <si>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</si>
  <si>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</si>
  <si>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</si>
  <si>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</si>
  <si>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</si>
  <si>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</si>
  <si>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</si>
  <si>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</si>
  <si>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</si>
  <si>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</si>
  <si>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</si>
  <si>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</si>
  <si>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</si>
  <si>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</si>
  <si>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</si>
  <si>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</si>
  <si>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</si>
  <si>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</si>
  <si>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</si>
  <si>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</si>
  <si>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</si>
  <si>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</si>
  <si>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</si>
  <si>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</si>
  <si>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</si>
  <si>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</si>
  <si>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</si>
  <si>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</si>
  <si>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</si>
  <si>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</si>
  <si>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</si>
  <si>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</si>
  <si>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</si>
  <si>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</si>
  <si>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</si>
  <si>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</si>
  <si>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</si>
  <si>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</si>
  <si>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</si>
  <si>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</si>
  <si>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</si>
  <si>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</si>
  <si>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</si>
  <si>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</si>
  <si>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</si>
  <si>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</si>
  <si>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</si>
  <si>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</si>
  <si>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</si>
  <si>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</si>
  <si>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</si>
  <si>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</si>
  <si>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</si>
  <si>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</si>
  <si>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</si>
  <si>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</si>
  <si>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</si>
  <si>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</si>
  <si>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</si>
  <si>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</si>
  <si>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</si>
  <si>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</si>
  <si>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</si>
  <si>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</si>
  <si>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</si>
  <si>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</si>
  <si>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</si>
  <si>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</si>
  <si>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</si>
  <si>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</si>
  <si>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</si>
  <si>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</si>
  <si>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</si>
  <si>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</si>
  <si>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</si>
  <si>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</si>
  <si>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</si>
  <si>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</si>
  <si>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</si>
  <si>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</si>
  <si>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</si>
  <si>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</si>
  <si>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</si>
  <si>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</si>
  <si>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</si>
  <si>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</si>
  <si>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</si>
  <si>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</si>
  <si>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</si>
  <si>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</si>
  <si>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</si>
  <si>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</si>
  <si>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</si>
  <si>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</si>
  <si>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</si>
  <si>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</si>
  <si>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</si>
  <si>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</si>
  <si>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</si>
  <si>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</si>
  <si>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</si>
  <si>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</si>
  <si>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</si>
  <si>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</si>
  <si>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</si>
  <si>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</si>
  <si>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</si>
  <si>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</si>
  <si>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</si>
  <si>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</si>
  <si>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</si>
  <si>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</si>
  <si>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</si>
  <si>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</si>
  <si>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</si>
  <si>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</si>
  <si>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</si>
  <si>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</si>
  <si>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</si>
  <si>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</si>
  <si>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</si>
  <si>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</si>
  <si>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</si>
  <si>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</si>
  <si>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</si>
  <si>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</si>
  <si>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</si>
  <si>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</si>
  <si>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</si>
  <si>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</si>
  <si>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</si>
  <si>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</si>
  <si>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</si>
  <si>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</si>
  <si>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</si>
  <si>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</si>
  <si>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</si>
  <si>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</si>
  <si>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</si>
  <si>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</si>
  <si>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</si>
  <si>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</si>
  <si>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</si>
  <si>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</si>
  <si>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</si>
  <si>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</si>
  <si>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</si>
  <si>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</si>
  <si>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</si>
  <si>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</si>
  <si>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</si>
  <si>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</si>
  <si>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</si>
  <si>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</si>
  <si>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</si>
  <si>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</si>
  <si>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</si>
  <si>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</si>
  <si>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</si>
  <si>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</si>
  <si>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</si>
  <si>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</si>
  <si>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</si>
  <si>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</si>
  <si>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</si>
  <si>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</si>
  <si>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</si>
  <si>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</si>
  <si>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</si>
  <si>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</si>
  <si>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</si>
  <si>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</si>
  <si>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</si>
  <si>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</si>
  <si>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</si>
  <si>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</si>
  <si>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</si>
  <si>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</si>
  <si>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</si>
  <si>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</si>
  <si>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</si>
  <si>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</si>
  <si>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</si>
  <si>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</si>
  <si>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</si>
  <si>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</si>
  <si>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</si>
  <si>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</si>
  <si>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</si>
  <si>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</si>
  <si>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</si>
  <si>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</si>
  <si>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</si>
  <si>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</si>
  <si>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</si>
  <si>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</si>
  <si>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</si>
  <si>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</si>
  <si>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</si>
  <si>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</si>
  <si>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</si>
  <si>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</si>
  <si>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</si>
  <si>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</si>
  <si>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</si>
  <si>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</si>
  <si>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</si>
  <si>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</si>
  <si>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</si>
  <si>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</si>
  <si>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</si>
  <si>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</si>
  <si>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</si>
  <si>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</si>
  <si>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</si>
  <si>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</si>
  <si>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</si>
  <si>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</si>
  <si>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</si>
  <si>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</si>
  <si>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</si>
  <si>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</si>
  <si>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</si>
  <si>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</si>
  <si>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</si>
  <si>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</si>
  <si>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</si>
  <si>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</si>
  <si>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</si>
  <si>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</si>
  <si>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</si>
  <si>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</si>
  <si>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</si>
  <si>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</si>
  <si>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</si>
  <si>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</si>
  <si>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</si>
  <si>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</si>
  <si>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</si>
  <si>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</si>
  <si>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</si>
  <si>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</si>
  <si>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</si>
  <si>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</si>
  <si>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</si>
  <si>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</si>
  <si>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</si>
  <si>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</si>
  <si>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</si>
  <si>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</si>
  <si>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</si>
  <si>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</si>
  <si>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</si>
  <si>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</si>
  <si>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</si>
  <si>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</si>
  <si>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</si>
  <si>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</si>
  <si>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</si>
  <si>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</si>
  <si>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</si>
  <si>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</si>
  <si>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</si>
  <si>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</si>
  <si>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</si>
  <si>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</si>
  <si>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</si>
  <si>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</si>
  <si>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</si>
  <si>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</si>
  <si>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</si>
  <si>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</si>
  <si>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</si>
  <si>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</si>
  <si>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</si>
  <si>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</si>
  <si>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</si>
  <si>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</si>
  <si>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</si>
  <si>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</si>
  <si>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</si>
  <si>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</si>
  <si>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</si>
  <si>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</si>
  <si>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</si>
  <si>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</si>
  <si>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</si>
  <si>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</si>
  <si>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</si>
  <si>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</si>
  <si>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</si>
  <si>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</si>
  <si>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</si>
  <si>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</si>
  <si>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</si>
  <si>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</si>
  <si>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</si>
  <si>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</si>
  <si>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</si>
  <si>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</si>
  <si>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</si>
  <si>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</si>
  <si>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</si>
  <si>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</si>
  <si>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</si>
  <si>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</si>
  <si>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</si>
  <si>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</si>
  <si>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</si>
  <si>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</si>
  <si>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</si>
  <si>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</si>
  <si>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</si>
  <si>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</si>
  <si>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</si>
  <si>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</si>
  <si>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</si>
  <si>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</si>
  <si>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</si>
  <si>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</si>
  <si>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</si>
  <si>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</si>
  <si>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</si>
  <si>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</si>
  <si>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</si>
  <si>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</si>
  <si>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</si>
  <si>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</si>
  <si>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</si>
  <si>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</si>
  <si>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</si>
  <si>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</si>
  <si>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</si>
  <si>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</si>
  <si>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</si>
  <si>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</si>
  <si>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</si>
  <si>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</si>
  <si>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</si>
  <si>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</si>
  <si>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</si>
  <si>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</si>
  <si>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</si>
  <si>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</si>
  <si>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</si>
  <si>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</si>
  <si>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</si>
  <si>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</si>
  <si>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</si>
  <si>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</si>
  <si>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</si>
  <si>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</si>
  <si>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</si>
  <si>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</si>
  <si>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</si>
  <si>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</si>
  <si>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</si>
  <si>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</si>
  <si>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</si>
  <si>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</si>
  <si>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</si>
  <si>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</si>
  <si>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</si>
  <si>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</si>
  <si>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</si>
  <si>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</si>
  <si>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</si>
  <si>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</si>
  <si>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</si>
  <si>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</si>
  <si>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</si>
  <si>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</si>
  <si>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</si>
  <si>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</si>
  <si>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</si>
  <si>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</si>
  <si>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</si>
  <si>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</si>
  <si>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</si>
  <si>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</si>
  <si>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</si>
  <si>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</si>
  <si>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</si>
  <si>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</si>
  <si>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</si>
  <si>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</si>
  <si>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</si>
  <si>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</si>
  <si>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</si>
  <si>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</si>
  <si>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</si>
  <si>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</si>
  <si>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</si>
  <si>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</si>
  <si>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</si>
  <si>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</si>
  <si>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</si>
  <si>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</si>
  <si>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</si>
  <si>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</si>
  <si>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</si>
  <si>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</si>
  <si>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</si>
  <si>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</si>
  <si>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</si>
  <si>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</si>
  <si>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</si>
  <si>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</si>
  <si>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</si>
  <si>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</si>
  <si>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</si>
  <si>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</si>
  <si>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</si>
  <si>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</si>
  <si>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</si>
  <si>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</si>
  <si>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</si>
  <si>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</si>
  <si>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</si>
  <si>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</si>
  <si>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</si>
  <si>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</si>
  <si>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</si>
  <si>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</si>
  <si>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</si>
  <si>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</si>
  <si>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</si>
  <si>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</si>
  <si>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</si>
  <si>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</si>
  <si>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</si>
  <si>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</si>
  <si>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</si>
  <si>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</si>
  <si>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</si>
  <si>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</si>
  <si>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</si>
  <si>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</si>
  <si>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</si>
  <si>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</si>
  <si>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</si>
  <si>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</si>
  <si>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</si>
  <si>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</si>
  <si>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</si>
  <si>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</si>
  <si>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</si>
  <si>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</si>
  <si>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</si>
  <si>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</si>
  <si>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</si>
  <si>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</si>
  <si>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</si>
  <si>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</si>
  <si>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</si>
  <si>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</si>
  <si>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</si>
  <si>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</si>
  <si>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</si>
  <si>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</si>
  <si>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</si>
  <si>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</si>
  <si>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</si>
  <si>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</si>
  <si>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</si>
  <si>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</si>
  <si>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</si>
  <si>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</si>
  <si>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</si>
  <si>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</si>
  <si>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</si>
  <si>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</si>
  <si>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</si>
  <si>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</si>
  <si>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</si>
  <si>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</si>
  <si>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</si>
  <si>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</si>
  <si>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</si>
  <si>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</si>
  <si>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</si>
  <si>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</si>
  <si>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</si>
  <si>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</si>
  <si>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</si>
  <si>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</si>
  <si>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</si>
  <si>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</si>
  <si>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</si>
  <si>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</si>
  <si>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</si>
  <si>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</si>
  <si>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</si>
  <si>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</si>
  <si>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</si>
  <si>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</si>
  <si>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</si>
  <si>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</si>
  <si>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</si>
  <si>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</si>
  <si>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</si>
  <si>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</si>
  <si>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</si>
  <si>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</si>
  <si>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</si>
  <si>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</si>
  <si>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</si>
  <si>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</si>
  <si>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</si>
  <si>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</si>
  <si>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</si>
  <si>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</si>
  <si>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</si>
  <si>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</si>
  <si>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</si>
  <si>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</si>
  <si>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</si>
  <si>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</si>
  <si>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</si>
  <si>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</si>
  <si>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</si>
  <si>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</si>
  <si>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</si>
  <si>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</si>
  <si>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</si>
  <si>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</si>
  <si>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</si>
  <si>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</si>
  <si>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</si>
  <si>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</si>
  <si>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</si>
  <si>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</si>
  <si>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</si>
  <si>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</si>
  <si>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</si>
  <si>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</si>
  <si>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</si>
  <si>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</si>
  <si>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</si>
  <si>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</si>
  <si>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</si>
  <si>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</si>
  <si>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</si>
  <si>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</si>
  <si>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</si>
  <si>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</si>
  <si>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</si>
  <si>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</si>
  <si>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</si>
  <si>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</si>
  <si>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</si>
  <si>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</si>
  <si>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</si>
  <si>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</si>
  <si>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</si>
  <si>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</si>
  <si>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</si>
  <si>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</si>
  <si>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</si>
  <si>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</si>
  <si>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</si>
  <si>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</si>
  <si>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</si>
  <si>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</si>
  <si>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</si>
  <si>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</si>
  <si>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</si>
  <si>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</si>
  <si>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</si>
  <si>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</si>
  <si>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</si>
  <si>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</si>
  <si>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</si>
  <si>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</si>
  <si>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</si>
  <si>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</si>
  <si>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</si>
  <si>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</si>
  <si>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</si>
  <si>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</si>
  <si>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</si>
  <si>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</si>
  <si>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</si>
  <si>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</si>
  <si>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</si>
  <si>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</si>
  <si>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</si>
  <si>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</si>
  <si>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</si>
  <si>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</si>
  <si>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</si>
  <si>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</si>
  <si>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</si>
  <si>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</si>
  <si>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</si>
  <si>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</si>
  <si>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</si>
  <si>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</si>
  <si>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</si>
  <si>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</si>
  <si>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</si>
  <si>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</si>
  <si>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</si>
  <si>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</si>
  <si>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</si>
  <si>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</si>
  <si>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</si>
  <si>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</si>
  <si>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</si>
  <si>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</si>
  <si>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</si>
  <si>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</si>
  <si>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</si>
  <si>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</si>
  <si>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</si>
  <si>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</si>
  <si>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</si>
  <si>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</si>
  <si>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</si>
  <si>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</si>
  <si>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</si>
  <si>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</si>
  <si>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</si>
  <si>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</si>
  <si>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</si>
  <si>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</si>
  <si>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</si>
  <si>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</si>
  <si>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</si>
  <si>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</si>
  <si>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</si>
  <si>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</si>
  <si>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</si>
  <si>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</si>
  <si>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</si>
  <si>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</si>
  <si>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</si>
  <si>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</si>
  <si>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</si>
  <si>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</si>
  <si>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</si>
  <si>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</si>
  <si>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</si>
  <si>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</si>
  <si>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</si>
  <si>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</si>
  <si>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</si>
  <si>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</si>
  <si>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</si>
  <si>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</si>
  <si>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</si>
  <si>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</si>
  <si>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</si>
  <si>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</si>
  <si>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</si>
  <si>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</si>
  <si>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</si>
  <si>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</si>
  <si>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</si>
  <si>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</si>
  <si>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</si>
  <si>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</si>
  <si>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</si>
  <si>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</si>
  <si>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</si>
  <si>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</si>
  <si>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</si>
  <si>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</si>
  <si>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</si>
  <si>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</si>
  <si>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</si>
  <si>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</si>
  <si>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</si>
  <si>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</si>
  <si>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</si>
  <si>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</si>
  <si>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</si>
  <si>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</si>
  <si>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</si>
  <si>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</si>
  <si>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</si>
  <si>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</si>
  <si>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</si>
  <si>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</si>
  <si>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</si>
  <si>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</si>
  <si>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</si>
  <si>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</si>
  <si>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</si>
  <si>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</si>
  <si>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</si>
  <si>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</si>
  <si>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</si>
  <si>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</si>
  <si>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</si>
  <si>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</si>
  <si>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</si>
  <si>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</si>
  <si>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</si>
  <si>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</si>
  <si>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</si>
  <si>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</si>
  <si>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</si>
  <si>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</si>
  <si>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</si>
  <si>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</si>
  <si>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</si>
  <si>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</si>
  <si>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</si>
  <si>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</si>
  <si>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</si>
  <si>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</si>
  <si>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</si>
  <si>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</si>
  <si>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</si>
  <si>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</si>
  <si>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</si>
  <si>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</si>
  <si>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</si>
  <si>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</si>
  <si>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</si>
  <si>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</si>
  <si>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</si>
  <si>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</si>
  <si>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</si>
  <si>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</si>
  <si>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</si>
  <si>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</si>
  <si>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</si>
  <si>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</si>
  <si>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</si>
  <si>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</si>
  <si>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</si>
  <si>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</si>
  <si>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</si>
  <si>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</si>
  <si>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</si>
  <si>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</si>
  <si>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</si>
  <si>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</si>
  <si>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</si>
  <si>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</si>
  <si>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</si>
  <si>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</si>
  <si>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</si>
  <si>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</si>
  <si>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</si>
  <si>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</si>
  <si>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</si>
  <si>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</si>
  <si>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</si>
  <si>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</si>
  <si>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</si>
  <si>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</si>
  <si>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</si>
  <si>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</si>
  <si>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</si>
  <si>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</si>
  <si>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</si>
  <si>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</si>
  <si>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</si>
  <si>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</si>
  <si>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</si>
  <si>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</si>
  <si>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</si>
  <si>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</si>
  <si>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</si>
  <si>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</si>
  <si>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</si>
  <si>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</si>
  <si>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</si>
  <si>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</si>
  <si>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</si>
  <si>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</si>
  <si>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</si>
  <si>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</si>
  <si>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</si>
  <si>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</si>
  <si>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</si>
  <si>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</si>
  <si>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</si>
  <si>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</si>
  <si>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</si>
  <si>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</si>
  <si>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</si>
  <si>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</si>
  <si>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</si>
  <si>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</si>
  <si>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</si>
  <si>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</si>
  <si>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</si>
  <si>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</si>
  <si>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</si>
  <si>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</si>
  <si>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</si>
  <si>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</si>
  <si>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</si>
  <si>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</si>
  <si>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</si>
  <si>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</si>
  <si>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</si>
  <si>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</si>
  <si>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</si>
  <si>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</si>
  <si>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</si>
  <si>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</si>
  <si>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</si>
  <si>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</si>
  <si>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</si>
  <si>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</si>
  <si>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</si>
  <si>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</si>
  <si>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</si>
  <si>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</si>
  <si>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</si>
  <si>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</si>
  <si>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</si>
  <si>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</si>
  <si>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</si>
  <si>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</si>
  <si>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</si>
  <si>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</si>
  <si>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</si>
  <si>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</si>
  <si>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</si>
  <si>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</si>
  <si>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</si>
  <si>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</si>
  <si>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</si>
  <si>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</si>
  <si>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</si>
  <si>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</si>
  <si>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</si>
  <si>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</si>
  <si>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</si>
  <si>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</si>
  <si>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</si>
  <si>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</si>
  <si>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</si>
  <si>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</si>
  <si>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</si>
  <si>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</si>
  <si>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</si>
  <si>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</si>
  <si>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</si>
  <si>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</si>
  <si>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</si>
  <si>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</si>
  <si>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</si>
  <si>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</si>
  <si>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</si>
  <si>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</si>
  <si>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</si>
  <si>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</si>
  <si>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</si>
  <si>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</si>
  <si>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</si>
  <si>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</si>
  <si>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</si>
  <si>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</si>
  <si>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</si>
  <si>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</si>
  <si>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</si>
  <si>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</si>
  <si>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</si>
  <si>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</si>
  <si>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</si>
  <si>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</si>
  <si>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</si>
  <si>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</si>
  <si>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</si>
  <si>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</si>
  <si>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</si>
  <si>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</si>
  <si>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</si>
  <si>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</si>
  <si>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</si>
  <si>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</si>
  <si>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</si>
  <si>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</si>
  <si>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</si>
  <si>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</si>
  <si>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</si>
  <si>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</si>
  <si>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</si>
  <si>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</si>
  <si>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</si>
  <si>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</si>
  <si>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</si>
  <si>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</si>
  <si>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</si>
  <si>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</si>
  <si>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</si>
  <si>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</si>
  <si>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</si>
  <si>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</si>
  <si>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</si>
  <si>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</si>
  <si>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</si>
  <si>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</si>
  <si>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</si>
  <si>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</si>
  <si>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</si>
  <si>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</si>
  <si>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</si>
  <si>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</si>
  <si>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</si>
  <si>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</si>
  <si>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</si>
  <si>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</si>
  <si>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</si>
  <si>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</si>
  <si>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</si>
  <si>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</si>
  <si>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</si>
  <si>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</si>
  <si>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</si>
  <si>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</si>
  <si>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</si>
  <si>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</si>
  <si>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</si>
  <si>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</si>
  <si>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</si>
  <si>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</si>
  <si>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</si>
  <si>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</si>
  <si>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</si>
  <si>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</si>
  <si>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</si>
  <si>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</si>
  <si>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</si>
  <si>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</si>
  <si>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</si>
  <si>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</si>
  <si>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</si>
  <si>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</si>
  <si>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</si>
  <si>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</si>
  <si>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</si>
  <si>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</si>
  <si>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</si>
  <si>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</si>
  <si>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</si>
  <si>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</si>
  <si>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</si>
  <si>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</si>
  <si>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</si>
  <si>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</si>
  <si>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</si>
  <si>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</si>
  <si>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</si>
  <si>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</si>
  <si>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</si>
  <si>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</si>
  <si>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</si>
  <si>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</si>
  <si>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</si>
  <si>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</si>
  <si>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</si>
  <si>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</si>
  <si>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</si>
  <si>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</si>
  <si>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</si>
  <si>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</si>
  <si>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</si>
  <si>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</si>
  <si>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</si>
  <si>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</si>
  <si>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</si>
  <si>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</si>
  <si>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</si>
  <si>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</si>
  <si>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</si>
  <si>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</si>
  <si>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</si>
  <si>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</si>
  <si>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</si>
  <si>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</si>
  <si>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</si>
  <si>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</si>
  <si>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</si>
  <si>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</si>
  <si>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</si>
  <si>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</si>
  <si>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</si>
  <si>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</si>
  <si>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</si>
  <si>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</si>
  <si>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</si>
  <si>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</si>
  <si>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</si>
  <si>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</si>
  <si>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</si>
  <si>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</si>
  <si>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</si>
  <si>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</si>
  <si>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</si>
  <si>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</si>
  <si>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</si>
  <si>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</si>
  <si>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</si>
  <si>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</si>
  <si>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</si>
  <si>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</si>
  <si>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</si>
  <si>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</si>
  <si>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</si>
  <si>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</si>
  <si>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</si>
  <si>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</si>
  <si>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</si>
  <si>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</si>
  <si>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</si>
  <si>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</si>
  <si>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</si>
  <si>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</si>
  <si>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</si>
  <si>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</si>
  <si>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</si>
  <si>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</si>
  <si>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</si>
  <si>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</si>
  <si>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</si>
  <si>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</si>
  <si>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</si>
  <si>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</si>
  <si>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</si>
  <si>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</si>
  <si>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</si>
  <si>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</si>
  <si>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</si>
  <si>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</si>
  <si>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</si>
  <si>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</si>
  <si>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</si>
  <si>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</si>
  <si>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</si>
  <si>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</si>
  <si>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</si>
  <si>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</si>
  <si>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</si>
  <si>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</si>
  <si>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</si>
  <si>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</si>
  <si>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</si>
  <si>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</si>
  <si>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</si>
  <si>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</si>
  <si>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</si>
  <si>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</si>
  <si>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</si>
  <si>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</si>
  <si>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</si>
  <si>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</si>
  <si>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</si>
  <si>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</si>
  <si>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</si>
  <si>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</si>
  <si>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</si>
  <si>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</si>
  <si>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</si>
  <si>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</si>
  <si>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</si>
  <si>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</si>
  <si>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</si>
  <si>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</si>
  <si>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</si>
  <si>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</si>
  <si>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</si>
  <si>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</si>
  <si>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</si>
  <si>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</si>
  <si>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</si>
  <si>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</si>
  <si>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</si>
  <si>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</si>
  <si>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</si>
  <si>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</si>
  <si>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</si>
  <si>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</si>
  <si>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</si>
  <si>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</si>
  <si>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</si>
  <si>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</si>
  <si>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</si>
  <si>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</si>
  <si>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</si>
  <si>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</si>
  <si>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</si>
  <si>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</si>
  <si>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</si>
  <si>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</si>
  <si>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</si>
  <si>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</si>
  <si>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</si>
  <si>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</si>
  <si>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</si>
  <si>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</si>
  <si>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</si>
  <si>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</si>
  <si>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</si>
  <si>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</si>
  <si>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</si>
  <si>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</si>
  <si>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</si>
  <si>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</si>
  <si>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</si>
  <si>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</si>
  <si>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</si>
  <si>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</si>
  <si>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</si>
  <si>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</si>
  <si>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</si>
  <si>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</si>
  <si>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</si>
  <si>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</si>
  <si>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</si>
  <si>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</si>
  <si>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</si>
  <si>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</si>
  <si>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</si>
  <si>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</si>
  <si>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</si>
  <si>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</si>
  <si>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</si>
  <si>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</si>
  <si>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</si>
  <si>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</si>
  <si>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</si>
  <si>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</si>
  <si>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</si>
  <si>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</si>
  <si>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</si>
  <si>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</si>
  <si>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</si>
  <si>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</si>
  <si>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</si>
  <si>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</si>
  <si>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</si>
  <si>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</si>
  <si>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</si>
  <si>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</si>
  <si>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</si>
  <si>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</si>
  <si>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</si>
  <si>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</si>
  <si>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</si>
  <si>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</si>
  <si>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</si>
  <si>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</si>
  <si>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</si>
  <si>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</si>
  <si>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</si>
  <si>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</si>
  <si>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</si>
  <si>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</si>
  <si>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</si>
  <si>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</si>
  <si>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</si>
  <si>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</si>
  <si>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</si>
  <si>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</si>
  <si>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</si>
  <si>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</si>
  <si>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</si>
  <si>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</si>
  <si>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</si>
  <si>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</si>
  <si>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</si>
  <si>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</si>
  <si>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</si>
  <si>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</si>
  <si>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</si>
  <si>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</si>
  <si>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</si>
  <si>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</si>
  <si>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</si>
  <si>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</si>
  <si>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</si>
  <si>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</si>
  <si>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</si>
  <si>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</si>
  <si>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</si>
  <si>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</si>
  <si>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</si>
  <si>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</si>
  <si>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</si>
  <si>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</si>
  <si>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</si>
  <si>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</si>
  <si>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</si>
  <si>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</si>
  <si>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</si>
  <si>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</si>
  <si>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</si>
  <si>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</si>
  <si>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</si>
  <si>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</si>
  <si>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</si>
  <si>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</si>
  <si>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</si>
  <si>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</si>
  <si>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</si>
  <si>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</si>
  <si>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</si>
  <si>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</si>
  <si>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</si>
  <si>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</si>
  <si>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</si>
  <si>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</si>
  <si>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</si>
  <si>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</si>
  <si>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</si>
  <si>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</si>
  <si>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</si>
  <si>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</si>
  <si>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</si>
  <si>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</si>
  <si>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</si>
  <si>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</si>
  <si>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</si>
  <si>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</si>
  <si>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</si>
  <si>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</si>
  <si>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</si>
  <si>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</si>
  <si>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</si>
  <si>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</si>
  <si>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</si>
  <si>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</si>
  <si>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</si>
  <si>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</si>
  <si>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</si>
  <si>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</si>
  <si>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</si>
  <si>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</si>
  <si>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</si>
  <si>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</si>
  <si>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</si>
  <si>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</si>
  <si>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</si>
  <si>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</si>
  <si>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</si>
  <si>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</si>
  <si>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</si>
  <si>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</si>
  <si>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</si>
  <si>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</si>
  <si>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</si>
  <si>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</si>
  <si>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</si>
  <si>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</si>
  <si>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</si>
  <si>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</si>
  <si>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</si>
  <si>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</si>
  <si>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</si>
  <si>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</si>
  <si>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</si>
  <si>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</si>
  <si>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</si>
  <si>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</si>
  <si>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</si>
  <si>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</si>
  <si>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</si>
  <si>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</si>
  <si>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</si>
  <si>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</si>
  <si>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</si>
  <si>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</si>
  <si>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</si>
  <si>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</si>
  <si>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</si>
  <si>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</si>
  <si>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</si>
  <si>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</si>
  <si>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</si>
  <si>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</si>
  <si>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</si>
  <si>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</si>
  <si>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</si>
  <si>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</si>
  <si>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</si>
  <si>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</si>
  <si>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</si>
  <si>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</si>
  <si>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</si>
  <si>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</si>
  <si>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</si>
  <si>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</si>
  <si>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</si>
  <si>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</si>
  <si>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</si>
  <si>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</si>
  <si>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</si>
  <si>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</si>
  <si>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</si>
  <si>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</si>
  <si>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</si>
  <si>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</si>
  <si>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</si>
  <si>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</si>
  <si>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</si>
  <si>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</si>
  <si>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</si>
  <si>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</si>
  <si>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</si>
  <si>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</si>
  <si>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</si>
  <si>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</si>
  <si>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</si>
  <si>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</si>
  <si>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</si>
  <si>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</si>
  <si>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</si>
  <si>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</si>
  <si>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</si>
  <si>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</si>
  <si>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</si>
  <si>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</si>
  <si>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</si>
  <si>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</si>
  <si>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</si>
  <si>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</si>
  <si>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</si>
  <si>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</si>
  <si>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</si>
  <si>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</si>
  <si>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</si>
  <si>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</si>
  <si>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</si>
  <si>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</si>
  <si>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</si>
  <si>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</si>
  <si>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</si>
  <si>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</si>
  <si>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</si>
  <si>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</si>
  <si>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</si>
  <si>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</si>
  <si>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</si>
  <si>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</si>
  <si>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</si>
  <si>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</si>
  <si>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</si>
  <si>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</si>
  <si>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</si>
  <si>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</si>
  <si>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</si>
  <si>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</si>
  <si>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</si>
  <si>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</si>
  <si>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</si>
  <si>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</si>
  <si>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</si>
  <si>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</si>
  <si>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</si>
  <si>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</si>
  <si>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</si>
  <si>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</si>
  <si>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</si>
  <si>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</si>
  <si>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</si>
  <si>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</si>
  <si>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</si>
  <si>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</si>
  <si>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</si>
  <si>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</si>
  <si>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</si>
  <si>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</si>
  <si>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</si>
  <si>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</si>
  <si>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</si>
  <si>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</si>
  <si>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</si>
  <si>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</si>
  <si>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</si>
  <si>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</si>
  <si>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</si>
  <si>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</si>
  <si>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</si>
  <si>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</si>
  <si>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</si>
  <si>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</si>
  <si>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</si>
  <si>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</si>
  <si>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</si>
  <si>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</si>
  <si>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</si>
  <si>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</si>
  <si>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</si>
  <si>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</si>
  <si>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</si>
  <si>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</si>
  <si>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</si>
  <si>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</si>
  <si>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</si>
  <si>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</si>
  <si>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</si>
  <si>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</si>
  <si>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</si>
  <si>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</si>
  <si>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</si>
  <si>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</si>
  <si>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</si>
  <si>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</si>
  <si>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</si>
  <si>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</si>
  <si>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</si>
  <si>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</si>
  <si>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</si>
  <si>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</si>
  <si>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</si>
  <si>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</si>
  <si>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</si>
  <si>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</si>
  <si>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</si>
  <si>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</si>
  <si>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</si>
  <si>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</si>
  <si>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</si>
  <si>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</si>
  <si>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</si>
  <si>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</si>
  <si>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</si>
  <si>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</si>
  <si>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</si>
  <si>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</si>
  <si>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</si>
  <si>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</si>
  <si>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</si>
  <si>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</si>
  <si>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</si>
  <si>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</si>
  <si>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</si>
  <si>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</si>
  <si>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</si>
  <si>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</si>
  <si>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</si>
  <si>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</si>
  <si>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</si>
  <si>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</si>
  <si>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</si>
  <si>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</si>
  <si>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</si>
  <si>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</si>
  <si>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</si>
  <si>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</si>
  <si>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</si>
  <si>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</si>
  <si>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</si>
  <si>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</si>
  <si>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</si>
  <si>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</si>
  <si>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</si>
  <si>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</si>
  <si>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</si>
  <si>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</si>
  <si>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</si>
  <si>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</si>
  <si>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</si>
  <si>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</si>
  <si>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</si>
  <si>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</si>
  <si>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</si>
  <si>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</si>
  <si>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</si>
  <si>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</si>
  <si>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</si>
  <si>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</si>
  <si>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</si>
  <si>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</si>
  <si>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</si>
  <si>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</si>
  <si>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</si>
  <si>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</si>
  <si>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</si>
  <si>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</si>
  <si>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</si>
  <si>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</si>
  <si>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</si>
  <si>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</si>
  <si>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</si>
  <si>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</si>
  <si>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</si>
  <si>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</si>
  <si>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</si>
  <si>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</si>
  <si>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</si>
  <si>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</si>
  <si>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</si>
  <si>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</si>
  <si>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</si>
  <si>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</si>
  <si>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</si>
  <si>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</si>
  <si>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</si>
  <si>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</si>
  <si>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</si>
  <si>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</si>
  <si>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</si>
  <si>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</si>
  <si>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</si>
  <si>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</si>
  <si>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</si>
  <si>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</si>
  <si>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</si>
  <si>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</si>
  <si>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</si>
  <si>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</si>
  <si>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</si>
  <si>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</si>
  <si>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</si>
  <si>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</si>
  <si>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</si>
  <si>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</si>
  <si>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</si>
  <si>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</si>
  <si>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</si>
  <si>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</si>
  <si>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</si>
  <si>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</si>
  <si>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</si>
  <si>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</si>
  <si>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</si>
  <si>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</si>
  <si>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</si>
  <si>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</si>
  <si>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</si>
  <si>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</si>
  <si>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</si>
  <si>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</si>
  <si>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</si>
  <si>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</si>
  <si>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</si>
  <si>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</si>
  <si>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</si>
  <si>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</si>
  <si>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</si>
  <si>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</si>
  <si>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</si>
  <si>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</si>
  <si>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</si>
  <si>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</si>
  <si>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</si>
  <si>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</si>
  <si>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</si>
  <si>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</si>
  <si>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</si>
  <si>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</si>
  <si>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</si>
  <si>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</si>
  <si>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</si>
  <si>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</si>
  <si>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</si>
  <si>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</si>
  <si>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</si>
  <si>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</si>
  <si>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</si>
  <si>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</si>
  <si>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</si>
  <si>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</si>
  <si>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</si>
  <si>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</si>
  <si>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</si>
  <si>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</si>
  <si>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</si>
  <si>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</si>
  <si>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</si>
  <si>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</si>
  <si>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</si>
  <si>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</si>
  <si>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</si>
  <si>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</si>
  <si>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</si>
  <si>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</si>
  <si>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</si>
  <si>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</si>
  <si>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</si>
  <si>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</si>
  <si>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</si>
  <si>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</si>
  <si>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</si>
  <si>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</si>
  <si>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</si>
  <si>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</si>
  <si>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</si>
  <si>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</si>
  <si>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</si>
  <si>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</si>
  <si>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</si>
  <si>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</si>
  <si>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</si>
  <si>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</si>
  <si>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</si>
  <si>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</si>
  <si>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</si>
  <si>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</si>
  <si>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</si>
  <si>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</si>
  <si>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</si>
  <si>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</si>
  <si>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</si>
  <si>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</si>
  <si>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</si>
  <si>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</si>
  <si>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</si>
  <si>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</si>
  <si>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</si>
  <si>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</si>
  <si>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</si>
  <si>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</si>
  <si>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</si>
  <si>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</si>
  <si>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</si>
  <si>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</si>
  <si>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</si>
  <si>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</si>
  <si>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</si>
  <si>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</si>
  <si>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</si>
  <si>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</si>
  <si>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</si>
  <si>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</si>
  <si>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</si>
  <si>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</si>
  <si>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</si>
  <si>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</si>
  <si>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</si>
  <si>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</si>
  <si>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</si>
  <si>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</si>
  <si>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</si>
  <si>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</si>
  <si>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</si>
  <si>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</si>
  <si>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</si>
  <si>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</si>
  <si>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</si>
  <si>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</si>
  <si>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</si>
  <si>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</si>
  <si>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</si>
  <si>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</si>
  <si>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</si>
  <si>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</si>
  <si>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</si>
  <si>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</si>
  <si>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</si>
  <si>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</si>
  <si>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</si>
  <si>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</si>
  <si>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</si>
  <si>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</si>
  <si>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</si>
  <si>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</si>
  <si>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</si>
  <si>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</si>
  <si>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</si>
  <si>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</si>
  <si>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</si>
  <si>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</si>
  <si>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</si>
  <si>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</si>
  <si>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</si>
  <si>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</si>
  <si>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</si>
  <si>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</si>
  <si>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</si>
  <si>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</si>
  <si>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</si>
  <si>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</si>
  <si>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</si>
  <si>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</si>
  <si>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</si>
  <si>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</si>
  <si>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</si>
  <si>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</si>
  <si>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</si>
  <si>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</si>
  <si>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</si>
  <si>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</si>
  <si>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</si>
  <si>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</si>
  <si>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</si>
  <si>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</si>
  <si>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</si>
  <si>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</si>
  <si>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</si>
  <si>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</si>
  <si>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</si>
  <si>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</si>
  <si>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</si>
  <si>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</si>
  <si>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</si>
  <si>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</si>
  <si>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</si>
  <si>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</si>
  <si>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</si>
  <si>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</si>
  <si>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</si>
  <si>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</si>
  <si>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</si>
  <si>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</si>
  <si>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</si>
  <si>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</si>
  <si>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</si>
  <si>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</si>
  <si>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</si>
  <si>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</si>
  <si>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</si>
  <si>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</si>
  <si>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</si>
  <si>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</si>
  <si>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</si>
  <si>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</si>
  <si>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</si>
  <si>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</si>
  <si>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</si>
  <si>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</si>
  <si>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</si>
  <si>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</si>
  <si>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</si>
  <si>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</si>
  <si>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</si>
  <si>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</si>
  <si>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</si>
  <si>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</si>
  <si>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</si>
  <si>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</si>
  <si>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</si>
  <si>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</si>
  <si>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</si>
  <si>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</si>
  <si>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</si>
  <si>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</si>
  <si>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</si>
  <si>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</si>
  <si>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</si>
  <si>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</si>
  <si>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</si>
  <si>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</si>
  <si>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</si>
  <si>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</si>
  <si>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</si>
  <si>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</si>
  <si>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</si>
  <si>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</si>
  <si>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</si>
  <si>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</si>
  <si>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</si>
  <si>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</si>
  <si>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</si>
  <si>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</si>
  <si>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</si>
  <si>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</si>
  <si>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</si>
  <si>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</si>
  <si>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</si>
  <si>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</si>
  <si>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</si>
  <si>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</si>
  <si>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</si>
  <si>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</si>
  <si>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</si>
  <si>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</si>
  <si>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</si>
  <si>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</si>
  <si>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</si>
  <si>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</si>
  <si>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</si>
  <si>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</si>
  <si>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</si>
  <si>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</si>
  <si>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</si>
  <si>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</si>
  <si>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</si>
  <si>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</si>
  <si>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</si>
  <si>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</si>
  <si>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</si>
  <si>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</si>
  <si>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</si>
  <si>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</si>
  <si>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</si>
  <si>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</si>
  <si>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</si>
  <si>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</si>
  <si>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</si>
  <si>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</si>
  <si>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</si>
  <si>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</si>
  <si>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</si>
  <si>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</si>
  <si>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</si>
  <si>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</si>
  <si>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</si>
  <si>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</si>
  <si>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</si>
  <si>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</si>
  <si>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</si>
  <si>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</si>
  <si>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</si>
  <si>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</si>
  <si>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</si>
  <si>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</si>
  <si>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</si>
  <si>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</si>
  <si>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</si>
  <si>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</si>
  <si>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</si>
  <si>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</si>
  <si>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</si>
  <si>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</si>
  <si>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</si>
  <si>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</si>
  <si>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</si>
  <si>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</si>
  <si>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</si>
  <si>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</si>
  <si>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</si>
  <si>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</si>
  <si>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</si>
  <si>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</si>
  <si>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</si>
  <si>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</si>
  <si>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</si>
  <si>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</si>
  <si>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</si>
  <si>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</si>
  <si>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</si>
  <si>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</si>
  <si>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</si>
  <si>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</si>
  <si>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</si>
  <si>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</si>
  <si>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</si>
  <si>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</si>
  <si>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</si>
  <si>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</si>
  <si>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</si>
  <si>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</si>
  <si>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</si>
  <si>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</si>
  <si>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</si>
  <si>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</si>
  <si>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</si>
  <si>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</si>
  <si>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</si>
  <si>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</si>
  <si>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</si>
  <si>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</si>
  <si>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</si>
  <si>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</si>
  <si>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</si>
  <si>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</si>
  <si>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</si>
  <si>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</si>
  <si>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</si>
  <si>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</si>
  <si>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</si>
  <si>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</si>
  <si>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</si>
  <si>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</si>
  <si>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</si>
  <si>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</si>
  <si>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</si>
  <si>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</si>
  <si>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</si>
  <si>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</si>
  <si>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</si>
  <si>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</si>
  <si>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</si>
  <si>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</si>
  <si>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</si>
  <si>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</si>
  <si>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</si>
  <si>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</si>
  <si>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</si>
  <si>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</si>
  <si>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</si>
  <si>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</si>
  <si>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</si>
  <si>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</si>
  <si>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</si>
  <si>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</si>
  <si>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</si>
  <si>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</si>
  <si>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</si>
  <si>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</si>
  <si>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</si>
  <si>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</si>
  <si>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</si>
  <si>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</si>
  <si>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</si>
  <si>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</si>
  <si>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</si>
  <si>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</si>
  <si>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</si>
  <si>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</si>
  <si>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</si>
  <si>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</si>
  <si>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</si>
  <si>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</si>
  <si>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</si>
  <si>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</si>
  <si>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</si>
  <si>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</si>
  <si>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</si>
  <si>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</si>
  <si>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</si>
  <si>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</si>
  <si>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</si>
  <si>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</si>
  <si>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</si>
  <si>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</si>
  <si>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</si>
  <si>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</si>
  <si>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</si>
  <si>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</si>
  <si>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</si>
  <si>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</si>
  <si>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</si>
  <si>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</si>
  <si>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</si>
  <si>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</si>
  <si>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</si>
  <si>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</si>
  <si>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</si>
  <si>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</si>
  <si>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</si>
  <si>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</si>
  <si>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</si>
  <si>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</si>
  <si>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</si>
  <si>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</si>
  <si>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</si>
  <si>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</si>
  <si>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</si>
  <si>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</si>
  <si>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</si>
  <si>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</si>
  <si>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</si>
  <si>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</si>
  <si>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</si>
  <si>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</si>
  <si>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</si>
  <si>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</si>
  <si>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</si>
  <si>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</si>
  <si>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</si>
  <si>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</si>
  <si>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</si>
  <si>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</si>
  <si>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</si>
  <si>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</si>
  <si>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</si>
  <si>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</si>
  <si>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</si>
  <si>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</si>
  <si>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</si>
  <si>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</si>
  <si>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</si>
  <si>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</si>
  <si>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</si>
  <si>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</si>
  <si>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</si>
  <si>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</si>
  <si>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</si>
  <si>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</si>
  <si>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</si>
  <si>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</si>
  <si>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</si>
  <si>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</si>
  <si>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</si>
  <si>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</si>
  <si>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</si>
  <si>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</si>
  <si>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</si>
  <si>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</si>
  <si>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</si>
  <si>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</si>
  <si>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</si>
  <si>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</si>
  <si>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</si>
  <si>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</si>
  <si>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</si>
  <si>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</si>
  <si>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</si>
  <si>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</si>
  <si>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</si>
  <si>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</si>
  <si>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</si>
  <si>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</si>
  <si>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</si>
  <si>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</si>
  <si>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</si>
  <si>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</si>
  <si>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</si>
  <si>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</si>
  <si>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</si>
  <si>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</si>
  <si>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</si>
  <si>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</si>
  <si>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</si>
  <si>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</si>
  <si>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</si>
  <si>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</si>
  <si>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</si>
  <si>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</si>
  <si>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</si>
  <si>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</si>
  <si>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</si>
  <si>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</si>
  <si>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</si>
  <si>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</si>
  <si>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</si>
  <si>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</si>
  <si>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</si>
  <si>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</si>
  <si>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</si>
  <si>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</si>
  <si>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</si>
  <si>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</si>
  <si>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</si>
  <si>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</si>
  <si>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</si>
  <si>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</si>
  <si>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</si>
  <si>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</si>
  <si>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</si>
  <si>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</si>
  <si>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</si>
  <si>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</si>
  <si>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</si>
  <si>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</si>
  <si>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</si>
  <si>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</si>
  <si>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</si>
  <si>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</si>
  <si>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</si>
  <si>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</si>
  <si>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</si>
  <si>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150302-0-2015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</si>
  <si>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</si>
  <si>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</si>
  <si>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</si>
  <si>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</si>
  <si>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</si>
  <si>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</si>
  <si>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</si>
  <si>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</si>
  <si>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</si>
  <si>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</si>
  <si>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</si>
  <si>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</si>
  <si>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</si>
  <si>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</si>
  <si>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</si>
  <si>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</si>
  <si>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</si>
  <si>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</si>
  <si>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</si>
  <si>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</si>
  <si>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</si>
  <si>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</si>
  <si>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</si>
  <si>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</si>
  <si>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</si>
  <si>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</si>
  <si>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</si>
  <si>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</si>
  <si>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</si>
  <si>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</si>
  <si>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</si>
  <si>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</si>
  <si>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</si>
  <si>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</si>
  <si>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</si>
  <si>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</si>
  <si>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</si>
  <si>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</si>
  <si>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</si>
  <si>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</si>
  <si>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</si>
  <si>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</si>
  <si>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</si>
  <si>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</si>
  <si>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</si>
  <si>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</si>
  <si>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</si>
  <si>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</si>
  <si>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</si>
  <si>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</si>
  <si>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</si>
  <si>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</si>
  <si>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</si>
  <si>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</si>
  <si>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</si>
  <si>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</si>
  <si>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</si>
  <si>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</si>
  <si>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</si>
  <si>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</si>
  <si>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</si>
  <si>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</si>
  <si>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</si>
  <si>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</si>
  <si>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</si>
  <si>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</si>
  <si>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</si>
  <si>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</si>
  <si>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</si>
  <si>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</si>
  <si>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</si>
  <si>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</si>
  <si>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</si>
  <si>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</si>
  <si>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</si>
  <si>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</si>
  <si>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</si>
  <si>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</si>
  <si>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</si>
  <si>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</si>
  <si>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</si>
  <si>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</si>
  <si>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</si>
  <si>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</si>
  <si>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</si>
  <si>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</si>
  <si>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</si>
  <si>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</si>
  <si>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</si>
  <si>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</si>
  <si>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</si>
  <si>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</si>
  <si>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</si>
  <si>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</si>
  <si>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</si>
  <si>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</si>
  <si>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</si>
  <si>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</si>
  <si>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</si>
  <si>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</si>
  <si>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</si>
  <si>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</si>
  <si>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</si>
  <si>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</si>
  <si>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</si>
  <si>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</si>
  <si>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</si>
  <si>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</si>
  <si>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</si>
  <si>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</si>
  <si>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</si>
  <si>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</si>
  <si>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</si>
  <si>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</si>
  <si>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</si>
  <si>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</si>
  <si>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</si>
  <si>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</si>
  <si>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</si>
  <si>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</si>
  <si>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</si>
  <si>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</si>
  <si>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</si>
  <si>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</si>
  <si>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</si>
  <si>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</si>
  <si>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</si>
  <si>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</si>
  <si>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</si>
  <si>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</si>
  <si>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</si>
  <si>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</si>
  <si>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</si>
  <si>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</si>
  <si>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</si>
  <si>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</si>
  <si>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</si>
  <si>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</si>
  <si>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</si>
  <si>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</si>
  <si>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</si>
  <si>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</si>
  <si>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</si>
  <si>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</si>
  <si>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</si>
  <si>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</si>
  <si>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</si>
  <si>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</si>
  <si>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</si>
  <si>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</si>
  <si>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</si>
  <si>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</si>
  <si>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</si>
  <si>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</si>
  <si>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</si>
  <si>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</si>
  <si>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</si>
  <si>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</si>
  <si>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</si>
  <si>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</si>
  <si>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</si>
  <si>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</si>
  <si>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</si>
  <si>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</si>
  <si>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</si>
  <si>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</si>
  <si>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</si>
  <si>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</si>
  <si>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</si>
  <si>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</si>
  <si>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</si>
  <si>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</si>
  <si>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</si>
  <si>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</si>
  <si>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</si>
  <si>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</si>
  <si>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</si>
  <si>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</si>
  <si>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</si>
  <si>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</si>
  <si>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</si>
  <si>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</si>
  <si>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</si>
  <si>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</si>
  <si>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</si>
  <si>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</si>
  <si>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</si>
  <si>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</si>
  <si>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</si>
  <si>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</si>
  <si>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</si>
  <si>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</si>
  <si>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</si>
  <si>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</si>
  <si>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</si>
  <si>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</si>
  <si>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</si>
  <si>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</si>
  <si>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</si>
  <si>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</si>
  <si>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</si>
  <si>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</si>
  <si>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</si>
  <si>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</si>
  <si>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</si>
  <si>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</si>
  <si>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</si>
  <si>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</si>
  <si>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</si>
  <si>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</si>
  <si>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</si>
  <si>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</si>
  <si>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</si>
  <si>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</si>
  <si>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</si>
  <si>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</si>
  <si>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</si>
  <si>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</si>
  <si>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</si>
  <si>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</si>
  <si>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</si>
  <si>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</si>
  <si>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</si>
  <si>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</si>
  <si>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</si>
  <si>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</si>
  <si>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</si>
  <si>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</si>
  <si>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</si>
  <si>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</si>
  <si>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</si>
  <si>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</si>
  <si>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</si>
  <si>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</si>
  <si>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</si>
  <si>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</si>
  <si>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</si>
  <si>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</si>
  <si>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</si>
  <si>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</si>
  <si>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</si>
  <si>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</si>
  <si>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</si>
  <si>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</si>
  <si>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</si>
  <si>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</si>
  <si>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</si>
  <si>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</si>
  <si>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</si>
  <si>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</si>
  <si>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</si>
  <si>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</si>
  <si>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</si>
  <si>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</si>
  <si>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</si>
  <si>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</si>
  <si>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</si>
  <si>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</si>
  <si>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</si>
  <si>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</si>
  <si>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</si>
  <si>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</si>
  <si>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</si>
  <si>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</si>
  <si>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</si>
  <si>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</si>
  <si>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</si>
  <si>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</si>
  <si>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</si>
  <si>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</si>
  <si>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</si>
  <si>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</si>
  <si>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</si>
  <si>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</si>
  <si>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</si>
  <si>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</si>
  <si>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</si>
  <si>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</si>
  <si>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</si>
  <si>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</si>
  <si>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</si>
  <si>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</si>
  <si>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</si>
  <si>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</si>
  <si>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</si>
  <si>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</si>
  <si>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</si>
  <si>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</si>
  <si>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</si>
  <si>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</si>
  <si>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</si>
  <si>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</si>
  <si>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</si>
  <si>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</si>
  <si>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</si>
  <si>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</si>
  <si>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</si>
  <si>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</si>
  <si>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</si>
  <si>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</si>
  <si>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</si>
  <si>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</si>
  <si>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</si>
  <si>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</si>
  <si>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</si>
  <si>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</si>
  <si>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</si>
  <si>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</si>
  <si>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</si>
  <si>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</si>
  <si>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</si>
  <si>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</si>
  <si>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</si>
  <si>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</si>
  <si>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</si>
  <si>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</si>
  <si>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</si>
  <si>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</si>
  <si>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</si>
  <si>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</si>
  <si>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</si>
  <si>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</si>
  <si>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</si>
  <si>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</si>
  <si>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</si>
  <si>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</si>
  <si>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</si>
  <si>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</si>
  <si>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</si>
  <si>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</si>
  <si>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</si>
  <si>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</si>
  <si>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</si>
  <si>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</si>
  <si>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</si>
  <si>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</si>
  <si>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</si>
  <si>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</si>
  <si>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</si>
  <si>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</si>
  <si>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</si>
  <si>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</si>
  <si>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</si>
  <si>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</si>
  <si>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</si>
  <si>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</si>
  <si>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</si>
  <si>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</si>
  <si>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</si>
  <si>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</si>
  <si>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</si>
  <si>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</si>
  <si>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</si>
  <si>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</si>
  <si>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</si>
  <si>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</si>
  <si>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</si>
  <si>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</si>
  <si>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</si>
  <si>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</si>
  <si>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</si>
  <si>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</si>
  <si>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</si>
  <si>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PRSETACION DE SERVICIOS1</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</si>
  <si>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</si>
  <si>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</si>
  <si>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</si>
  <si>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</si>
  <si>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</si>
  <si>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</si>
  <si>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</si>
  <si>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</si>
  <si>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</si>
  <si>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</si>
  <si>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</si>
  <si>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</si>
  <si>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</si>
  <si>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</si>
  <si>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</si>
  <si>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</si>
  <si>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</si>
  <si>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</si>
  <si>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</si>
  <si>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</si>
  <si>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</si>
  <si>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</si>
  <si>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</si>
  <si>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</si>
  <si>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</si>
  <si>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</si>
  <si>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</si>
  <si>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</si>
  <si>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</si>
  <si>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</si>
  <si>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</si>
  <si>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PRESTACION DE SERVICOS1</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</si>
  <si>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</si>
  <si>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</si>
  <si>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</si>
  <si>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</si>
  <si>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</si>
  <si>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</si>
  <si>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</si>
  <si>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</si>
  <si>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</si>
  <si>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</si>
  <si>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</si>
  <si>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</si>
  <si>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</si>
  <si>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</si>
  <si>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</si>
  <si>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</si>
  <si>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</si>
  <si>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PRESTACION DE SERVCIOS1</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</si>
  <si>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</si>
  <si>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</si>
  <si>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</si>
  <si>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</si>
  <si>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</si>
  <si>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</si>
  <si>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</si>
  <si>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</si>
  <si>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</si>
  <si>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</si>
  <si>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</si>
  <si>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</si>
  <si>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</si>
  <si>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</si>
  <si>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</si>
  <si>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</si>
  <si>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</si>
  <si>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</si>
  <si>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</si>
  <si>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</si>
  <si>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</si>
  <si>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</si>
  <si>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</si>
  <si>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</si>
  <si>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</si>
  <si>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</si>
  <si>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</si>
  <si>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</si>
  <si>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</si>
  <si>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</si>
  <si>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</si>
  <si>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</si>
  <si>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</si>
  <si>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</si>
  <si>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</si>
  <si>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</si>
  <si>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</si>
  <si>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</si>
  <si>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</si>
  <si>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</si>
  <si>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</si>
  <si>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</si>
  <si>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</si>
  <si>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</si>
  <si>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</si>
  <si>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</si>
  <si>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</si>
  <si>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</si>
  <si>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</si>
  <si>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</si>
  <si>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</si>
  <si>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</si>
  <si>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</si>
  <si>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</si>
  <si>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</si>
  <si>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</si>
  <si>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</si>
  <si>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</si>
  <si>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</si>
  <si>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</si>
  <si>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</si>
  <si>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</si>
  <si>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</si>
  <si>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</si>
  <si>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</si>
  <si>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</si>
  <si>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</si>
  <si>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</si>
  <si>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</si>
  <si>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</si>
  <si>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</si>
  <si>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</si>
  <si>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</si>
  <si>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</si>
  <si>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</si>
  <si>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</si>
  <si>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</si>
  <si>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</si>
  <si>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</si>
  <si>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</si>
  <si>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</si>
  <si>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</si>
  <si>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</si>
  <si>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</si>
  <si>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</si>
  <si>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</si>
  <si>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</si>
  <si>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</si>
  <si>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</si>
  <si>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</si>
  <si>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</si>
  <si>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</si>
  <si>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</si>
  <si>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</si>
  <si>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</si>
  <si>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</si>
  <si>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</si>
  <si>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</si>
  <si>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</si>
  <si>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</si>
  <si>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</si>
  <si>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</si>
  <si>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</si>
  <si>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</si>
  <si>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</si>
  <si>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</si>
  <si>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</si>
  <si>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</si>
  <si>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</si>
  <si>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</si>
  <si>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</si>
  <si>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</si>
  <si>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</si>
  <si>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</si>
  <si>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</si>
  <si>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</si>
  <si>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</si>
  <si>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</si>
  <si>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</si>
  <si>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</si>
  <si>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</si>
  <si>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</si>
  <si>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</si>
  <si>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</si>
  <si>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</si>
  <si>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</si>
  <si>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</si>
  <si>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</si>
  <si>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</si>
  <si>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</si>
  <si>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</si>
  <si>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</si>
  <si>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</si>
  <si>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</si>
  <si>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</si>
  <si>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</si>
  <si>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</si>
  <si>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</si>
  <si>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</si>
  <si>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</si>
  <si>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</si>
  <si>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</si>
  <si>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</si>
  <si>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</si>
  <si>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</si>
  <si>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</si>
  <si>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</si>
  <si>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</si>
  <si>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</si>
  <si>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</si>
  <si>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</si>
  <si>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</si>
  <si>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</si>
  <si>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</si>
  <si>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</si>
  <si>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</si>
  <si>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</si>
  <si>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</si>
  <si>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</si>
  <si>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</si>
  <si>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</si>
  <si>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</si>
  <si>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</si>
  <si>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</si>
  <si>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</si>
  <si>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</si>
  <si>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</si>
  <si>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</si>
  <si>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</si>
  <si>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</si>
  <si>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</si>
  <si>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</si>
  <si>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</si>
  <si>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</si>
  <si>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</si>
  <si>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</si>
  <si>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</si>
  <si>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</si>
  <si>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</si>
  <si>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</si>
  <si>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</si>
  <si>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</si>
  <si>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</si>
  <si>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</si>
  <si>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</si>
  <si>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</si>
  <si>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</si>
  <si>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</si>
  <si>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</si>
  <si>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</si>
  <si>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</si>
  <si>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</si>
  <si>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</si>
  <si>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</si>
  <si>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</si>
  <si>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</si>
  <si>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</si>
  <si>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</si>
  <si>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</si>
  <si>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</si>
  <si>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</si>
  <si>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</si>
  <si>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</si>
  <si>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</si>
  <si>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</si>
  <si>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</si>
  <si>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</si>
  <si>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</si>
  <si>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</si>
  <si>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</si>
  <si>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</si>
  <si>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</si>
  <si>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</si>
  <si>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</si>
  <si>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</si>
  <si>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</si>
  <si>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</si>
  <si>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</si>
  <si>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</si>
  <si>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</si>
  <si>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</si>
  <si>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</si>
  <si>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</si>
  <si>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</si>
  <si>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</si>
  <si>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</si>
  <si>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</si>
  <si>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</si>
  <si>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</si>
  <si>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</si>
  <si>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</si>
  <si>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</si>
  <si>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</si>
  <si>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</si>
  <si>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</si>
  <si>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</si>
  <si>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</si>
  <si>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</si>
  <si>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</si>
  <si>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</si>
  <si>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</si>
  <si>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</si>
  <si>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</si>
  <si>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</si>
  <si>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</si>
  <si>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</si>
  <si>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</si>
  <si>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</si>
  <si>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</si>
  <si>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</si>
  <si>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</si>
  <si>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</si>
  <si>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</si>
  <si>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</si>
  <si>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</si>
  <si>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</si>
  <si>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</si>
  <si>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</si>
  <si>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</si>
  <si>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</si>
  <si>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</si>
  <si>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</si>
  <si>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</si>
  <si>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</si>
  <si>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</si>
  <si>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</si>
  <si>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</si>
  <si>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</si>
  <si>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</si>
  <si>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</si>
  <si>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</si>
  <si>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</si>
  <si>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</si>
  <si>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</si>
  <si>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</si>
  <si>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</si>
  <si>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</si>
  <si>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</si>
  <si>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</si>
  <si>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</si>
  <si>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</si>
  <si>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</si>
  <si>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</si>
  <si>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</si>
  <si>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</si>
  <si>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</si>
  <si>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</si>
  <si>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</si>
  <si>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</si>
  <si>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</si>
  <si>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</si>
  <si>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</si>
  <si>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</si>
  <si>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</si>
  <si>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</si>
  <si>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</si>
  <si>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</si>
  <si>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</si>
  <si>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</si>
  <si>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</si>
  <si>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</si>
  <si>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</si>
  <si>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</si>
  <si>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</si>
  <si>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</si>
  <si>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</si>
  <si>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</si>
  <si>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</si>
  <si>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</si>
  <si>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</si>
  <si>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</si>
  <si>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</si>
  <si>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</si>
  <si>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</si>
  <si>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</si>
  <si>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</si>
  <si>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</si>
  <si>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</si>
  <si>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</si>
  <si>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</si>
  <si>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</si>
  <si>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</si>
  <si>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</si>
  <si>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</si>
  <si>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</si>
  <si>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</si>
  <si>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</si>
  <si>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</si>
  <si>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</si>
  <si>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</si>
  <si>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</si>
  <si>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</si>
  <si>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</si>
  <si>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</si>
  <si>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</si>
  <si>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</si>
  <si>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</si>
  <si>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</si>
  <si>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</si>
  <si>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</si>
  <si>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</si>
  <si>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</si>
  <si>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</si>
  <si>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</si>
  <si>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</si>
  <si>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</si>
  <si>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</si>
  <si>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</si>
  <si>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</si>
  <si>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</si>
  <si>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170002-02017</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</si>
  <si>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</si>
  <si>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</si>
  <si>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</si>
  <si>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</si>
  <si>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</si>
  <si>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</si>
  <si>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</si>
  <si>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</si>
  <si>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</si>
  <si>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</si>
  <si>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</si>
  <si>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</si>
  <si>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</si>
  <si>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</si>
  <si>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</si>
  <si>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</si>
  <si>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</si>
  <si>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</si>
  <si>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</si>
  <si>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</si>
  <si>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</si>
  <si>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</si>
  <si>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</si>
  <si>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</si>
  <si>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</si>
  <si>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</si>
  <si>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</si>
  <si>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</si>
  <si>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</si>
  <si>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</si>
  <si>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</si>
  <si>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</si>
  <si>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</si>
  <si>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</si>
  <si>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</si>
  <si>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</si>
  <si>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</si>
  <si>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</si>
  <si>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</si>
  <si>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</si>
  <si>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</si>
  <si>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</si>
  <si>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</si>
  <si>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</si>
  <si>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</si>
  <si>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</si>
  <si>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</si>
  <si>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</si>
  <si>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</si>
  <si>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</si>
  <si>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</si>
  <si>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</si>
  <si>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</si>
  <si>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</si>
  <si>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</si>
  <si>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</si>
  <si>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</si>
  <si>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</si>
  <si>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</si>
  <si>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</si>
  <si>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</si>
  <si>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</si>
  <si>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</si>
  <si>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</si>
  <si>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</si>
  <si>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</si>
  <si>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</si>
  <si>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</si>
  <si>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</si>
  <si>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</si>
  <si>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</si>
  <si>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</si>
  <si>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</si>
  <si>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</si>
  <si>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</si>
  <si>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</si>
  <si>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</si>
  <si>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</si>
  <si>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</si>
  <si>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</si>
  <si>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</si>
  <si>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</si>
  <si>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</si>
  <si>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</si>
  <si>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</si>
  <si>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</si>
  <si>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</si>
  <si>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</si>
  <si>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</si>
  <si>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</si>
  <si>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</si>
  <si>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</si>
  <si>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</si>
  <si>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</si>
  <si>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</si>
  <si>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</si>
  <si>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</si>
  <si>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</si>
  <si>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</si>
  <si>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</si>
  <si>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</si>
  <si>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</si>
  <si>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</si>
  <si>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</si>
  <si>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</si>
  <si>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</si>
  <si>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</si>
  <si>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</si>
  <si>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</si>
  <si>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</si>
  <si>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</si>
  <si>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</si>
  <si>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</si>
  <si>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</si>
  <si>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</si>
  <si>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</si>
  <si>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</si>
  <si>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</si>
  <si>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</si>
  <si>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</si>
  <si>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</si>
  <si>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</si>
  <si>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</si>
  <si>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</si>
  <si>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</si>
  <si>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</si>
  <si>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</si>
  <si>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</si>
  <si>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</si>
  <si>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</si>
  <si>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</si>
  <si>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</si>
  <si>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</si>
  <si>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</si>
  <si>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</si>
  <si>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</si>
  <si>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</si>
  <si>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</si>
  <si>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</si>
  <si>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</si>
  <si>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</si>
  <si>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</si>
  <si>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</si>
  <si>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</si>
  <si>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</si>
  <si>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</si>
  <si>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</si>
  <si>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</si>
  <si>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</si>
  <si>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</si>
  <si>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</si>
  <si>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</si>
  <si>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</si>
  <si>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</si>
  <si>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</si>
  <si>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</si>
  <si>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</si>
  <si>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</si>
  <si>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</si>
  <si>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</si>
  <si>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</si>
  <si>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</si>
  <si>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</si>
  <si>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</si>
  <si>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</si>
  <si>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</si>
  <si>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</si>
  <si>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</si>
  <si>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</si>
  <si>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</si>
  <si>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</si>
  <si>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</si>
  <si>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</si>
  <si>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</si>
  <si>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</si>
  <si>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</si>
  <si>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</si>
  <si>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</si>
  <si>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</si>
  <si>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</si>
  <si>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</si>
  <si>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</si>
  <si>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</si>
  <si>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</si>
  <si>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</si>
  <si>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</si>
  <si>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</si>
  <si>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</si>
  <si>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</si>
  <si>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</si>
  <si>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</si>
  <si>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</si>
  <si>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</si>
  <si>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</si>
  <si>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</si>
  <si>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</si>
  <si>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</si>
  <si>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</si>
  <si>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</si>
  <si>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</si>
  <si>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</si>
  <si>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</si>
  <si>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</si>
  <si>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</si>
  <si>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</si>
  <si>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</si>
  <si>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</si>
  <si>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</si>
  <si>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</si>
  <si>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</si>
  <si>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</si>
  <si>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</si>
  <si>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</si>
  <si>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</si>
  <si>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</si>
  <si>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</si>
  <si>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</si>
  <si>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</si>
  <si>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</si>
  <si>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</si>
  <si>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</si>
  <si>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</si>
  <si>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</si>
  <si>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</si>
  <si>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</si>
  <si>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</si>
  <si>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</si>
  <si>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</si>
  <si>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</si>
  <si>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</si>
  <si>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</si>
  <si>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</si>
  <si>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</si>
  <si>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</si>
  <si>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</si>
  <si>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</si>
  <si>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</si>
  <si>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</si>
  <si>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</si>
  <si>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</si>
  <si>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</si>
  <si>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</si>
  <si>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</si>
  <si>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</si>
  <si>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</si>
  <si>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</si>
  <si>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Número de Orden: 19093</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</si>
  <si>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</si>
  <si>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</si>
  <si>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</si>
  <si>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</si>
  <si>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</si>
  <si>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</si>
  <si>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</si>
  <si>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</si>
  <si>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</si>
  <si>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</si>
  <si>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</si>
  <si>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</si>
  <si>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</si>
  <si>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</si>
  <si>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</si>
  <si>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</si>
  <si>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</si>
  <si>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</si>
  <si>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</si>
  <si>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</si>
  <si>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</si>
  <si>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</si>
  <si>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</si>
  <si>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</si>
  <si>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</si>
  <si>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</si>
  <si>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</si>
  <si>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</si>
  <si>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</si>
  <si>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</si>
  <si>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</si>
  <si>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</si>
  <si>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</si>
  <si>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</si>
  <si>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</si>
  <si>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</si>
  <si>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</si>
  <si>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</si>
  <si>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</si>
  <si>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</si>
  <si>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</si>
  <si>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</si>
  <si>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</si>
  <si>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</si>
  <si>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</si>
  <si>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</si>
  <si>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</si>
  <si>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</si>
  <si>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</si>
  <si>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</si>
  <si>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</si>
  <si>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</si>
  <si>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</si>
  <si>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</si>
  <si>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</si>
  <si>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</si>
  <si>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</si>
  <si>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</si>
  <si>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</si>
  <si>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</si>
  <si>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</si>
  <si>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</si>
  <si>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</si>
  <si>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</si>
  <si>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</si>
  <si>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</si>
  <si>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</si>
  <si>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</si>
  <si>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</si>
  <si>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</si>
  <si>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</si>
  <si>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</si>
  <si>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</si>
  <si>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</si>
  <si>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</si>
  <si>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</si>
  <si>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</si>
  <si>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</si>
  <si>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</si>
  <si>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</si>
  <si>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</si>
  <si>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</si>
  <si>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</si>
  <si>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</si>
  <si>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</si>
  <si>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</si>
  <si>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</si>
  <si>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</si>
  <si>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</si>
  <si>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</si>
  <si>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</si>
  <si>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</si>
  <si>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</si>
  <si>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</si>
  <si>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</si>
  <si>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</si>
  <si>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</si>
  <si>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</si>
  <si>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</si>
  <si>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</si>
  <si>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</si>
  <si>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</si>
  <si>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</si>
  <si>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</si>
  <si>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</si>
  <si>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</si>
  <si>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</si>
  <si>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</si>
  <si>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</si>
  <si>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</si>
  <si>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</si>
  <si>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</si>
  <si>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</si>
  <si>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</si>
  <si>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</si>
  <si>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</si>
  <si>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</si>
  <si>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</si>
  <si>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</si>
  <si>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</si>
  <si>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</si>
  <si>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</si>
  <si>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</si>
  <si>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</si>
  <si>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</si>
  <si>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</si>
  <si>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</si>
  <si>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</si>
  <si>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</si>
  <si>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</si>
  <si>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</si>
  <si>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</si>
  <si>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</si>
  <si>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</si>
  <si>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</si>
  <si>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</si>
  <si>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</si>
  <si>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</si>
  <si>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</si>
  <si>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</si>
  <si>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</si>
  <si>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</si>
  <si>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</si>
  <si>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</si>
  <si>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</si>
  <si>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</si>
  <si>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</si>
  <si>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</si>
  <si>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</si>
  <si>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</si>
  <si>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</si>
  <si>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</si>
  <si>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</si>
  <si>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</si>
  <si>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</si>
  <si>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</si>
  <si>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</si>
  <si>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</si>
  <si>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</si>
  <si>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</si>
  <si>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</si>
  <si>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</si>
  <si>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</si>
  <si>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</si>
  <si>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</si>
  <si>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</si>
  <si>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</si>
  <si>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</si>
  <si>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</si>
  <si>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</si>
  <si>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</si>
  <si>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</si>
  <si>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</si>
  <si>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</si>
  <si>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</si>
  <si>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</si>
  <si>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</si>
  <si>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</si>
  <si>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</si>
  <si>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</si>
  <si>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</si>
  <si>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</si>
  <si>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</si>
  <si>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</si>
  <si>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</si>
  <si>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</si>
  <si>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</si>
  <si>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</si>
  <si>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</si>
  <si>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</si>
  <si>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</si>
  <si>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</si>
  <si>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</si>
  <si>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</si>
  <si>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</si>
  <si>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</si>
  <si>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</si>
  <si>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</si>
  <si>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</si>
  <si>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</si>
  <si>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</si>
  <si>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</si>
  <si>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</si>
  <si>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</si>
  <si>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</si>
  <si>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</si>
  <si>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</si>
  <si>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</si>
  <si>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</si>
  <si>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</si>
  <si>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</si>
  <si>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</si>
  <si>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</si>
  <si>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</si>
  <si>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</si>
  <si>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</si>
  <si>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</si>
  <si>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</si>
  <si>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</si>
  <si>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</si>
  <si>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</si>
  <si>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</si>
  <si>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</si>
  <si>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</si>
  <si>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</si>
  <si>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</si>
  <si>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</si>
  <si>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</si>
  <si>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</si>
  <si>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</si>
  <si>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</si>
  <si>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</si>
  <si>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</si>
  <si>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</si>
  <si>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</si>
  <si>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</si>
  <si>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</si>
  <si>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</si>
  <si>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</si>
  <si>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</si>
  <si>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</si>
  <si>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</si>
  <si>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</si>
  <si>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</si>
  <si>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</si>
  <si>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</si>
  <si>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</si>
  <si>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</si>
  <si>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</si>
  <si>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</si>
  <si>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</si>
  <si>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</si>
  <si>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</si>
  <si>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</si>
  <si>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</si>
  <si>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</si>
  <si>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</si>
  <si>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</si>
  <si>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</si>
  <si>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</si>
  <si>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</si>
  <si>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</si>
  <si>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</si>
  <si>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</si>
  <si>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</si>
  <si>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</si>
  <si>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</si>
  <si>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</si>
  <si>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</si>
  <si>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</si>
  <si>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</si>
  <si>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</si>
  <si>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</si>
  <si>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</si>
  <si>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</si>
  <si>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</si>
  <si>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</si>
  <si>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</si>
  <si>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</si>
  <si>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</si>
  <si>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</si>
  <si>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</si>
  <si>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</si>
  <si>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</si>
  <si>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</si>
  <si>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</si>
  <si>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</si>
  <si>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</si>
  <si>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</si>
  <si>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</si>
  <si>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</si>
  <si>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</si>
  <si>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</si>
  <si>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</si>
  <si>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</si>
  <si>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</si>
  <si>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</si>
  <si>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</si>
  <si>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</si>
  <si>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</si>
  <si>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</si>
  <si>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</si>
  <si>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</si>
  <si>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</si>
  <si>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</si>
  <si>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</si>
  <si>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</si>
  <si>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</si>
  <si>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</si>
  <si>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</si>
  <si>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</si>
  <si>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</si>
  <si>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</si>
  <si>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</si>
  <si>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</si>
  <si>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</si>
  <si>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</si>
  <si>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</si>
  <si>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</si>
  <si>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</si>
  <si>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</si>
  <si>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</si>
  <si>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</si>
  <si>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</si>
  <si>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</si>
  <si>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</si>
  <si>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</si>
  <si>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</si>
  <si>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</si>
  <si>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</si>
  <si>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</si>
  <si>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</si>
  <si>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</si>
  <si>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</si>
  <si>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</si>
  <si>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</si>
  <si>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</si>
  <si>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</si>
  <si>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</si>
  <si>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</si>
  <si>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</si>
  <si>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</si>
  <si>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</si>
  <si>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</si>
  <si>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</si>
  <si>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</si>
  <si>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</si>
  <si>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</si>
  <si>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</si>
  <si>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</si>
  <si>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</si>
  <si>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</si>
  <si>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</si>
  <si>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</si>
  <si>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</si>
  <si>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</si>
  <si>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</si>
  <si>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</si>
  <si>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</si>
  <si>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</si>
  <si>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</si>
  <si>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</si>
  <si>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</si>
  <si>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</si>
  <si>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</si>
  <si>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</si>
  <si>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</si>
  <si>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</si>
  <si>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</si>
  <si>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</si>
  <si>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</si>
  <si>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</si>
  <si>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</si>
  <si>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</si>
  <si>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</si>
  <si>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</si>
  <si>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</si>
  <si>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</si>
  <si>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</si>
  <si>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</si>
  <si>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</si>
  <si>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</si>
  <si>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</si>
  <si>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</si>
  <si>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</si>
  <si>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</si>
  <si>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</si>
  <si>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</si>
  <si>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</si>
  <si>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</si>
  <si>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</si>
  <si>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</si>
  <si>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</si>
  <si>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</si>
  <si>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</si>
  <si>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</si>
  <si>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</si>
  <si>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</si>
  <si>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</si>
  <si>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</si>
  <si>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</si>
  <si>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</si>
  <si>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</si>
  <si>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</si>
  <si>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</si>
  <si>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</si>
  <si>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</si>
  <si>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</si>
  <si>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</si>
  <si>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</si>
  <si>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</si>
  <si>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</si>
  <si>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</si>
  <si>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</si>
  <si>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</si>
  <si>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</si>
  <si>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</si>
  <si>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</si>
  <si>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</si>
  <si>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</si>
  <si>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</si>
  <si>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</si>
  <si>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</si>
  <si>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</si>
  <si>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</si>
  <si>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</si>
  <si>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</si>
  <si>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</si>
  <si>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</si>
  <si>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</si>
  <si>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</si>
  <si>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</si>
  <si>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</si>
  <si>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</si>
  <si>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</si>
  <si>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</si>
  <si>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</si>
  <si>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</si>
  <si>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</si>
  <si>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</si>
  <si>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</si>
  <si>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</si>
  <si>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</si>
  <si>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</si>
  <si>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</si>
  <si>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</si>
  <si>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</si>
  <si>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</si>
  <si>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</si>
  <si>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</si>
  <si>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</si>
  <si>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</si>
  <si>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</si>
  <si>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</si>
  <si>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</si>
  <si>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</si>
  <si>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</si>
  <si>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</si>
  <si>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</si>
  <si>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</si>
  <si>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</si>
  <si>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</si>
  <si>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</si>
  <si>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</si>
  <si>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</si>
  <si>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</si>
  <si>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</si>
  <si>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</si>
  <si>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</si>
  <si>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</si>
  <si>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</si>
  <si>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</si>
  <si>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</si>
  <si>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</si>
  <si>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</si>
  <si>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</si>
  <si>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</si>
  <si>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</si>
  <si>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</si>
  <si>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</si>
  <si>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</si>
  <si>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</si>
  <si>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</si>
  <si>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</si>
  <si>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</si>
  <si>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</si>
  <si>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</si>
  <si>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</si>
  <si>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</si>
  <si>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</si>
  <si>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</si>
  <si>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</si>
  <si>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</si>
  <si>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</si>
  <si>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</si>
  <si>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</si>
  <si>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</si>
  <si>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</si>
  <si>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</si>
  <si>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</si>
  <si>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</si>
  <si>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</si>
  <si>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</si>
  <si>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</si>
  <si>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GENESIS CONSTRUCCIONES SAS</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</si>
  <si>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</si>
  <si>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</si>
  <si>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</si>
  <si>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</si>
  <si>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</si>
  <si>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</si>
  <si>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</si>
  <si>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</si>
  <si>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</si>
  <si>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</si>
  <si>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</si>
  <si>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</si>
  <si>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</si>
  <si>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</si>
  <si>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</si>
  <si>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</si>
  <si>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</si>
  <si>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</si>
  <si>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</si>
  <si>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</si>
  <si>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</si>
  <si>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</si>
  <si>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</si>
  <si>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</si>
  <si>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</si>
  <si>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</si>
  <si>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</si>
  <si>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</si>
  <si>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</si>
  <si>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</si>
  <si>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</si>
  <si>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</si>
  <si>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</si>
  <si>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</si>
  <si>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</si>
  <si>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</si>
  <si>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</si>
  <si>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</si>
  <si>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</si>
  <si>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</si>
  <si>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</si>
  <si>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</si>
  <si>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</si>
  <si>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</si>
  <si>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SDH-SMINC-34-2017</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</si>
  <si>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</si>
  <si>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</si>
  <si>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</si>
  <si>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</si>
  <si>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</si>
  <si>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</si>
  <si>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</si>
  <si>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</si>
  <si>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</si>
  <si>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</si>
  <si>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</si>
  <si>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</si>
  <si>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</si>
  <si>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</si>
  <si>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</si>
  <si>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</si>
  <si>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</si>
  <si>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</si>
  <si>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</si>
  <si>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</si>
  <si>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</si>
  <si>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</si>
  <si>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</si>
  <si>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E</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</si>
  <si>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</si>
  <si>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</si>
  <si>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</si>
  <si>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</si>
  <si>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</si>
  <si>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</si>
  <si>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</si>
  <si>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</si>
  <si>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</si>
  <si>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</si>
  <si>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</si>
  <si>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</si>
  <si>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</si>
  <si>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</si>
  <si>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</si>
  <si>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</si>
  <si>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</si>
  <si>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</si>
  <si>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</si>
  <si>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</si>
  <si>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</si>
  <si>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</si>
  <si>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</si>
  <si>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</si>
  <si>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</si>
  <si>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</si>
  <si>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</si>
  <si>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</si>
  <si>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</si>
  <si>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</si>
  <si>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</si>
  <si>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</si>
  <si>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</si>
  <si>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</si>
  <si>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</si>
  <si>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</si>
  <si>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</si>
  <si>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</si>
  <si>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</si>
  <si>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</si>
  <si>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</si>
  <si>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</si>
  <si>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</si>
  <si>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</si>
  <si>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</si>
  <si>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</si>
  <si>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</si>
  <si>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</si>
  <si>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</si>
  <si>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</si>
  <si>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</si>
  <si>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</si>
  <si>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</si>
  <si>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</si>
  <si>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</si>
  <si>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</si>
  <si>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</si>
  <si>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</si>
  <si>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</si>
  <si>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</si>
  <si>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</si>
  <si>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</si>
  <si>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</si>
  <si>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</si>
  <si>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</si>
  <si>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</si>
  <si>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</si>
  <si>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</si>
  <si>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</si>
  <si>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</si>
  <si>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</si>
  <si>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</si>
  <si>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</si>
  <si>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</si>
  <si>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</si>
  <si>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</si>
  <si>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</si>
  <si>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</si>
  <si>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</si>
  <si>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</si>
  <si>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</si>
  <si>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</si>
  <si>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</si>
  <si>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</si>
  <si>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</si>
  <si>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</si>
  <si>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</si>
  <si>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</si>
  <si>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</si>
  <si>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</si>
  <si>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</si>
  <si>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</si>
  <si>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</si>
  <si>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Oficina Asesora de Comunicaciones - Rosa Juliana Herrera Pinto</t>
  </si>
  <si>
    <t>Dirección Financiera Edwin Oswaldo Peña Roa</t>
  </si>
  <si>
    <t>Licenciamiento de correo electrónico</t>
  </si>
  <si>
    <t>ORDEN DE COMPRA 22825</t>
  </si>
  <si>
    <t>Dirección Jurídica - Luis Alberto Donoso Rincon</t>
  </si>
  <si>
    <t>Secretaria General Luis Alberto Donoso Rincon</t>
  </si>
  <si>
    <t>Jefe Oficina de Planeación            Jairo de Jesus Ramirez Ramirez</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</si>
  <si>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</si>
  <si>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</si>
  <si>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</si>
  <si>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</si>
  <si>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</si>
  <si>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</si>
  <si>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</si>
  <si>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</si>
  <si>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</si>
  <si>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</si>
  <si>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</si>
  <si>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</si>
  <si>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</si>
  <si>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</si>
  <si>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</si>
  <si>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</si>
  <si>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</si>
  <si>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</si>
  <si>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</si>
  <si>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</si>
  <si>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</si>
  <si>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</si>
  <si>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</si>
  <si>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</si>
  <si>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</si>
  <si>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</si>
  <si>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</si>
  <si>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</si>
  <si>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</si>
  <si>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</si>
  <si>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</si>
  <si>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</si>
  <si>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</si>
  <si>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</si>
  <si>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</si>
  <si>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</si>
  <si>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</si>
  <si>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</si>
  <si>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</si>
  <si>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</si>
  <si>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</si>
  <si>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</si>
  <si>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</si>
  <si>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</si>
  <si>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</si>
  <si>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</si>
  <si>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</si>
  <si>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</si>
  <si>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</si>
  <si>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</si>
  <si>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</si>
  <si>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</si>
  <si>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</si>
  <si>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</si>
  <si>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</si>
  <si>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</si>
  <si>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</si>
  <si>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</si>
  <si>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</si>
  <si>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</si>
  <si>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</si>
  <si>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</si>
  <si>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</si>
  <si>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</si>
  <si>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</si>
  <si>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</si>
  <si>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</si>
  <si>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</si>
  <si>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</si>
  <si>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</si>
  <si>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</si>
  <si>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</si>
  <si>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</si>
  <si>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</si>
  <si>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</si>
  <si>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</si>
  <si>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Dirección Administrativa 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</si>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</sst>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1"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rgb="FF000000"/>
      <name val="Arial"/>
      <family val="2"/>
    </font>
    <font>
      <sz val="8"/>
      <color theme="1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56">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0" fillId="25" borderId="0" xfId="0" applyFill="1" applyBorder="1" applyAlignment="1">
      <alignment horizontal="justify" vertical="center"/>
    </xf>
    <xf numFmtId="0" fontId="0" fillId="25" borderId="27" xfId="0" applyFill="1" applyBorder="1" applyAlignment="1">
      <alignment horizontal="justify" vertical="center"/>
    </xf>
    <xf numFmtId="0" fontId="26" fillId="25" borderId="11" xfId="0" applyFont="1" applyFill="1" applyBorder="1" applyAlignment="1">
      <alignment horizontal="justify" vertical="center" wrapText="1"/>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0" xfId="0" applyFont="1" applyAlignment="1">
      <alignment horizontal="right" vertical="center"/>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26" fillId="0" borderId="96" xfId="0" applyFont="1" applyBorder="1" applyAlignment="1">
      <alignment horizontal="justify" vertical="center" wrapText="1"/>
    </xf>
    <xf numFmtId="0" fontId="78" fillId="26" borderId="11" xfId="0" applyFont="1" applyFill="1" applyBorder="1" applyAlignment="1">
      <alignment horizontal="justify" vertical="center" wrapText="1"/>
    </xf>
    <xf numFmtId="0" fontId="78" fillId="89" borderId="11" xfId="0" applyFont="1" applyFill="1" applyBorder="1" applyAlignment="1">
      <alignment horizontal="justify" vertical="center" wrapText="1"/>
    </xf>
    <xf numFmtId="0" fontId="78" fillId="89" borderId="11" xfId="0" applyFont="1" applyFill="1" applyBorder="1" applyAlignment="1">
      <alignment vertical="center" wrapText="1"/>
    </xf>
    <xf numFmtId="0" fontId="78" fillId="0" borderId="11" xfId="0" applyFont="1" applyBorder="1" applyAlignment="1">
      <alignment horizontal="justify" vertical="center" wrapText="1"/>
    </xf>
    <xf numFmtId="15" fontId="26" fillId="0" borderId="0" xfId="0" applyNumberFormat="1" applyFont="1" applyAlignment="1">
      <alignment horizontal="center" vertical="center"/>
    </xf>
    <xf numFmtId="0" fontId="79"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63"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0" fontId="80" fillId="0" borderId="0" xfId="0" applyNumberFormat="1" applyFont="1" applyAlignment="1">
      <alignment wrapText="1"/>
    </xf>
    <xf numFmtId="175" fontId="80" fillId="0" borderId="0" xfId="0" applyNumberFormat="1" applyFont="1" applyAlignment="1">
      <alignment wrapText="1"/>
    </xf>
    <xf numFmtId="170" fontId="80" fillId="0" borderId="0" xfId="0" applyNumberFormat="1" applyFont="1" applyAlignment="1">
      <alignment vertical="center" wrapText="1"/>
    </xf>
    <xf numFmtId="175" fontId="80" fillId="0" borderId="0" xfId="0" applyNumberFormat="1" applyFont="1" applyAlignment="1">
      <alignment vertical="center" wrapText="1"/>
    </xf>
    <xf numFmtId="0" fontId="80" fillId="0" borderId="0" xfId="0" applyFont="1" applyAlignment="1">
      <alignment horizontal="left" wrapText="1"/>
    </xf>
    <xf numFmtId="0" fontId="80" fillId="0" borderId="0" xfId="0" pivotButton="1" applyFont="1" applyAlignment="1">
      <alignment horizontal="center" vertical="center" wrapText="1"/>
    </xf>
    <xf numFmtId="0" fontId="80" fillId="0" borderId="0" xfId="0" applyFont="1" applyAlignment="1">
      <alignment horizontal="center" vertical="center" wrapText="1"/>
    </xf>
    <xf numFmtId="175" fontId="80" fillId="0" borderId="0" xfId="0" applyNumberFormat="1" applyFont="1" applyAlignment="1">
      <alignment horizontal="center" vertical="center" wrapText="1"/>
    </xf>
    <xf numFmtId="0" fontId="80" fillId="0" borderId="0" xfId="0" pivotButton="1" applyFont="1" applyAlignment="1">
      <alignment vertical="center" wrapText="1"/>
    </xf>
    <xf numFmtId="9" fontId="80" fillId="0" borderId="0" xfId="0" applyNumberFormat="1" applyFont="1" applyAlignment="1">
      <alignment horizontal="left" wrapText="1"/>
    </xf>
    <xf numFmtId="0" fontId="80" fillId="0" borderId="0" xfId="0" pivotButton="1" applyFont="1" applyAlignment="1">
      <alignment wrapText="1"/>
    </xf>
    <xf numFmtId="0" fontId="80" fillId="0" borderId="0" xfId="0" applyFont="1" applyAlignment="1">
      <alignment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81" borderId="11" xfId="0" applyFont="1" applyFill="1" applyBorder="1" applyAlignment="1">
      <alignment horizontal="left" vertical="center" wrapText="1"/>
    </xf>
    <xf numFmtId="0" fontId="66" fillId="29" borderId="11" xfId="0" applyFont="1" applyFill="1" applyBorder="1" applyAlignment="1">
      <alignment horizontal="left" vertical="center" wrapText="1"/>
    </xf>
    <xf numFmtId="0" fontId="67" fillId="0" borderId="11" xfId="0" applyFont="1" applyBorder="1" applyAlignment="1">
      <alignment horizontal="right" vertical="center" wrapText="1"/>
    </xf>
    <xf numFmtId="0" fontId="67" fillId="29" borderId="11"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7" fillId="80" borderId="11" xfId="0" applyFont="1" applyFill="1" applyBorder="1" applyAlignment="1">
      <alignment horizontal="left" vertical="center" wrapText="1"/>
    </xf>
    <xf numFmtId="0" fontId="66" fillId="82" borderId="11" xfId="0" applyFont="1" applyFill="1" applyBorder="1" applyAlignment="1">
      <alignment horizontal="justify"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7" fillId="78" borderId="96" xfId="0" applyFont="1" applyFill="1" applyBorder="1" applyAlignment="1">
      <alignment horizontal="center" vertical="center" wrapText="1"/>
    </xf>
    <xf numFmtId="0" fontId="67" fillId="81"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6" fillId="69"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87" borderId="11" xfId="0" applyFont="1" applyFill="1" applyBorder="1" applyAlignment="1">
      <alignment horizontal="left" vertical="center" wrapText="1"/>
    </xf>
    <xf numFmtId="0" fontId="67" fillId="87" borderId="96" xfId="0" applyFont="1" applyFill="1" applyBorder="1" applyAlignment="1">
      <alignment horizontal="left" vertical="center" wrapText="1"/>
    </xf>
    <xf numFmtId="0" fontId="66"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673">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pivotCacheDefinition" Target="pivotCache/pivotCacheDefinition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contratos (12-01-2018).xlsx]Gráficos!Tabla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785426112"/>
        <c:axId val="-785434272"/>
      </c:barChart>
      <c:catAx>
        <c:axId val="-785426112"/>
        <c:scaling>
          <c:orientation val="minMax"/>
        </c:scaling>
        <c:delete val="0"/>
        <c:axPos val="b"/>
        <c:numFmt formatCode="General" sourceLinked="0"/>
        <c:majorTickMark val="out"/>
        <c:minorTickMark val="none"/>
        <c:tickLblPos val="nextTo"/>
        <c:crossAx val="-785434272"/>
        <c:crosses val="autoZero"/>
        <c:auto val="1"/>
        <c:lblAlgn val="ctr"/>
        <c:lblOffset val="100"/>
        <c:noMultiLvlLbl val="0"/>
      </c:catAx>
      <c:valAx>
        <c:axId val="-785434272"/>
        <c:scaling>
          <c:orientation val="minMax"/>
        </c:scaling>
        <c:delete val="0"/>
        <c:axPos val="l"/>
        <c:majorGridlines/>
        <c:numFmt formatCode="General" sourceLinked="1"/>
        <c:majorTickMark val="out"/>
        <c:minorTickMark val="none"/>
        <c:tickLblPos val="nextTo"/>
        <c:crossAx val="-7854261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(12-01-2018).xlsx]Gráficos!Tabla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785421760"/>
        <c:axId val="-785432096"/>
      </c:barChart>
      <c:catAx>
        <c:axId val="-785421760"/>
        <c:scaling>
          <c:orientation val="minMax"/>
        </c:scaling>
        <c:delete val="0"/>
        <c:axPos val="b"/>
        <c:numFmt formatCode="General" sourceLinked="0"/>
        <c:majorTickMark val="out"/>
        <c:minorTickMark val="none"/>
        <c:tickLblPos val="nextTo"/>
        <c:crossAx val="-785432096"/>
        <c:crosses val="autoZero"/>
        <c:auto val="1"/>
        <c:lblAlgn val="ctr"/>
        <c:lblOffset val="100"/>
        <c:noMultiLvlLbl val="0"/>
      </c:catAx>
      <c:valAx>
        <c:axId val="-785432096"/>
        <c:scaling>
          <c:orientation val="minMax"/>
        </c:scaling>
        <c:delete val="0"/>
        <c:axPos val="l"/>
        <c:majorGridlines/>
        <c:numFmt formatCode="General" sourceLinked="1"/>
        <c:majorTickMark val="out"/>
        <c:minorTickMark val="none"/>
        <c:tickLblPos val="nextTo"/>
        <c:crossAx val="-78542176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(12-01-2018).xlsx]Gráficos!Tabla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785422848"/>
        <c:axId val="-785428288"/>
      </c:barChart>
      <c:catAx>
        <c:axId val="-785422848"/>
        <c:scaling>
          <c:orientation val="minMax"/>
        </c:scaling>
        <c:delete val="0"/>
        <c:axPos val="b"/>
        <c:numFmt formatCode="General" sourceLinked="0"/>
        <c:majorTickMark val="out"/>
        <c:minorTickMark val="none"/>
        <c:tickLblPos val="nextTo"/>
        <c:crossAx val="-785428288"/>
        <c:crosses val="autoZero"/>
        <c:auto val="1"/>
        <c:lblAlgn val="ctr"/>
        <c:lblOffset val="100"/>
        <c:noMultiLvlLbl val="0"/>
      </c:catAx>
      <c:valAx>
        <c:axId val="-785428288"/>
        <c:scaling>
          <c:orientation val="minMax"/>
        </c:scaling>
        <c:delete val="0"/>
        <c:axPos val="l"/>
        <c:majorGridlines/>
        <c:numFmt formatCode="General" sourceLinked="1"/>
        <c:majorTickMark val="out"/>
        <c:minorTickMark val="none"/>
        <c:tickLblPos val="nextTo"/>
        <c:crossAx val="-78542284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(12-01-2018).xlsx]Gráficos!Tabla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785432640"/>
        <c:axId val="-785423392"/>
      </c:barChart>
      <c:catAx>
        <c:axId val="-785432640"/>
        <c:scaling>
          <c:orientation val="minMax"/>
        </c:scaling>
        <c:delete val="0"/>
        <c:axPos val="b"/>
        <c:numFmt formatCode="General" sourceLinked="0"/>
        <c:majorTickMark val="out"/>
        <c:minorTickMark val="none"/>
        <c:tickLblPos val="nextTo"/>
        <c:crossAx val="-785423392"/>
        <c:crosses val="autoZero"/>
        <c:auto val="1"/>
        <c:lblAlgn val="ctr"/>
        <c:lblOffset val="100"/>
        <c:noMultiLvlLbl val="0"/>
      </c:catAx>
      <c:valAx>
        <c:axId val="-785423392"/>
        <c:scaling>
          <c:orientation val="minMax"/>
        </c:scaling>
        <c:delete val="0"/>
        <c:axPos val="l"/>
        <c:majorGridlines/>
        <c:numFmt formatCode="General" sourceLinked="1"/>
        <c:majorTickMark val="out"/>
        <c:minorTickMark val="none"/>
        <c:tickLblPos val="nextTo"/>
        <c:crossAx val="-78543264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mgarzon/Desktop/FONDO%20CUENTA1/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mgarzon/Desktop/FONDO%20CUENTA1/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BRAYAN STEVEN PINTO RIVERA" refreshedDate="43118.633832754633"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0.95016016280880577" u="1"/>
        <n v="9.0203106332138586E-2" u="1"/>
        <n v="0.66758688650306752" u="1"/>
        <n v="0.89696968132024413" u="1"/>
        <n v="0.33438547546012271" u="1"/>
      </sharedItems>
    </cacheField>
    <cacheField name="% Ejecución física" numFmtId="173">
      <sharedItems containsMixedTypes="1" containsNumber="1" minValue="1.3698630136986301E-2" maxValue="1" count="4434">
        <n v="1"/>
        <n v="0.91922695738354809"/>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21546961325966851" u="1"/>
        <n v="0.43867924528301888" u="1"/>
        <n v="0.52127659574468088"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8539325842696629"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5604395604395609"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8684210526315785"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6948356807511737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82967032967032972" u="1"/>
        <n v="0.98449612403100772" u="1"/>
        <n v="0.25102880658436216" u="1"/>
        <n v="0.5006858710562414" u="1"/>
        <n v="0.93593314763231195" u="1"/>
        <n v="0.60076670317634173" u="1"/>
        <n v="0.88157894736842102" u="1"/>
        <n v="0.67614879649890591" u="1"/>
        <n v="0.88645418326693226" u="1"/>
        <n v="0.22782037239868566"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80983606557377052"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159">
        <n v="0.15158135670315875"/>
        <n v="1.0914575735657461E-2"/>
        <n v="0.99539487006205918"/>
        <n v="0"/>
        <n v="7.0867013806706125E-2"/>
        <n v="0.91490588381949634"/>
        <n v="1"/>
        <n v="2.1469476861166736E-3"/>
        <n v="0.19613035324901873"/>
        <n v="2.0447438056292455E-5"/>
        <n v="0.18231754905253272"/>
        <n v="0.20425387341869117"/>
        <n v="0.1096605825242718"/>
        <n v="-0.11854580551285521"/>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74488391400039977"/>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67479674796747968" u="1"/>
        <n v="0.42830267733145472"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30328946867086404" u="1"/>
        <n v="-0.50410958904109582" u="1"/>
        <n v="1.9902520242181976E-2" u="1"/>
        <n v="5.5754818743801171E-2"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3.2876712328767099E-2" u="1"/>
        <n v="0.34640522875816993"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10314043965883379" u="1"/>
        <n v="0.15072372540014189" u="1"/>
        <n v="0.31622988767077254" u="1"/>
        <n v="-0.22319474835886211"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64686609686609686" u="1"/>
        <n v="0.49175824175824173"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80821917808219179"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3041095890410959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39237453361887992"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4.3835616438356165E-2" u="1"/>
        <n v="0.28545081967213115"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243625443625443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4.9839837191194225E-2" u="1"/>
        <n v="0.10874937637057103" u="1"/>
        <n v="-0.24507658643326036" u="1"/>
        <n v="0.64357216635050329" u="1"/>
        <n v="0.12555333587011674" u="1"/>
        <n v="-1.5595943783431987E-2" u="1"/>
        <n v="0.11892808315018322" u="1"/>
        <n v="0.17880794701986755" u="1"/>
        <n v="9.5483947481074694E-2" u="1"/>
        <n v="0.5154683914540954" u="1"/>
        <n v="0.72407122817284786"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3.8196721311475446E-2" u="1"/>
        <n v="0.26739515643284251"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ontainsMixedTypes="1" containsNumber="1" containsInteger="1" minValue="163" maxValue="163"/>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BRAYAN STEVEN PINTO RIVERA" refreshedDate="43118.633833564818"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BRAYAN STEVEN PINTO RIVERA" refreshedDate="43118.633833564818"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BRAYAN STEVEN PINTO RIVERA" refreshedDate="43118.633833680557"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BRAYAN STEVEN PINTO RIVERA" refreshedDate="43118.633833912034"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acheField>
    <cacheField name="% Ejecución física" numFmtId="173">
      <sharedItems containsMixedTypes="1" containsNumber="1" minValue="-2.7397260273972603E-3" maxValue="1" count="4649">
        <n v="1"/>
        <n v="0.91922695738354809"/>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21546961325966851" u="1"/>
        <n v="0.43867924528301888" u="1"/>
        <n v="0.52127659574468088"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8539325842696629"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5604395604395609"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8684210526315785"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6948356807511737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80983606557377052"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11854580551285521" maxValue="1"/>
    </cacheField>
    <cacheField name="Tiempo restante de ejecución (días)" numFmtId="1">
      <sharedItems containsMixedTypes="1" containsNumber="1" containsInteger="1" minValue="163" maxValue="163"/>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x v="13"/>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s v=" "/>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1"/>
    <x v="66"/>
    <n v="163"/>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2"/>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Cache/pivotCacheRecords4.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7.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
    <n v="2012"/>
    <s v=" "/>
    <d v="2012-06-27T00:00:00"/>
    <d v="2013-06-27T00:00:00"/>
    <n v="0"/>
    <n v="0"/>
    <n v="1"/>
    <s v="2 meses"/>
    <d v="2013-08-27T00:00:00"/>
    <d v="2013-08-27T00:00:00"/>
    <n v="79634000"/>
    <n v="79634000"/>
    <n v="0"/>
    <m/>
    <n v="1"/>
    <x v="0"/>
    <n v="0"/>
    <s v=""/>
    <x v="1"/>
  </r>
  <r>
    <x v="16"/>
    <x v="15"/>
    <n v="20546554"/>
    <x v="16"/>
    <n v="4206160"/>
    <s v=" "/>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
    <n v="2012"/>
    <s v=" "/>
    <d v="2012-08-01T00:00:00"/>
    <d v="2013-09-14T00:00:00"/>
    <n v="0"/>
    <n v="0"/>
    <n v="0"/>
    <s v=""/>
    <s v=""/>
    <d v="2013-09-14T00:00:00"/>
    <n v="85219000"/>
    <n v="95321355"/>
    <n v="-10102355"/>
    <m/>
    <n v="1.1185458055128552"/>
    <x v="0"/>
    <n v="-0.11854580551285521"/>
    <s v=""/>
    <x v="1"/>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
    <n v="2012"/>
    <s v=" "/>
    <d v="2012-10-26T00:00:00"/>
    <d v="2013-06-26T00:00:00"/>
    <n v="0"/>
    <n v="0"/>
    <n v="0"/>
    <s v=""/>
    <s v=""/>
    <d v="2013-06-26T00:00:00"/>
    <n v="299287875"/>
    <n v="160844981"/>
    <n v="138442894"/>
    <m/>
    <n v="0.53742565080526572"/>
    <x v="0"/>
    <n v="0.46257434919473428"/>
    <s v=""/>
    <x v="0"/>
  </r>
  <r>
    <x v="61"/>
    <x v="60"/>
    <n v="830017796"/>
    <x v="61"/>
    <n v="1392000"/>
    <s v=" "/>
    <n v="2012"/>
    <s v=" "/>
    <d v="2012-11-29T00:00:00"/>
    <d v="2013-01-29T00:00:00"/>
    <n v="0"/>
    <n v="0"/>
    <n v="4"/>
    <s v="9 meses"/>
    <d v="2013-09-17T00:00:00"/>
    <d v="2013-09-17T00:00:00"/>
    <n v="1392000"/>
    <n v="0"/>
    <n v="1392000"/>
    <m/>
    <n v="0"/>
    <x v="0"/>
    <n v="1"/>
    <s v=""/>
    <x v="0"/>
  </r>
  <r>
    <x v="62"/>
    <x v="61"/>
    <n v="830043839"/>
    <x v="62"/>
    <n v="4056000"/>
    <s v=" "/>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5-02-17T00:00:00"/>
    <n v="0"/>
    <n v="0"/>
    <n v="0"/>
    <s v=""/>
    <s v=""/>
    <d v="2015-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s v=" "/>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
    <n v="2013"/>
    <s v=" "/>
    <d v="2013-10-15T00:00:00"/>
    <d v="2013-11-14T00:00:00"/>
    <n v="0"/>
    <n v="0"/>
    <n v="0"/>
    <s v=""/>
    <s v=""/>
    <d v="2013-11-14T00:00:00"/>
    <n v="26073552"/>
    <n v="26073552"/>
    <n v="0"/>
    <m/>
    <n v="1"/>
    <x v="0"/>
    <n v="0"/>
    <s v=""/>
    <x v="1"/>
  </r>
  <r>
    <x v="137"/>
    <x v="117"/>
    <n v="900542684"/>
    <x v="126"/>
    <n v="17262940"/>
    <s v=" "/>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1"/>
    <n v="0.74488391400039977"/>
    <n v="163"/>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2"/>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 dinámica1"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3"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650">
        <item m="1" x="4361"/>
        <item m="1" x="498"/>
        <item m="1" x="3134"/>
        <item m="1" x="283"/>
        <item m="1" x="87"/>
        <item m="1" x="4430"/>
        <item m="1" x="2342"/>
        <item m="1" x="287"/>
        <item m="1" x="401"/>
        <item m="1" x="3611"/>
        <item m="1" x="4550"/>
        <item m="1" x="439"/>
        <item m="1" x="3916"/>
        <item m="1" x="2266"/>
        <item m="1" x="4366"/>
        <item m="1" x="88"/>
        <item m="1" x="2694"/>
        <item m="1" x="2345"/>
        <item m="1" x="2584"/>
        <item m="1" x="2017"/>
        <item m="1" x="4567"/>
        <item m="1" x="1816"/>
        <item m="1" x="1827"/>
        <item m="1" x="1519"/>
        <item m="1" x="1304"/>
        <item m="1" x="3740"/>
        <item m="1" x="4393"/>
        <item m="1" x="529"/>
        <item m="1" x="473"/>
        <item m="1" x="1173"/>
        <item m="1" x="1528"/>
        <item m="1" x="25"/>
        <item m="1" x="4153"/>
        <item m="1" x="3442"/>
        <item m="1" x="569"/>
        <item m="1" x="4344"/>
        <item m="1" x="3398"/>
        <item m="1" x="1427"/>
        <item m="1" x="1934"/>
        <item m="1" x="171"/>
        <item m="1" x="750"/>
        <item m="1" x="2077"/>
        <item m="1" x="2730"/>
        <item m="1" x="3756"/>
        <item m="1" x="4280"/>
        <item m="1" x="3371"/>
        <item m="1" x="2440"/>
        <item m="1" x="3980"/>
        <item m="1" x="4614"/>
        <item m="1" x="3572"/>
        <item m="1" x="4528"/>
        <item x="0"/>
        <item m="1" x="4112"/>
        <item h="1" m="1" x="1369"/>
        <item h="1" m="1" x="3559"/>
        <item h="1" m="1" x="1608"/>
        <item h="1" m="1" x="173"/>
        <item h="1" m="1" x="1192"/>
        <item h="1" m="1" x="1282"/>
        <item h="1" m="1" x="604"/>
        <item h="1" m="1" x="1773"/>
        <item h="1" m="1" x="4234"/>
        <item h="1" m="1" x="1456"/>
        <item h="1" m="1" x="3472"/>
        <item h="1" m="1" x="245"/>
        <item h="1" m="1" x="2265"/>
        <item h="1" m="1" x="1024"/>
        <item h="1" m="1" x="72"/>
        <item h="1" m="1" x="3113"/>
        <item h="1" m="1" x="342"/>
        <item h="1" m="1" x="3080"/>
        <item h="1" m="1" x="112"/>
        <item h="1" m="1" x="3041"/>
        <item h="1" m="1" x="2387"/>
        <item h="1" m="1" x="1036"/>
        <item h="1" m="1" x="2961"/>
        <item h="1" m="1" x="3793"/>
        <item h="1" m="1" x="1150"/>
        <item h="1" m="1" x="3797"/>
        <item h="1" m="1" x="1973"/>
        <item h="1" m="1" x="4353"/>
        <item h="1" m="1" x="3266"/>
        <item h="1" m="1" x="3917"/>
        <item h="1" m="1" x="3433"/>
        <item h="1" m="1" x="2495"/>
        <item h="1" m="1" x="1587"/>
        <item h="1" m="1" x="3519"/>
        <item h="1" m="1" x="3617"/>
        <item h="1" m="1" x="4494"/>
        <item h="1" m="1" x="349"/>
        <item h="1" m="1" x="2963"/>
        <item h="1" m="1" x="545"/>
        <item h="1" m="1" x="3417"/>
        <item h="1" m="1" x="754"/>
        <item h="1" m="1" x="1793"/>
        <item h="1" m="1" x="1939"/>
        <item h="1" m="1" x="4011"/>
        <item h="1" m="1" x="1596"/>
        <item h="1" m="1" x="1881"/>
        <item h="1" m="1" x="2525"/>
        <item h="1" m="1" x="3781"/>
        <item h="1" m="1" x="3977"/>
        <item h="1" m="1" x="3784"/>
        <item h="1" m="1" x="260"/>
        <item h="1" m="1" x="2758"/>
        <item h="1" m="1" x="1775"/>
        <item h="1" m="1" x="1445"/>
        <item h="1" m="1" x="1932"/>
        <item h="1" m="1" x="2006"/>
        <item h="1" m="1" x="1364"/>
        <item h="1" m="1" x="390"/>
        <item h="1" m="1" x="4199"/>
        <item h="1" m="1" x="2198"/>
        <item h="1" m="1" x="103"/>
        <item h="1" m="1" x="1547"/>
        <item h="1" m="1" x="3509"/>
        <item h="1" m="1" x="1783"/>
        <item h="1" m="1" x="2095"/>
        <item h="1" m="1" x="1087"/>
        <item m="1" x="1121"/>
        <item h="1" m="1" x="1579"/>
        <item h="1" m="1" x="3186"/>
        <item h="1" m="1" x="3803"/>
        <item h="1" m="1" x="1344"/>
        <item h="1" m="1" x="4611"/>
        <item h="1" m="1" x="839"/>
        <item m="1" x="1182"/>
        <item h="1" m="1" x="2036"/>
        <item h="1" m="1" x="3844"/>
        <item m="1" x="3951"/>
        <item h="1" m="1" x="2774"/>
        <item h="1" m="1" x="4008"/>
        <item h="1" m="1" x="2169"/>
        <item h="1" m="1" x="2705"/>
        <item h="1" m="1" x="1638"/>
        <item h="1" m="1" x="3606"/>
        <item h="1" m="1" x="3184"/>
        <item h="1" m="1" x="3411"/>
        <item h="1" m="1" x="1184"/>
        <item h="1" m="1" x="1079"/>
        <item h="1" m="1" x="110"/>
        <item h="1" m="1" x="1723"/>
        <item h="1" m="1" x="2245"/>
        <item h="1" m="1" x="147"/>
        <item h="1" m="1" x="957"/>
        <item h="1" m="1" x="1607"/>
        <item h="1" m="1" x="2639"/>
        <item h="1" m="1" x="4081"/>
        <item h="1" m="1" x="4512"/>
        <item h="1" m="1" x="2633"/>
        <item h="1" m="1" x="4282"/>
        <item h="1" m="1" x="308"/>
        <item h="1" m="1" x="1779"/>
        <item m="1" x="3450"/>
        <item m="1" x="3841"/>
        <item m="1" x="2012"/>
        <item m="1" x="3216"/>
        <item m="1" x="3162"/>
        <item m="1" x="3247"/>
        <item m="1" x="2620"/>
        <item m="1" x="3170"/>
        <item m="1" x="4166"/>
        <item m="1" x="3439"/>
        <item m="1" x="1398"/>
        <item m="1" x="2783"/>
        <item m="1" x="4253"/>
        <item m="1" x="2993"/>
        <item m="1" x="4092"/>
        <item m="1" x="4160"/>
        <item m="1" x="2383"/>
        <item m="1" x="4625"/>
        <item m="1" x="1666"/>
        <item m="1" x="430"/>
        <item m="1" x="4389"/>
        <item m="1" x="3578"/>
        <item m="1" x="3325"/>
        <item m="1" x="3150"/>
        <item m="1" x="2406"/>
        <item m="1" x="4432"/>
        <item m="1" x="1886"/>
        <item m="1" x="1256"/>
        <item m="1" x="98"/>
        <item m="1" x="2740"/>
        <item m="1" x="864"/>
        <item m="1" x="2943"/>
        <item m="1" x="1686"/>
        <item m="1" x="3683"/>
        <item m="1" x="2258"/>
        <item m="1" x="2849"/>
        <item m="1" x="1441"/>
        <item m="1" x="4328"/>
        <item m="1" x="213"/>
        <item m="1" x="4574"/>
        <item m="1" x="4235"/>
        <item m="1" x="3163"/>
        <item m="1" x="542"/>
        <item m="1" x="3250"/>
        <item m="1" x="3701"/>
        <item m="1" x="1379"/>
        <item m="1" x="1471"/>
        <item m="1" x="452"/>
        <item m="1" x="911"/>
        <item m="1" x="4077"/>
        <item h="1" m="1" x="4134"/>
        <item h="1" m="1" x="3678"/>
        <item h="1" m="1" x="2718"/>
        <item h="1" m="1" x="3251"/>
        <item h="1" m="1" x="209"/>
        <item h="1" m="1" x="3811"/>
        <item h="1" m="1" x="3901"/>
        <item h="1" m="1" x="77"/>
        <item h="1" m="1" x="4522"/>
        <item h="1" m="1" x="4102"/>
        <item h="1" m="1" x="2040"/>
        <item h="1" m="1" x="2898"/>
        <item h="1" m="1" x="3670"/>
        <item h="1" m="1" x="733"/>
        <item h="1" m="1" x="3609"/>
        <item h="1" m="1" x="2986"/>
        <item h="1" m="1" x="1103"/>
        <item h="1" m="1" x="3254"/>
        <item h="1" m="1" x="2468"/>
        <item h="1" m="1" x="2456"/>
        <item h="1" m="1" x="4227"/>
        <item h="1" m="1" x="576"/>
        <item h="1" m="1" x="3112"/>
        <item h="1" m="1" x="3226"/>
        <item h="1" m="1" x="596"/>
        <item h="1" m="1" x="4334"/>
        <item h="1" m="1" x="1938"/>
        <item h="1" m="1" x="4207"/>
        <item h="1" m="1" x="3593"/>
        <item h="1" m="1" x="2960"/>
        <item m="1" x="4558"/>
        <item h="1" m="1" x="3181"/>
        <item h="1" m="1" x="3693"/>
        <item h="1" m="1" x="4360"/>
        <item h="1" m="1" x="962"/>
        <item h="1" m="1" x="3785"/>
        <item h="1" m="1" x="514"/>
        <item h="1" m="1" x="3843"/>
        <item h="1" m="1" x="1506"/>
        <item h="1" m="1" x="267"/>
        <item h="1" m="1" x="4383"/>
        <item h="1" m="1" x="1211"/>
        <item h="1" m="1" x="1063"/>
        <item h="1" m="1" x="3346"/>
        <item h="1" m="1" x="2968"/>
        <item h="1" m="1" x="1266"/>
        <item h="1" m="1" x="3796"/>
        <item h="1" m="1" x="1548"/>
        <item h="1" m="1" x="1195"/>
        <item h="1" m="1" x="3589"/>
        <item h="1" m="1" x="3252"/>
        <item m="1" x="1297"/>
        <item h="1" m="1" x="620"/>
        <item h="1" m="1" x="1540"/>
        <item h="1" m="1" x="348"/>
        <item h="1" m="1" x="1469"/>
        <item h="1" m="1" x="4030"/>
        <item m="1" x="807"/>
        <item h="1" m="1" x="1041"/>
        <item h="1" m="1" x="637"/>
        <item h="1" m="1" x="4105"/>
        <item h="1" m="1" x="356"/>
        <item m="1" x="3506"/>
        <item h="1" m="1" x="3057"/>
        <item h="1" m="1" x="1194"/>
        <item h="1" m="1" x="4467"/>
        <item h="1" m="1" x="3322"/>
        <item h="1" m="1" x="1199"/>
        <item h="1" m="1" x="317"/>
        <item h="1" m="1" x="678"/>
        <item h="1" m="1" x="2520"/>
        <item h="1" m="1" x="105"/>
        <item h="1" m="1" x="500"/>
        <item h="1" m="1" x="1724"/>
        <item h="1" m="1" x="1657"/>
        <item h="1" m="1" x="3520"/>
        <item h="1" m="1" x="3049"/>
        <item h="1" m="1" x="75"/>
        <item h="1" m="1" x="1845"/>
        <item h="1" m="1" x="2056"/>
        <item h="1" m="1" x="781"/>
        <item h="1" m="1" x="2318"/>
        <item h="1" m="1" x="3451"/>
        <item h="1" m="1" x="1706"/>
        <item h="1" m="1" x="617"/>
        <item h="1" m="1" x="118"/>
        <item h="1" m="1" x="2508"/>
        <item h="1" m="1" x="1900"/>
        <item h="1" m="1" x="3304"/>
        <item h="1" m="1" x="4514"/>
        <item h="1" m="1" x="2215"/>
        <item h="1" m="1" x="3110"/>
        <item h="1" m="1" x="3906"/>
        <item h="1" m="1" x="451"/>
        <item h="1" m="1" x="379"/>
        <item h="1" m="1" x="3758"/>
        <item h="1" m="1" x="4505"/>
        <item h="1" m="1" x="2545"/>
        <item h="1" m="1" x="1923"/>
        <item h="1" m="1" x="4306"/>
        <item h="1" m="1" x="315"/>
        <item h="1" m="1" x="2714"/>
        <item h="1" m="1" x="123"/>
        <item h="1" m="1" x="2243"/>
        <item h="1" m="1" x="1567"/>
        <item h="1" m="1" x="3525"/>
        <item h="1" m="1" x="2311"/>
        <item h="1" m="1" x="2648"/>
        <item h="1" m="1" x="2569"/>
        <item h="1" m="1" x="1142"/>
        <item h="1" m="1" x="1978"/>
        <item h="1" m="1" x="3037"/>
        <item m="1" x="4359"/>
        <item h="1" m="1" x="121"/>
        <item h="1" m="1" x="3409"/>
        <item h="1" m="1" x="1214"/>
        <item h="1" m="1" x="2462"/>
        <item h="1" m="1" x="1259"/>
        <item h="1" m="1" x="734"/>
        <item h="1" m="1" x="4506"/>
        <item h="1" m="1" x="3183"/>
        <item h="1" m="1" x="2445"/>
        <item h="1" m="1" x="322"/>
        <item h="1" m="1" x="3763"/>
        <item h="1" m="1" x="3099"/>
        <item h="1" m="1" x="146"/>
        <item h="1" m="1" x="870"/>
        <item h="1" m="1" x="961"/>
        <item h="1" m="1" x="1061"/>
        <item h="1" m="1" x="913"/>
        <item h="1" m="1" x="3567"/>
        <item h="1" m="1" x="4559"/>
        <item h="1" m="1" x="3648"/>
        <item h="1" m="1" x="3802"/>
        <item h="1" m="1" x="1026"/>
        <item h="1" m="1" x="2925"/>
        <item h="1" m="1" x="1387"/>
        <item h="1" m="1" x="3689"/>
        <item h="1" m="1" x="274"/>
        <item h="1" m="1" x="749"/>
        <item h="1" m="1" x="1998"/>
        <item h="1" m="1" x="3129"/>
        <item h="1" m="1" x="1916"/>
        <item h="1" m="1" x="2684"/>
        <item h="1" m="1" x="4241"/>
        <item h="1" m="1" x="4168"/>
        <item h="1" m="1" x="521"/>
        <item h="1" m="1" x="4403"/>
        <item h="1" m="1" x="759"/>
        <item h="1" m="1" x="837"/>
        <item h="1" m="1" x="3381"/>
        <item h="1" m="1" x="648"/>
        <item h="1" m="1" x="2184"/>
        <item h="1" m="1" x="928"/>
        <item h="1" m="1" x="4021"/>
        <item h="1" m="1" x="976"/>
        <item h="1" m="1" x="2476"/>
        <item h="1" m="1" x="1125"/>
        <item h="1" m="1" x="4397"/>
        <item h="1" m="1" x="741"/>
        <item h="1" m="1" x="4043"/>
        <item h="1" m="1" x="2346"/>
        <item h="1" m="1" x="1424"/>
        <item h="1" m="1" x="3126"/>
        <item h="1" m="1" x="4419"/>
        <item h="1" m="1" x="3907"/>
        <item h="1" m="1" x="2951"/>
        <item h="1" m="1" x="3054"/>
        <item h="1" m="1" x="1659"/>
        <item h="1" m="1" x="4464"/>
        <item h="1" m="1" x="3804"/>
        <item h="1" m="1" x="902"/>
        <item h="1" m="1" x="3724"/>
        <item h="1" m="1" x="3410"/>
        <item h="1" m="1" x="2613"/>
        <item h="1" m="1" x="877"/>
        <item h="1" m="1" x="2795"/>
        <item h="1" m="1" x="3990"/>
        <item h="1" m="1" x="3423"/>
        <item h="1" m="1" x="1500"/>
        <item h="1" m="1" x="1245"/>
        <item m="1" x="1499"/>
        <item h="1" m="1" x="1712"/>
        <item h="1" m="1" x="1736"/>
        <item h="1" m="1" x="2687"/>
        <item h="1" m="1" x="3116"/>
        <item m="1" x="2920"/>
        <item m="1" x="3301"/>
        <item m="1" x="336"/>
        <item m="1" x="84"/>
        <item m="1" x="3292"/>
        <item m="1" x="3915"/>
        <item m="1" x="3264"/>
        <item m="1" x="3972"/>
        <item m="1" x="661"/>
        <item m="1" x="4114"/>
        <item m="1" x="2048"/>
        <item m="1" x="3717"/>
        <item m="1" x="3687"/>
        <item m="1" x="1324"/>
        <item m="1" x="2420"/>
        <item m="1" x="1288"/>
        <item m="1" x="1498"/>
        <item m="1" x="2777"/>
        <item m="1" x="3429"/>
        <item m="1" x="2111"/>
        <item m="1" x="3074"/>
        <item m="1" x="900"/>
        <item m="1" x="819"/>
        <item m="1" x="2416"/>
        <item m="1" x="4629"/>
        <item m="1" x="3959"/>
        <item m="1" x="1155"/>
        <item m="1" x="2224"/>
        <item m="1" x="1404"/>
        <item m="1" x="1263"/>
        <item m="1" x="3270"/>
        <item m="1" x="827"/>
        <item m="1" x="2587"/>
        <item m="1" x="3382"/>
        <item m="1" x="2692"/>
        <item m="1" x="3800"/>
        <item m="1" x="1969"/>
        <item m="1" x="38"/>
        <item m="1" x="2540"/>
        <item m="1" x="199"/>
        <item m="1" x="2466"/>
        <item m="1" x="3775"/>
        <item m="1" x="1980"/>
        <item m="1" x="1792"/>
        <item m="1" x="3684"/>
        <item m="1" x="1001"/>
        <item h="1" m="1" x="2510"/>
        <item h="1" m="1" x="2753"/>
        <item h="1" m="1" x="92"/>
        <item h="1" m="1" x="324"/>
        <item h="1" m="1" x="247"/>
        <item h="1" m="1" x="540"/>
        <item h="1" m="1" x="3542"/>
        <item h="1" m="1" x="2643"/>
        <item h="1" m="1" x="624"/>
        <item h="1" m="1" x="738"/>
        <item h="1" m="1" x="3297"/>
        <item h="1" m="1" x="4539"/>
        <item h="1" m="1" x="4181"/>
        <item h="1" m="1" x="294"/>
        <item h="1" m="1" x="3289"/>
        <item h="1" m="1" x="2509"/>
        <item h="1" m="1" x="4302"/>
        <item h="1" m="1" x="841"/>
        <item h="1" m="1" x="204"/>
        <item h="1" m="1" x="2956"/>
        <item h="1" m="1" x="649"/>
        <item h="1" m="1" x="449"/>
        <item h="1" m="1" x="3805"/>
        <item h="1" m="1" x="2161"/>
        <item h="1" m="1" x="4438"/>
        <item h="1" m="1" x="2091"/>
        <item h="1" m="1" x="1664"/>
        <item h="1" m="1" x="219"/>
        <item h="1" m="1" x="4534"/>
        <item h="1" m="1" x="1230"/>
        <item h="1" m="1" x="437"/>
        <item h="1" m="1" x="143"/>
        <item h="1" m="1" x="3549"/>
        <item h="1" m="1" x="3368"/>
        <item h="1" m="1" x="461"/>
        <item h="1" m="1" x="2173"/>
        <item h="1" m="1" x="3535"/>
        <item h="1" m="1" x="1692"/>
        <item h="1" m="1" x="1109"/>
        <item h="1" m="1" x="2558"/>
        <item h="1" m="1" x="4005"/>
        <item h="1" m="1" x="3102"/>
        <item h="1" m="1" x="2621"/>
        <item h="1" m="1" x="4347"/>
        <item h="1" m="1" x="2604"/>
        <item h="1" m="1" x="1733"/>
        <item h="1" m="1" x="3956"/>
        <item h="1" m="1" x="3344"/>
        <item h="1" m="1" x="412"/>
        <item h="1" m="1" x="1310"/>
        <item h="1" m="1" x="687"/>
        <item h="1" m="1" x="767"/>
        <item h="1" m="1" x="592"/>
        <item h="1" m="1" x="1485"/>
        <item h="1" m="1" x="4048"/>
        <item h="1" m="1" x="1312"/>
        <item h="1" m="1" x="820"/>
        <item h="1" m="1" x="2801"/>
        <item h="1" m="1" x="1602"/>
        <item h="1" m="1" x="663"/>
        <item h="1" m="1" x="945"/>
        <item h="1" m="1" x="375"/>
        <item h="1" m="1" x="3069"/>
        <item h="1" m="1" x="3263"/>
        <item h="1" m="1" x="4445"/>
        <item h="1" m="1" x="3127"/>
        <item h="1" m="1" x="1750"/>
        <item h="1" m="1" x="4173"/>
        <item h="1" m="1" x="2211"/>
        <item h="1" m="1" x="532"/>
        <item h="1" m="1" x="510"/>
        <item h="1" m="1" x="1669"/>
        <item h="1" m="1" x="331"/>
        <item h="1" m="1" x="462"/>
        <item h="1" m="1" x="4581"/>
        <item h="1" m="1" x="1303"/>
        <item h="1" m="1" x="2486"/>
        <item h="1" m="1" x="15"/>
        <item h="1" m="1" x="4233"/>
        <item h="1" m="1" x="2180"/>
        <item h="1" m="1" x="2448"/>
        <item h="1" m="1" x="3627"/>
        <item h="1" m="1" x="2277"/>
        <item h="1" m="1" x="3943"/>
        <item h="1" m="1" x="4543"/>
        <item h="1" m="1" x="4117"/>
        <item h="1" m="1" x="2186"/>
        <item h="1" m="1" x="3622"/>
        <item h="1" m="1" x="1391"/>
        <item h="1" m="1" x="3694"/>
        <item h="1" m="1" x="3269"/>
        <item h="1" m="1" x="584"/>
        <item h="1" m="1" x="1465"/>
        <item h="1" m="1" x="3024"/>
        <item h="1" m="1" x="4197"/>
        <item h="1" m="1" x="126"/>
        <item h="1" m="1" x="3731"/>
        <item h="1" m="1" x="2216"/>
        <item h="1" m="1" x="1082"/>
        <item h="1" m="1" x="1418"/>
        <item h="1" m="1" x="3490"/>
        <item h="1" m="1" x="2813"/>
        <item h="1" m="1" x="3583"/>
        <item h="1" m="1" x="567"/>
        <item h="1" m="1" x="1462"/>
        <item h="1" m="1" x="2413"/>
        <item h="1" m="1" x="794"/>
        <item h="1" m="1" x="468"/>
        <item h="1" m="1" x="2535"/>
        <item h="1" m="1" x="1202"/>
        <item h="1" m="1" x="2246"/>
        <item h="1" m="1" x="3497"/>
        <item h="1" m="1" x="812"/>
        <item h="1" m="1" x="2316"/>
        <item h="1" m="1" x="2046"/>
        <item h="1" m="1" x="2395"/>
        <item h="1" m="1" x="2421"/>
        <item h="1" m="1" x="924"/>
        <item h="1" m="1" x="55"/>
        <item h="1" m="1" x="1974"/>
        <item h="1" m="1" x="3284"/>
        <item h="1" m="1" x="2605"/>
        <item h="1" m="1" x="4346"/>
        <item h="1" m="1" x="3495"/>
        <item h="1" m="1" x="1084"/>
        <item h="1" m="1" x="1217"/>
        <item h="1" m="1" x="1964"/>
        <item h="1" m="1" x="91"/>
        <item h="1" m="1" x="1097"/>
        <item h="1" m="1" x="881"/>
        <item h="1" m="1" x="4313"/>
        <item h="1" m="1" x="1135"/>
        <item h="1" m="1" x="205"/>
        <item h="1" m="1" x="3575"/>
        <item h="1" m="1" x="1015"/>
        <item h="1" m="1" x="991"/>
        <item h="1" m="1" x="56"/>
        <item h="1" m="1" x="444"/>
        <item h="1" m="1" x="1275"/>
        <item h="1" m="1" x="4425"/>
        <item h="1" m="1" x="2322"/>
        <item h="1" m="1" x="952"/>
        <item h="1" m="1" x="2127"/>
        <item h="1" m="1" x="44"/>
        <item h="1" m="1" x="1941"/>
        <item h="1" m="1" x="1720"/>
        <item h="1" m="1" x="384"/>
        <item h="1" m="1" x="3750"/>
        <item h="1" m="1" x="3485"/>
        <item h="1" m="1" x="2162"/>
        <item h="1" m="1" x="2045"/>
        <item h="1" m="1" x="2271"/>
        <item h="1" m="1" x="2966"/>
        <item h="1" m="1" x="2007"/>
        <item h="1" m="1" x="4017"/>
        <item h="1" m="1" x="3702"/>
        <item h="1" m="1" x="1131"/>
        <item h="1" m="1" x="742"/>
        <item h="1" m="1" x="2187"/>
        <item h="1" m="1" x="964"/>
        <item h="1" m="1" x="398"/>
        <item h="1" m="1" x="351"/>
        <item h="1" m="1" x="3448"/>
        <item h="1" m="1" x="3364"/>
        <item h="1" m="1" x="1401"/>
        <item h="1" m="1" x="1205"/>
        <item h="1" m="1" x="486"/>
        <item h="1" m="1" x="137"/>
        <item h="1" m="1" x="4099"/>
        <item h="1" m="1" x="1918"/>
        <item h="1" m="1" x="522"/>
        <item h="1" m="1" x="1841"/>
        <item h="1" m="1" x="2829"/>
        <item h="1" m="1" x="4529"/>
        <item h="1" m="1" x="1472"/>
        <item h="1" m="1" x="1825"/>
        <item h="1" m="1" x="2393"/>
        <item h="1" m="1" x="3757"/>
        <item h="1" m="1" x="1798"/>
        <item h="1" m="1" x="257"/>
        <item h="1" m="1" x="1674"/>
        <item h="1" m="1" x="2597"/>
        <item h="1" m="1" x="2974"/>
        <item h="1" m="1" x="3312"/>
        <item h="1" m="1" x="1349"/>
        <item h="1" m="1" x="2742"/>
        <item h="1" m="1" x="686"/>
        <item h="1" m="1" x="2037"/>
        <item h="1" m="1" x="2116"/>
        <item h="1" m="1" x="2335"/>
        <item h="1" m="1" x="3222"/>
        <item h="1" m="1" x="4484"/>
        <item h="1" m="1" x="1705"/>
        <item h="1" m="1" x="3872"/>
        <item h="1" m="1" x="2391"/>
        <item h="1" m="1" x="1040"/>
        <item h="1" m="1" x="4256"/>
        <item h="1" m="1" x="1382"/>
        <item h="1" m="1" x="4303"/>
        <item h="1" m="1" x="3772"/>
        <item h="1" m="1" x="1843"/>
        <item h="1" m="1" x="3995"/>
        <item h="1" m="1" x="1250"/>
        <item h="1" m="1" x="2530"/>
        <item h="1" m="1" x="1769"/>
        <item h="1" m="1" x="1546"/>
        <item h="1" m="1" x="3038"/>
        <item h="1" m="1" x="763"/>
        <item h="1" m="1" x="699"/>
        <item h="1" m="1" x="1860"/>
        <item h="1" m="1" x="4215"/>
        <item h="1" m="1" x="3753"/>
        <item h="1" m="1" x="3794"/>
        <item h="1" m="1" x="633"/>
        <item h="1" m="1" x="1080"/>
        <item h="1" m="1" x="4562"/>
        <item h="1" m="1" x="844"/>
        <item h="1" m="1" x="4297"/>
        <item h="1" m="1" x="2944"/>
        <item h="1" m="1" x="1701"/>
        <item h="1" m="1" x="1188"/>
        <item h="1" m="1" x="1098"/>
        <item h="1" m="1" x="4246"/>
        <item h="1" m="1" x="367"/>
        <item h="1" m="1" x="189"/>
        <item h="1" m="1" x="2915"/>
        <item h="1" m="1" x="477"/>
        <item h="1" m="1" x="705"/>
        <item h="1" m="1" x="4113"/>
        <item h="1" m="1" x="3671"/>
        <item h="1" m="1" x="1784"/>
        <item h="1" m="1" x="3581"/>
        <item h="1" m="1" x="3873"/>
        <item h="1" m="1" x="2975"/>
        <item h="1" m="1" x="1690"/>
        <item h="1" m="1" x="24"/>
        <item h="1" m="1" x="2601"/>
        <item h="1" m="1" x="3487"/>
        <item h="1" m="1" x="4237"/>
        <item h="1" m="1" x="1914"/>
        <item h="1" m="1" x="1891"/>
        <item h="1" m="1" x="2670"/>
        <item h="1" m="1" x="4329"/>
        <item h="1" m="1" x="1685"/>
        <item h="1" m="1" x="3493"/>
        <item h="1" m="1" x="3850"/>
        <item h="1" m="1" x="2952"/>
        <item h="1" m="1" x="1894"/>
        <item h="1" m="1" x="3912"/>
        <item h="1" m="1" x="3962"/>
        <item h="1" m="1" x="3809"/>
        <item h="1" m="1" x="2618"/>
        <item h="1" m="1" x="2378"/>
        <item h="1" m="1" x="3502"/>
        <item h="1" m="1" x="2108"/>
        <item h="1" m="1" x="1935"/>
        <item h="1" m="1" x="960"/>
        <item h="1" m="1" x="3143"/>
        <item h="1" m="1" x="3649"/>
        <item h="1" m="1" x="1981"/>
        <item h="1" m="1" x="612"/>
        <item h="1" m="1" x="4307"/>
        <item h="1" m="1" x="4000"/>
        <item h="1" m="1" x="4376"/>
        <item h="1" m="1" x="2970"/>
        <item h="1" m="1" x="2824"/>
        <item h="1" m="1" x="1524"/>
        <item h="1" m="1" x="2025"/>
        <item h="1" m="1" x="2328"/>
        <item h="1" m="1" x="3079"/>
        <item h="1" m="1" x="4408"/>
        <item h="1" m="1" x="1034"/>
        <item h="1" m="1" x="1806"/>
        <item h="1" m="1" x="4374"/>
        <item h="1" m="1" x="1487"/>
        <item h="1" m="1" x="4204"/>
        <item h="1" m="1" x="2594"/>
        <item h="1" m="1" x="4604"/>
        <item h="1" m="1" x="132"/>
        <item h="1" m="1" x="3748"/>
        <item h="1" m="1" x="1032"/>
        <item h="1" m="1" x="1689"/>
        <item h="1" m="1" x="2177"/>
        <item h="1" m="1" x="765"/>
        <item h="1" m="1" x="3326"/>
        <item h="1" m="1" x="222"/>
        <item h="1" m="1" x="872"/>
        <item h="1" m="1" x="306"/>
        <item h="1" m="1" x="4332"/>
        <item h="1" m="1" x="1143"/>
        <item h="1" m="1" x="2473"/>
        <item h="1" m="1" x="691"/>
        <item h="1" m="1" x="825"/>
        <item h="1" m="1" x="2360"/>
        <item h="1" m="1" x="4336"/>
        <item h="1" m="1" x="3154"/>
        <item h="1" m="1" x="2831"/>
        <item h="1" m="1" x="2931"/>
        <item h="1" m="1" x="4122"/>
        <item h="1" m="1" x="2507"/>
        <item h="1" m="1" x="4511"/>
        <item h="1" m="1" x="3566"/>
        <item h="1" m="1" x="631"/>
        <item h="1" m="1" x="3528"/>
        <item h="1" m="1" x="3776"/>
        <item h="1" m="1" x="3866"/>
        <item h="1" m="1" x="2274"/>
        <item h="1" m="1" x="3288"/>
        <item h="1" m="1" x="3643"/>
        <item h="1" m="1" x="1801"/>
        <item h="1" m="1" x="2732"/>
        <item h="1" m="1" x="4341"/>
        <item h="1" m="1" x="3248"/>
        <item h="1" m="1" x="2762"/>
        <item h="1" m="1" x="3179"/>
        <item h="1" m="1" x="3353"/>
        <item h="1" m="1" x="4071"/>
        <item h="1" m="1" x="3131"/>
        <item h="1" m="1" x="1539"/>
        <item h="1" m="1" x="3824"/>
        <item h="1" m="1" x="3140"/>
        <item h="1" m="1" x="3908"/>
        <item h="1" m="1" x="2285"/>
        <item h="1" m="1" x="4431"/>
        <item h="1" m="1" x="2137"/>
        <item h="1" m="1" x="4594"/>
        <item h="1" m="1" x="1093"/>
        <item h="1" m="1" x="3356"/>
        <item h="1" m="1" x="1636"/>
        <item h="1" m="1" x="2868"/>
        <item h="1" m="1" x="938"/>
        <item h="1" m="1" x="4182"/>
        <item h="1" m="1" x="1229"/>
        <item h="1" m="1" x="2237"/>
        <item h="1" m="1" x="1421"/>
        <item h="1" m="1" x="1672"/>
        <item h="1" m="1" x="3315"/>
        <item h="1" m="1" x="3106"/>
        <item h="1" m="1" x="789"/>
        <item h="1" m="1" x="61"/>
        <item h="1" m="1" x="2536"/>
        <item h="1" m="1" x="3056"/>
        <item h="1" m="1" x="2976"/>
        <item h="1" m="1" x="4177"/>
        <item h="1" m="1" x="2883"/>
        <item h="1" m="1" x="537"/>
        <item h="1" m="1" x="3969"/>
        <item h="1" m="1" x="3957"/>
        <item h="1" m="1" x="2278"/>
        <item h="1" m="1" x="1016"/>
        <item h="1" m="1" x="2306"/>
        <item h="1" m="1" x="3974"/>
        <item h="1" m="1" x="508"/>
        <item h="1" m="1" x="2236"/>
        <item h="1" m="1" x="2610"/>
        <item h="1" m="1" x="4436"/>
        <item h="1" m="1" x="2582"/>
        <item h="1" m="1" x="2433"/>
        <item h="1" m="1" x="533"/>
        <item h="1" m="1" x="3385"/>
        <item h="1" m="1" x="614"/>
        <item h="1" m="1" x="1877"/>
        <item h="1" m="1" x="4585"/>
        <item h="1" m="1" x="3767"/>
        <item h="1" m="1" x="717"/>
        <item h="1" m="1" x="3885"/>
        <item h="1" m="1" x="448"/>
        <item h="1" m="1" x="3020"/>
        <item h="1" m="1" x="4074"/>
        <item h="1" m="1" x="4053"/>
        <item h="1" m="1" x="3066"/>
        <item h="1" m="1" x="2105"/>
        <item h="1" m="1" x="700"/>
        <item h="1" m="1" x="1937"/>
        <item h="1" m="1" x="2859"/>
        <item h="1" m="1" x="813"/>
        <item h="1" m="1" x="3141"/>
        <item h="1" m="1" x="4286"/>
        <item h="1" m="1" x="273"/>
        <item h="1" m="1" x="4472"/>
        <item h="1" m="1" x="3089"/>
        <item h="1" m="1" x="1204"/>
        <item h="1" m="1" x="3492"/>
        <item h="1" m="1" x="3864"/>
        <item h="1" m="1" x="418"/>
        <item h="1" m="1" x="1909"/>
        <item h="1" m="1" x="3307"/>
        <item h="1" m="1" x="3016"/>
        <item h="1" m="1" x="4266"/>
        <item h="1" m="1" x="3286"/>
        <item h="1" m="1" x="2872"/>
        <item h="1" m="1" x="4363"/>
        <item h="1" m="1" x="3889"/>
        <item h="1" m="1" x="3084"/>
        <item h="1" m="1" x="814"/>
        <item h="1" m="1" x="3674"/>
        <item h="1" m="1" x="3537"/>
        <item h="1" m="1" x="3396"/>
        <item h="1" m="1" x="1714"/>
        <item h="1" m="1" x="89"/>
        <item h="1" m="1" x="63"/>
        <item h="1" m="1" x="862"/>
        <item h="1" m="1" x="4212"/>
        <item h="1" m="1" x="484"/>
        <item h="1" m="1" x="4089"/>
        <item h="1" m="1" x="3634"/>
        <item h="1" m="1" x="2010"/>
        <item h="1" m="1" x="840"/>
        <item h="1" m="1" x="3456"/>
        <item h="1" m="1" x="2410"/>
        <item h="1" m="1" x="2490"/>
        <item h="1" m="1" x="4022"/>
        <item h="1" m="1" x="2286"/>
        <item h="1" m="1" x="4547"/>
        <item h="1" m="1" x="1219"/>
        <item h="1" m="1" x="1261"/>
        <item h="1" m="1" x="2067"/>
        <item h="1" m="1" x="1995"/>
        <item h="1" m="1" x="3280"/>
        <item h="1" m="1" x="3370"/>
        <item h="1" m="1" x="3614"/>
        <item h="1" m="1" x="3362"/>
        <item h="1" m="1" x="2945"/>
        <item h="1" m="1" x="1625"/>
        <item h="1" m="1" x="2702"/>
        <item h="1" m="1" x="130"/>
        <item h="1" m="1" x="3416"/>
        <item h="1" m="1" x="4588"/>
        <item h="1" m="1" x="3688"/>
        <item h="1" m="1" x="3869"/>
        <item h="1" m="1" x="2823"/>
        <item h="1" m="1" x="798"/>
        <item h="1" m="1" x="1262"/>
        <item h="1" m="1" x="3340"/>
        <item h="1" m="1" x="3064"/>
        <item h="1" m="1" x="4339"/>
        <item h="1" m="1" x="2343"/>
        <item h="1" m="1" x="4218"/>
        <item h="1" m="1" x="879"/>
        <item h="1" m="1" x="50"/>
        <item h="1" m="1" x="3973"/>
        <item h="1" m="1" x="1334"/>
        <item h="1" m="1" x="3654"/>
        <item h="1" m="1" x="1703"/>
        <item h="1" m="1" x="605"/>
        <item h="1" m="1" x="2239"/>
        <item h="1" m="1" x="3225"/>
        <item h="1" m="1" x="860"/>
        <item h="1" m="1" x="851"/>
        <item h="1" m="1" x="4073"/>
        <item h="1" m="1" x="3191"/>
        <item h="1" m="1" x="4222"/>
        <item h="1" m="1" x="1479"/>
        <item h="1" m="1" x="2150"/>
        <item h="1" m="1" x="2259"/>
        <item h="1" m="1" x="2635"/>
        <item h="1" m="1" x="4070"/>
        <item h="1" m="1" x="1138"/>
        <item h="1" m="1" x="253"/>
        <item h="1" m="1" x="3259"/>
        <item h="1" m="1" x="234"/>
        <item h="1" m="1" x="3130"/>
        <item h="1" m="1" x="2879"/>
        <item h="1" m="1" x="2475"/>
        <item h="1" m="1" x="3948"/>
        <item h="1" m="1" x="2556"/>
        <item h="1" m="1" x="242"/>
        <item h="1" m="1" x="4630"/>
        <item h="1" m="1" x="58"/>
        <item h="1" m="1" x="3334"/>
        <item h="1" m="1" x="1273"/>
        <item h="1" m="1" x="266"/>
        <item h="1" m="1" x="703"/>
        <item h="1" m="1" x="1268"/>
        <item h="1" m="1" x="1767"/>
        <item h="1" m="1" x="2793"/>
        <item h="1" m="1" x="3279"/>
        <item h="1" m="1" x="3820"/>
        <item h="1" m="1" x="3825"/>
        <item h="1" m="1" x="1089"/>
        <item h="1" m="1" x="3710"/>
        <item h="1" m="1" x="1208"/>
        <item h="1" m="1" x="2227"/>
        <item h="1" m="1" x="3316"/>
        <item h="1" m="1" x="3210"/>
        <item h="1" m="1" x="494"/>
        <item h="1" m="1" x="3986"/>
        <item h="1" m="1" x="2032"/>
        <item h="1" m="1" x="2967"/>
        <item h="1" m="1" x="1157"/>
        <item h="1" m="1" x="4003"/>
        <item h="1" m="1" x="142"/>
        <item h="1" m="1" x="709"/>
        <item h="1" m="1" x="3152"/>
        <item h="1" m="1" x="2698"/>
        <item h="1" m="1" x="1422"/>
        <item h="1" m="1" x="1496"/>
        <item h="1" m="1" x="244"/>
        <item h="1" m="1" x="2901"/>
        <item h="1" m="1" x="3834"/>
        <item h="1" m="1" x="3531"/>
        <item h="1" m="1" x="1681"/>
        <item h="1" m="1" x="393"/>
        <item h="1" m="1" x="271"/>
        <item h="1" m="1" x="2811"/>
        <item h="1" m="1" x="2755"/>
        <item h="1" m="1" x="2443"/>
        <item h="1" m="1" x="3925"/>
        <item h="1" m="1" x="3336"/>
        <item h="1" m="1" x="3603"/>
        <item h="1" m="1" x="3046"/>
        <item h="1" m="1" x="3661"/>
        <item h="1" m="1" x="2321"/>
        <item h="1" m="1" x="2706"/>
        <item h="1" m="1" x="2771"/>
        <item h="1" m="1" x="1094"/>
        <item h="1" m="1" x="4326"/>
        <item h="1" m="1" x="3156"/>
        <item h="1" m="1" x="3158"/>
        <item h="1" m="1" x="3686"/>
        <item h="1" m="1" x="3878"/>
        <item h="1" m="1" x="4623"/>
        <item h="1" m="1" x="108"/>
        <item h="1" m="1" x="3132"/>
        <item h="1" m="1" x="1066"/>
        <item h="1" m="1" x="3835"/>
        <item h="1" m="1" x="793"/>
        <item h="1" m="1" x="1768"/>
        <item h="1" m="1" x="546"/>
        <item h="1" m="1" x="2256"/>
        <item h="1" m="1" x="1488"/>
        <item h="1" m="1" x="2170"/>
        <item h="1" m="1" x="3246"/>
        <item h="1" m="1" x="1947"/>
        <item h="1" m="1" x="3842"/>
        <item h="1" m="1" x="3376"/>
        <item h="1" m="1" x="1613"/>
        <item h="1" m="1" x="856"/>
        <item h="1" m="1" x="1565"/>
        <item h="1" m="1" x="4127"/>
        <item h="1" m="1" x="574"/>
        <item h="1" m="1" x="3142"/>
        <item h="1" m="1" x="3515"/>
        <item h="1" m="1" x="2491"/>
        <item h="1" m="1" x="2751"/>
        <item h="1" m="1" x="26"/>
        <item h="1" m="1" x="1139"/>
        <item h="1" m="1" x="1572"/>
        <item h="1" m="1" x="2741"/>
        <item h="1" m="1" x="904"/>
        <item h="1" m="1" x="2412"/>
        <item h="1" m="1" x="1337"/>
        <item h="1" m="1" x="3879"/>
        <item h="1" m="1" x="122"/>
        <item h="1" m="1" x="884"/>
        <item h="1" m="1" x="1311"/>
        <item h="1" m="1" x="216"/>
        <item h="1" m="1" x="1530"/>
        <item h="1" m="1" x="2930"/>
        <item h="1" m="1" x="2087"/>
        <item h="1" m="1" x="1295"/>
        <item h="1" m="1" x="3675"/>
        <item h="1" m="1" x="646"/>
        <item h="1" m="1" x="1454"/>
        <item h="1" m="1" x="2733"/>
        <item h="1" m="1" x="3534"/>
        <item h="1" m="1" x="2539"/>
        <item h="1" m="1" x="3522"/>
        <item h="1" m="1" x="4465"/>
        <item h="1" m="1" x="372"/>
        <item h="1" m="1" x="2078"/>
        <item h="1" m="1" x="1461"/>
        <item h="1" m="1" x="278"/>
        <item h="1" m="1" x="2893"/>
        <item h="1" m="1" x="790"/>
        <item h="1" m="1" x="598"/>
        <item h="1" m="1" x="497"/>
        <item h="1" m="1" x="386"/>
        <item h="1" m="1" x="4055"/>
        <item h="1" m="1" x="2205"/>
        <item h="1" m="1" x="1189"/>
        <item h="1" m="1" x="4225"/>
        <item h="1" m="1" x="1482"/>
        <item h="1" m="1" x="2840"/>
        <item h="1" m="1" x="1010"/>
        <item h="1" m="1" x="4019"/>
        <item h="1" m="1" x="890"/>
        <item h="1" m="1" x="255"/>
        <item h="1" m="1" x="805"/>
        <item h="1" m="1" x="187"/>
        <item h="1" m="1" x="2165"/>
        <item h="1" m="1" x="1368"/>
        <item h="1" m="1" x="1731"/>
        <item h="1" m="1" x="1999"/>
        <item h="1" m="1" x="3027"/>
        <item h="1" m="1" x="1305"/>
        <item h="1" m="1" x="3318"/>
        <item h="1" m="1" x="3217"/>
        <item h="1" m="1" x="2057"/>
        <item h="1" m="1" x="963"/>
        <item h="1" m="1" x="1406"/>
        <item h="1" m="1" x="2167"/>
        <item h="1" m="1" x="3840"/>
        <item h="1" m="1" x="958"/>
        <item h="1" m="1" x="4578"/>
        <item h="1" m="1" x="207"/>
        <item h="1" m="1" x="501"/>
        <item h="1" m="1" x="3120"/>
        <item h="1" m="1" x="2352"/>
        <item h="1" m="1" x="1218"/>
        <item h="1" m="1" x="1913"/>
        <item h="1" m="1" x="3914"/>
        <item h="1" m="1" x="4501"/>
        <item h="1" m="1" x="785"/>
        <item h="1" m="1" x="1534"/>
        <item h="1" m="1" x="1882"/>
        <item h="1" m="1" x="1946"/>
        <item h="1" m="1" x="4477"/>
        <item h="1" m="1" x="3947"/>
        <item h="1" m="1" x="3663"/>
        <item h="1" m="1" x="650"/>
        <item h="1" m="1" x="3378"/>
        <item h="1" m="1" x="3967"/>
        <item h="1" m="1" x="3212"/>
        <item h="1" m="1" x="4331"/>
        <item h="1" m="1" x="2453"/>
        <item h="1" m="1" x="4086"/>
        <item h="1" m="1" x="4178"/>
        <item h="1" m="1" x="3595"/>
        <item h="1" m="1" x="1713"/>
        <item h="1" m="1" x="2407"/>
        <item h="1" m="1" x="1718"/>
        <item h="1" m="1" x="4601"/>
        <item h="1" m="1" x="1901"/>
        <item h="1" m="1" x="778"/>
        <item h="1" m="1" x="4138"/>
        <item h="1" m="1" x="3390"/>
        <item h="1" m="1" x="623"/>
        <item h="1" m="1" x="1451"/>
        <item h="1" m="1" x="1446"/>
        <item h="1" m="1" x="467"/>
        <item h="1" m="1" x="3139"/>
        <item h="1" m="1" x="2354"/>
        <item h="1" m="1" x="2842"/>
        <item h="1" m="1" x="3313"/>
        <item h="1" m="1" x="2351"/>
        <item h="1" m="1" x="2662"/>
        <item h="1" m="1" x="4131"/>
        <item h="1" m="1" x="2878"/>
        <item h="1" m="1" x="1800"/>
        <item h="1" m="1" x="2248"/>
        <item h="1" m="1" x="3001"/>
        <item h="1" m="1" x="35"/>
        <item h="1" m="1" x="4620"/>
        <item h="1" m="1" x="3271"/>
        <item h="1" m="1" x="2003"/>
        <item h="1" m="1" x="1557"/>
        <item h="1" m="1" x="3005"/>
        <item h="1" m="1" x="2697"/>
        <item m="1" x="2397"/>
        <item h="1" m="1" x="4277"/>
        <item h="1" m="1" x="4288"/>
        <item h="1" m="1" x="1271"/>
        <item h="1" m="1" x="3766"/>
        <item h="1" m="1" x="4549"/>
        <item h="1" m="1" x="421"/>
        <item h="1" m="1" x="2261"/>
        <item h="1" m="1" x="3551"/>
        <item h="1" m="1" x="1976"/>
        <item h="1" m="1" x="2480"/>
        <item h="1" m="1" x="413"/>
        <item h="1" m="1" x="167"/>
        <item h="1" m="1" x="1684"/>
        <item h="1" m="1" x="3415"/>
        <item h="1" m="1" x="116"/>
        <item h="1" m="1" x="4018"/>
        <item h="1" m="1" x="474"/>
        <item h="1" m="1" x="3926"/>
        <item h="1" m="1" x="2282"/>
        <item h="1" m="1" x="1856"/>
        <item h="1" m="1" x="220"/>
        <item h="1" m="1" x="4381"/>
        <item h="1" m="1" x="3697"/>
        <item h="1" m="1" x="4321"/>
        <item h="1" m="1" x="4084"/>
        <item h="1" m="1" x="4047"/>
        <item h="1" m="1" x="276"/>
        <item h="1" m="1" x="1862"/>
        <item h="1" m="1" x="3100"/>
        <item h="1" m="1" x="2830"/>
        <item h="1" m="1" x="1791"/>
        <item h="1" m="1" x="3489"/>
        <item h="1" m="1" x="3558"/>
        <item h="1" m="1" x="2779"/>
        <item h="1" m="1" x="4028"/>
        <item h="1" m="1" x="3722"/>
        <item h="1" m="1" x="2787"/>
        <item h="1" m="1" x="434"/>
        <item h="1" m="1" x="1588"/>
        <item h="1" m="1" x="2327"/>
        <item h="1" m="1" x="2543"/>
        <item h="1" m="1" x="1213"/>
        <item h="1" m="1" x="1920"/>
        <item h="1" m="1" x="3436"/>
        <item h="1" m="1" x="3656"/>
        <item h="1" m="1" x="363"/>
        <item h="1" m="1" x="4570"/>
        <item h="1" m="1" x="3999"/>
        <item h="1" m="1" x="19"/>
        <item h="1" m="1" x="3422"/>
        <item h="1" m="1" x="2523"/>
        <item h="1" m="1" x="2181"/>
        <item h="1" m="1" x="1007"/>
        <item h="1" m="1" x="33"/>
        <item h="1" m="1" x="256"/>
        <item h="1" m="1" x="1838"/>
        <item h="1" m="1" x="2264"/>
        <item h="1" m="1" x="436"/>
        <item h="1" m="1" x="1573"/>
        <item h="1" m="1" x="4647"/>
        <item h="1" m="1" x="4161"/>
        <item h="1" m="1" x="3028"/>
        <item h="1" m="1" x="2130"/>
        <item h="1" m="1" x="1102"/>
        <item h="1" m="1" x="559"/>
        <item h="1" m="1" x="1376"/>
        <item h="1" m="1" x="407"/>
        <item h="1" m="1" x="2772"/>
        <item h="1" m="1" x="1328"/>
        <item h="1" m="1" x="4029"/>
        <item h="1" m="1" x="2062"/>
        <item h="1" m="1" x="3486"/>
        <item h="1" m="1" x="1789"/>
        <item h="1" m="1" x="1952"/>
        <item h="1" m="1" x="643"/>
        <item h="1" m="1" x="3479"/>
        <item h="1" m="1" x="2464"/>
        <item h="1" m="1" x="1982"/>
        <item h="1" m="1" x="4513"/>
        <item h="1" m="1" x="757"/>
        <item h="1" m="1" x="4451"/>
        <item h="1" m="1" x="728"/>
        <item h="1" m="1" x="3512"/>
        <item h="1" m="1" x="942"/>
        <item h="1" m="1" x="135"/>
        <item h="1" m="1" x="4394"/>
        <item h="1" m="1" x="3810"/>
        <item h="1" m="1" x="1309"/>
        <item h="1" m="1" x="3937"/>
        <item h="1" m="1" x="4386"/>
        <item h="1" m="1" x="606"/>
        <item h="1" m="1" x="102"/>
        <item h="1" m="1" x="2869"/>
        <item h="1" m="1" x="2909"/>
        <item h="1" m="1" x="3253"/>
        <item h="1" m="1" x="3077"/>
        <item h="1" m="1" x="3185"/>
        <item h="1" m="1" x="312"/>
        <item h="1" m="1" x="740"/>
        <item h="1" m="1" x="708"/>
        <item h="1" m="1" x="1835"/>
        <item h="1" m="1" x="4014"/>
        <item h="1" m="1" x="1162"/>
        <item h="1" m="1" x="2788"/>
        <item h="1" m="1" x="4097"/>
        <item h="1" m="1" x="2249"/>
        <item h="1" m="1" x="693"/>
        <item h="1" m="1" x="3369"/>
        <item h="1" m="1" x="4036"/>
        <item h="1" m="1" x="2722"/>
        <item h="1" m="1" x="1642"/>
        <item h="1" m="1" x="1963"/>
        <item h="1" m="1" x="3148"/>
        <item h="1" m="1" x="2272"/>
        <item h="1" m="1" x="4201"/>
        <item h="1" m="1" x="3893"/>
        <item h="1" m="1" x="3963"/>
        <item h="1" m="1" x="2461"/>
        <item h="1" m="1" x="1780"/>
        <item h="1" m="1" x="383"/>
        <item h="1" m="1" x="2172"/>
        <item h="1" m="1" x="96"/>
        <item h="1" m="1" x="2030"/>
        <item h="1" m="1" x="2654"/>
        <item h="1" m="1" x="4090"/>
        <item h="1" m="1" x="711"/>
        <item h="1" m="1" x="2126"/>
        <item h="1" m="1" x="1281"/>
        <item h="1" m="1" x="3166"/>
        <item h="1" m="1" x="1908"/>
        <item h="1" m="1" x="2682"/>
        <item h="1" m="1" x="227"/>
        <item h="1" m="1" x="4523"/>
        <item h="1" m="1" x="3768"/>
        <item h="1" m="1" x="2857"/>
        <item h="1" m="1" x="4244"/>
        <item h="1" m="1" x="1951"/>
        <item h="1" m="1" x="3062"/>
        <item h="1" m="1" x="285"/>
        <item h="1" m="1" x="395"/>
        <item h="1" m="1" x="2834"/>
        <item h="1" m="1" x="378"/>
        <item h="1" m="1" x="405"/>
        <item h="1" m="1" x="1319"/>
        <item h="1" m="1" x="150"/>
        <item h="1" m="1" x="18"/>
        <item h="1" m="1" x="948"/>
        <item h="1" m="1" x="3440"/>
        <item h="1" m="1" x="1358"/>
        <item h="1" m="1" x="2902"/>
        <item h="1" m="1" x="1538"/>
        <item h="1" m="1" x="4152"/>
        <item h="1" m="1" x="2132"/>
        <item h="1" m="1" x="3060"/>
        <item h="1" m="1" x="2252"/>
        <item h="1" m="1" x="2678"/>
        <item h="1" m="1" x="3260"/>
        <item h="1" m="1" x="3419"/>
        <item h="1" m="1" x="311"/>
        <item h="1" m="1" x="2619"/>
        <item h="1" m="1" x="1372"/>
        <item h="1" m="1" x="3477"/>
        <item h="1" m="1" x="590"/>
        <item h="1" m="1" x="4540"/>
        <item h="1" m="1" x="1455"/>
        <item h="1" m="1" x="2183"/>
        <item h="1" m="1" x="2627"/>
        <item h="1" m="1" x="4240"/>
        <item h="1" m="1" x="3200"/>
        <item h="1" m="1" x="787"/>
        <item h="1" m="1" x="4130"/>
        <item h="1" m="1" x="4205"/>
        <item h="1" m="1" x="530"/>
        <item h="1" m="1" x="3682"/>
        <item h="1" m="1" x="1620"/>
        <item h="1" m="1" x="658"/>
        <item h="1" m="1" x="4042"/>
        <item h="1" m="1" x="3695"/>
        <item h="1" m="1" x="2015"/>
        <item h="1" m="1" x="4422"/>
        <item h="1" m="1" x="3773"/>
        <item h="1" m="1" x="972"/>
        <item h="1" m="1" x="525"/>
        <item h="1" m="1" x="4365"/>
        <item h="1" m="1" x="2754"/>
        <item h="1" m="1" x="4616"/>
        <item h="1" m="1" x="243"/>
        <item h="1" m="1" x="3592"/>
        <item h="1" m="1" x="3053"/>
        <item h="1" m="1" x="4170"/>
        <item h="1" m="1" x="1225"/>
        <item h="1" m="1" x="1903"/>
        <item h="1" m="1" x="1617"/>
        <item h="1" m="1" x="2399"/>
        <item h="1" m="1" x="1047"/>
        <item h="1" m="1" x="3845"/>
        <item h="1" m="1" x="3855"/>
        <item h="1" m="1" x="4573"/>
        <item h="1" m="1" x="4405"/>
        <item h="1" m="1" x="1512"/>
        <item h="1" m="1" x="3582"/>
        <item h="1" m="1" x="2074"/>
        <item h="1" m="1" x="4641"/>
        <item h="1" m="1" x="195"/>
        <item h="1" m="1" x="2886"/>
        <item h="1" m="1" x="2650"/>
        <item h="1" m="1" x="4268"/>
        <item h="1" m="1" x="4104"/>
        <item h="1" m="1" x="3938"/>
        <item h="1" m="1" x="2337"/>
        <item h="1" m="1" x="580"/>
        <item h="1" m="1" x="2128"/>
        <item h="1" m="1" x="4478"/>
        <item h="1" m="1" x="2302"/>
        <item h="1" m="1" x="1432"/>
        <item h="1" m="1" x="2301"/>
        <item h="1" m="1" x="208"/>
        <item h="1" m="1" x="1922"/>
        <item h="1" m="1" x="2728"/>
        <item h="1" m="1" x="3232"/>
        <item h="1" m="1" x="3919"/>
        <item h="1" m="1" x="3764"/>
        <item h="1" m="1" x="303"/>
        <item h="1" m="1" x="1983"/>
        <item h="1" m="1" x="1354"/>
        <item h="1" m="1" x="4626"/>
        <item h="1" m="1" x="1739"/>
        <item h="1" m="1" x="3942"/>
        <item h="1" m="1" x="139"/>
        <item h="1" m="1" x="1577"/>
        <item h="1" m="1" x="3978"/>
        <item h="1" m="1" x="1249"/>
        <item h="1" m="1" x="1532"/>
        <item h="1" m="1" x="385"/>
        <item h="1" m="1" x="1859"/>
        <item h="1" m="1" x="353"/>
        <item h="1" m="1" x="1183"/>
        <item h="1" m="1" x="4327"/>
        <item h="1" m="1" x="3561"/>
        <item h="1" m="1" x="504"/>
        <item h="1" m="1" x="186"/>
        <item h="1" m="1" x="3832"/>
        <item h="1" m="1" x="2836"/>
        <item h="1" m="1" x="2936"/>
        <item h="1" m="1" x="3590"/>
        <item h="1" m="1" x="826"/>
        <item h="1" m="1" x="808"/>
        <item h="1" m="1" x="197"/>
        <item h="1" m="1" x="1687"/>
        <item h="1" m="1" x="3383"/>
        <item h="1" m="1" x="1726"/>
        <item h="1" m="1" x="3516"/>
        <item h="1" m="1" x="656"/>
        <item h="1" m="1" x="1722"/>
        <item h="1" m="1" x="4402"/>
        <item h="1" m="1" x="3586"/>
        <item h="1" m="1" x="4203"/>
        <item h="1" m="1" x="482"/>
        <item h="1" m="1" x="3287"/>
        <item h="1" m="1" x="4631"/>
        <item h="1" m="1" x="2138"/>
        <item h="1" m="1" x="4380"/>
        <item h="1" m="1" x="3321"/>
        <item h="1" m="1" x="419"/>
        <item h="1" m="1" x="802"/>
        <item h="1" m="1" x="3453"/>
        <item h="1" m="1" x="1972"/>
        <item h="1" m="1" x="206"/>
        <item h="1" m="1" x="1849"/>
        <item h="1" m="1" x="3827"/>
        <item h="1" m="1" x="2497"/>
        <item h="1" m="1" x="2238"/>
        <item h="1" m="1" x="3997"/>
        <item h="1" m="1" x="959"/>
        <item h="1" m="1" x="2903"/>
        <item h="1" m="1" x="857"/>
        <item h="1" m="1" x="4443"/>
        <item h="1" m="1" x="690"/>
        <item h="1" m="1" x="1583"/>
        <item h="1" m="1" x="1148"/>
        <item h="1" m="1" x="1117"/>
        <item h="1" m="1" x="3961"/>
        <item h="1" m="1" x="1683"/>
        <item h="1" m="1" x="2469"/>
        <item h="1" m="1" x="2384"/>
        <item h="1" m="1" x="296"/>
        <item h="1" m="1" x="39"/>
        <item h="1" m="1" x="3574"/>
        <item h="1" m="1" x="343"/>
        <item h="1" m="1" x="3234"/>
        <item h="1" m="1" x="1513"/>
        <item h="1" m="1" x="140"/>
        <item h="1" m="1" x="2377"/>
        <item h="1" m="1" x="3470"/>
        <item h="1" m="1" x="2548"/>
        <item h="1" m="1" x="2602"/>
        <item h="1" m="1" x="2655"/>
        <item h="1" m="1" x="366"/>
        <item h="1" m="1" x="2197"/>
        <item h="1" m="1" x="252"/>
        <item h="1" m="1" x="4507"/>
        <item h="1" m="1" x="668"/>
        <item h="1" m="1" x="441"/>
        <item h="1" m="1" x="4057"/>
        <item h="1" m="1" x="3354"/>
        <item h="1" m="1" x="3888"/>
        <item h="1" m="1" x="1419"/>
        <item h="1" m="1" x="2504"/>
        <item h="1" m="1" x="427"/>
        <item h="1" m="1" x="889"/>
        <item h="1" m="1" x="987"/>
        <item h="1" m="1" x="4503"/>
        <item h="1" m="1" x="3708"/>
        <item h="1" m="1" x="3464"/>
        <item h="1" m="1" x="3276"/>
        <item h="1" m="1" x="2487"/>
        <item h="1" m="1" x="3533"/>
        <item h="1" m="1" x="4132"/>
        <item h="1" m="1" x="4572"/>
        <item h="1" m="1" x="2001"/>
        <item h="1" m="1" x="4509"/>
        <item h="1" m="1" x="3032"/>
        <item h="1" m="1" x="3741"/>
        <item h="1" m="1" x="3105"/>
        <item h="1" m="1" x="3449"/>
        <item h="1" m="1" x="2852"/>
        <item h="1" m="1" x="674"/>
        <item h="1" m="1" x="3544"/>
        <item h="1" m="1" x="2699"/>
        <item h="1" m="1" x="801"/>
        <item h="1" m="1" x="950"/>
        <item h="1" m="1" x="457"/>
        <item h="1" m="1" x="4216"/>
        <item h="1" m="1" x="2049"/>
        <item h="1" m="1" x="1255"/>
        <item h="1" m="1" x="2018"/>
        <item h="1" m="1" x="221"/>
        <item h="1" m="1" x="2242"/>
        <item h="1" m="1" x="2394"/>
        <item h="1" m="1" x="3420"/>
        <item h="1" m="1" x="1090"/>
        <item h="1" m="1" x="1566"/>
        <item h="1" m="1" x="1545"/>
        <item h="1" m="1" x="1921"/>
        <item h="1" m="1" x="3936"/>
        <item h="1" m="1" x="873"/>
        <item h="1" m="1" x="3282"/>
        <item h="1" m="1" x="817"/>
        <item h="1" m="1" x="3709"/>
        <item h="1" m="1" x="4575"/>
        <item h="1" m="1" x="1568"/>
        <item h="1" m="1" x="3536"/>
        <item h="1" m="1" x="2949"/>
        <item h="1" m="1" x="816"/>
        <item h="1" m="1" x="1004"/>
        <item h="1" m="1" x="2794"/>
        <item h="1" m="1" x="1179"/>
        <item h="1" m="1" x="1630"/>
        <item h="1" m="1" x="4189"/>
        <item h="1" m="1" x="4470"/>
        <item h="1" m="1" x="4058"/>
        <item h="1" m="1" x="4556"/>
        <item h="1" m="1" x="3921"/>
        <item h="1" m="1" x="4377"/>
        <item h="1" m="1" x="3195"/>
        <item h="1" m="1" x="2331"/>
        <item h="1" m="1" x="2959"/>
        <item h="1" m="1" x="818"/>
        <item h="1" m="1" x="4322"/>
        <item h="1" m="1" x="1985"/>
        <item h="1" m="1" x="712"/>
        <item h="1" m="1" x="464"/>
        <item h="1" m="1" x="2339"/>
        <item h="1" m="1" x="1823"/>
        <item h="1" m="1" x="1896"/>
        <item h="1" m="1" x="151"/>
        <item h="1" m="1" x="572"/>
        <item h="1" m="1" x="3576"/>
        <item h="1" m="1" x="3501"/>
        <item h="1" m="1" x="3896"/>
        <item h="1" m="1" x="3164"/>
        <item h="1" m="1" x="664"/>
        <item h="1" m="1" x="1106"/>
        <item h="1" m="1" x="83"/>
        <item h="1" m="1" x="2409"/>
        <item h="1" m="1" x="507"/>
        <item h="1" m="1" x="2673"/>
        <item h="1" m="1" x="1357"/>
        <item h="1" m="1" x="4498"/>
        <item h="1" m="1" x="2398"/>
        <item h="1" m="1" x="2837"/>
        <item h="1" m="1" x="4213"/>
        <item h="1" m="1" x="3228"/>
        <item h="1" m="1" x="1697"/>
        <item h="1" m="1" x="3306"/>
        <item h="1" m="1" x="67"/>
        <item h="1" m="1" x="305"/>
        <item h="1" m="1" x="2911"/>
        <item h="1" m="1" x="1279"/>
        <item h="1" m="1" x="1762"/>
        <item h="1" m="1" x="1810"/>
        <item h="1" m="1" x="2680"/>
        <item h="1" m="1" x="2629"/>
        <item h="1" m="1" x="3568"/>
        <item h="1" m="1" x="2808"/>
        <item h="1" m="1" x="4617"/>
        <item h="1" m="1" x="589"/>
        <item h="1" m="1" x="4486"/>
        <item h="1" m="1" x="165"/>
        <item h="1" m="1" x="761"/>
        <item h="1" m="1" x="2677"/>
        <item h="1" m="1" x="1216"/>
        <item h="1" m="1" x="600"/>
        <item h="1" m="1" x="458"/>
        <item h="1" m="1" x="1272"/>
        <item h="1" m="1" x="258"/>
        <item h="1" m="1" x="1390"/>
        <item h="1" m="1" x="3854"/>
        <item h="1" m="1" x="2686"/>
        <item h="1" m="1" x="4226"/>
        <item h="1" m="1" x="3831"/>
        <item h="1" m="1" x="2244"/>
        <item h="1" m="1" x="1197"/>
        <item h="1" m="1" x="2691"/>
        <item h="1" m="1" x="4064"/>
        <item h="1" m="1" x="698"/>
        <item h="1" m="1" x="2954"/>
        <item h="1" m="1" x="160"/>
        <item h="1" m="1" x="2145"/>
        <item h="1" m="1" x="3393"/>
        <item h="1" m="1" x="149"/>
        <item h="1" m="1" x="1168"/>
        <item h="1" m="1" x="3615"/>
        <item h="1" m="1" x="2292"/>
        <item h="1" m="1" x="3560"/>
        <item h="1" m="1" x="5"/>
        <item h="1" m="1" x="1062"/>
        <item h="1" m="1" x="3795"/>
        <item h="1" m="1" x="230"/>
        <item h="1" m="1" x="3235"/>
        <item h="1" m="1" x="203"/>
        <item h="1" m="1" x="4349"/>
        <item h="1" m="1" x="4497"/>
        <item h="1" m="1" x="3206"/>
        <item h="1" m="1" x="821"/>
        <item h="1" m="1" x="4261"/>
        <item h="1" m="1" x="27"/>
        <item h="1" m="1" x="3816"/>
        <item h="1" m="1" x="2555"/>
        <item h="1" m="1" x="2176"/>
        <item h="1" m="1" x="2288"/>
        <item h="1" m="1" x="4198"/>
        <item h="1" m="1" x="3397"/>
        <item h="1" m="1" x="548"/>
        <item h="1" m="1" x="2990"/>
        <item h="1" m="1" x="1478"/>
        <item h="1" m="1" x="4251"/>
        <item h="1" m="1" x="2544"/>
        <item h="1" m="1" x="4495"/>
        <item h="1" m="1" x="1763"/>
        <item h="1" m="1" x="4309"/>
        <item h="1" m="1" x="3107"/>
        <item h="1" m="1" x="1236"/>
        <item h="1" m="1" x="968"/>
        <item h="1" m="1" x="2580"/>
        <item h="1" m="1" x="1648"/>
        <item h="1" m="1" x="3641"/>
        <item h="1" m="1" x="1876"/>
        <item h="1" m="1" x="2846"/>
        <item h="1" m="1" x="3777"/>
        <item h="1" m="1" x="239"/>
        <item h="1" m="1" x="1274"/>
        <item h="1" m="1" x="2649"/>
        <item h="1" m="1" x="603"/>
        <item h="1" m="1" x="4333"/>
        <item h="1" m="1" x="62"/>
        <item h="1" m="1" x="78"/>
        <item h="1" m="1" x="157"/>
        <item h="1" m="1" x="713"/>
        <item h="1" m="1" x="2071"/>
        <item h="1" m="1" x="3966"/>
        <item h="1" m="1" x="2747"/>
        <item h="1" m="1" x="3023"/>
        <item h="1" m="1" x="3033"/>
        <item h="1" m="1" x="3705"/>
        <item h="1" m="1" x="2923"/>
        <item h="1" m="1" x="1508"/>
        <item h="1" m="1" x="3838"/>
        <item h="1" m="1" x="2805"/>
        <item h="1" m="1" x="3173"/>
        <item h="1" m="1" x="662"/>
        <item h="1" m="1" x="746"/>
        <item h="1" m="1" x="1878"/>
        <item h="1" m="1" x="895"/>
        <item h="1" m="1" x="1904"/>
        <item h="1" m="1" x="914"/>
        <item h="1" m="1" x="4100"/>
        <item h="1" m="1" x="4012"/>
        <item h="1" m="1" x="1399"/>
        <item h="1" m="1" x="3012"/>
        <item h="1" m="1" x="1405"/>
        <item h="1" m="1" x="3355"/>
        <item h="1" m="1" x="3900"/>
        <item h="1" m="1" x="1589"/>
        <item h="1" m="1" x="766"/>
        <item h="1" m="1" x="1481"/>
        <item h="1" m="1" x="4301"/>
        <item h="1" m="1" x="1350"/>
        <item h="1" m="1" x="2102"/>
        <item h="1" m="1" x="3171"/>
        <item h="1" m="1" x="897"/>
        <item h="1" m="1" x="3792"/>
        <item h="1" m="1" x="3745"/>
        <item h="1" m="1" x="4545"/>
        <item h="1" m="1" x="2657"/>
        <item h="1" m="1" x="3085"/>
        <item h="1" m="1" x="2179"/>
        <item h="1" m="1" x="2625"/>
        <item h="1" m="1" x="2786"/>
        <item h="1" m="1" x="3091"/>
        <item h="1" m="1" x="1336"/>
        <item h="1" m="1" x="1355"/>
        <item h="1" m="1" x="1366"/>
        <item h="1" m="1" x="3229"/>
        <item h="1" m="1" x="4223"/>
        <item h="1" m="1" x="824"/>
        <item h="1" m="1" x="1203"/>
        <item h="1" m="1" x="1000"/>
        <item h="1" m="1" x="2478"/>
        <item h="1" m="1" x="4526"/>
        <item h="1" m="1" x="2320"/>
        <item h="1" m="1" x="3039"/>
        <item h="1" m="1" x="971"/>
        <item h="1" m="1" x="1365"/>
        <item h="1" m="1" x="1294"/>
        <item h="1" m="1" x="1053"/>
        <item h="1" m="1" x="4179"/>
        <item h="1" m="1" x="184"/>
        <item h="1" m="1" x="1631"/>
        <item h="1" m="1" x="4293"/>
        <item h="1" m="1" x="66"/>
        <item h="1" m="1" x="2761"/>
        <item h="1" m="1" x="806"/>
        <item h="1" m="1" x="714"/>
        <item h="1" m="1" x="394"/>
        <item h="1" m="1" x="417"/>
        <item h="1" m="1" x="3994"/>
        <item h="1" m="1" x="2818"/>
        <item h="1" m="1" x="2482"/>
        <item h="1" m="1" x="2073"/>
        <item h="1" m="1" x="2843"/>
        <item h="1" m="1" x="2862"/>
        <item h="1" m="1" x="593"/>
        <item h="1" m="1" x="2666"/>
        <item h="1" m="1" x="1246"/>
        <item h="1" m="1" x="1177"/>
        <item h="1" m="1" x="188"/>
        <item h="1" m="1" x="3386"/>
        <item h="1" m="1" x="618"/>
        <item h="1" m="1" x="4187"/>
        <item h="1" m="1" x="2866"/>
        <item h="1" m="1" x="777"/>
        <item h="1" m="1" x="4369"/>
        <item h="1" m="1" x="1436"/>
        <item h="1" m="1" x="4351"/>
        <item h="1" m="1" x="64"/>
        <item h="1" m="1" x="2708"/>
        <item h="1" m="1" x="3668"/>
        <item h="1" m="1" x="1191"/>
        <item h="1" m="1" x="69"/>
        <item h="1" m="1" x="3221"/>
        <item h="1" m="1" x="3987"/>
        <item h="1" m="1" x="3860"/>
        <item h="1" m="1" x="4460"/>
        <item h="1" m="1" x="4568"/>
        <item h="1" m="1" x="581"/>
        <item h="1" m="1" x="2904"/>
        <item h="1" m="1" x="1008"/>
        <item h="1" m="1" x="1072"/>
        <item h="1" m="1" x="1993"/>
        <item h="1" m="1" x="1320"/>
        <item h="1" m="1" x="4163"/>
        <item h="1" m="1" x="2683"/>
        <item h="1" m="1" x="929"/>
        <item h="1" m="1" x="3782"/>
        <item h="1" m="1" x="1523"/>
        <item h="1" m="1" x="3445"/>
        <item h="1" m="1" x="3851"/>
        <item h="1" m="1" x="1163"/>
        <item h="1" m="1" x="1782"/>
        <item h="1" m="1" x="1171"/>
        <item h="1" m="1" x="3463"/>
        <item h="1" m="1" x="554"/>
        <item h="1" m="1" x="3403"/>
        <item h="1" m="1" x="3704"/>
        <item h="1" m="1" x="4481"/>
        <item h="1" m="1" x="3602"/>
        <item h="1" m="1" x="2361"/>
        <item h="1" m="1" x="13"/>
        <item h="1" m="1" x="3047"/>
        <item h="1" m="1" x="3639"/>
        <item h="1" m="1" x="2782"/>
        <item h="1" m="1" x="2492"/>
        <item h="1" m="1" x="4025"/>
        <item h="1" m="1" x="903"/>
        <item h="1" m="1" x="45"/>
        <item h="1" m="1" x="1444"/>
        <item h="1" m="1" x="360"/>
        <item h="1" m="1" x="628"/>
        <item h="1" m="1" x="815"/>
        <item h="1" m="1" x="771"/>
        <item h="1" m="1" x="485"/>
        <item h="1" m="1" x="735"/>
        <item h="1" m="1" x="4476"/>
        <item h="1" m="1" x="2432"/>
        <item h="1" m="1" x="4023"/>
        <item h="1" m="1" x="2086"/>
        <item h="1" m="1" x="2642"/>
        <item h="1" m="1" x="834"/>
        <item h="1" m="1" x="1077"/>
        <item h="1" m="1" x="4250"/>
        <item m="1" x="1110"/>
        <item h="1" m="1" x="4412"/>
        <item h="1" m="1" x="2279"/>
        <item h="1" m="1" x="1529"/>
        <item h="1" m="1" x="2174"/>
        <item h="1" m="1" x="249"/>
        <item h="1" m="1" x="4597"/>
        <item h="1" m="1" x="1166"/>
        <item h="1" m="1" x="845"/>
        <item h="1" m="1" x="2090"/>
        <item h="1" m="1" x="4139"/>
        <item h="1" m="1" x="4162"/>
        <item h="1" m="1" x="3944"/>
        <item h="1" m="1" x="3833"/>
        <item h="1" m="1" x="2844"/>
        <item h="1" m="1" x="2581"/>
        <item h="1" m="1" x="4636"/>
        <item h="1" m="1" x="629"/>
        <item h="1" m="1" x="2325"/>
        <item h="1" m="1" x="4298"/>
        <item h="1" m="1" x="179"/>
        <item h="1" m="1" x="3876"/>
        <item h="1" m="1" x="626"/>
        <item h="1" m="1" x="404"/>
        <item h="1" m="1" x="577"/>
        <item h="1" m="1" x="1494"/>
        <item h="1" m="1" x="1409"/>
        <item h="1" m="1" x="4375"/>
        <item h="1" m="1" x="560"/>
        <item h="1" m="1" x="1096"/>
        <item h="1" m="1" x="2220"/>
        <item h="1" m="1" x="4364"/>
        <item h="1" m="1" x="2658"/>
        <item h="1" m="1" x="1081"/>
        <item h="1" m="1" x="138"/>
        <item h="1" m="1" x="2344"/>
        <item h="1" m="1" x="1693"/>
        <item h="1" m="1" x="2679"/>
        <item h="1" m="1" x="1292"/>
        <item h="1" m="1" x="4411"/>
        <item h="1" m="1" x="4483"/>
        <item h="1" m="1" x="1277"/>
        <item h="1" m="1" x="2720"/>
        <item h="1" m="1" x="823"/>
        <item h="1" m="1" x="3065"/>
        <item h="1" m="1" x="4149"/>
        <item h="1" m="1" x="1180"/>
        <item h="1" m="1" x="3104"/>
        <item h="1" m="1" x="70"/>
        <item h="1" m="1" x="1550"/>
        <item h="1" m="1" x="268"/>
        <item h="1" m="1" x="3137"/>
        <item h="1" m="1" x="1370"/>
        <item h="1" m="1" x="2998"/>
        <item h="1" m="1" x="1332"/>
        <item h="1" m="1" x="3733"/>
        <item h="1" m="1" x="3277"/>
        <item h="1" m="1" x="985"/>
        <item h="1" m="1" x="3557"/>
        <item h="1" m="1" x="2430"/>
        <item h="1" m="1" x="1383"/>
        <item h="1" m="1" x="3136"/>
        <item h="1" m="1" x="3822"/>
        <item h="1" m="1" x="1232"/>
        <item h="1" m="1" x="3198"/>
        <item h="1" m="1" x="875"/>
        <item h="1" m="1" x="2457"/>
        <item h="1" m="1" x="4093"/>
        <item h="1" m="1" x="2550"/>
        <item h="1" m="1" x="1536"/>
        <item h="1" m="1" x="2251"/>
        <item h="1" m="1" x="1493"/>
        <item h="1" m="1" x="1738"/>
        <item h="1" m="1" x="1476"/>
        <item h="1" m="1" x="1781"/>
        <item h="1" m="1" x="975"/>
        <item h="1" m="1" x="2803"/>
        <item h="1" m="1" x="1371"/>
        <item h="1" m="1" x="2055"/>
        <item h="1" m="1" x="1503"/>
        <item h="1" m="1" x="2005"/>
        <item h="1" m="1" x="3629"/>
        <item h="1" m="1" x="2241"/>
        <item h="1" m="1" x="1044"/>
        <item h="1" m="1" x="1170"/>
        <item h="1" m="1" x="3662"/>
        <item h="1" m="1" x="11"/>
        <item h="1" m="1" x="3296"/>
        <item h="1" m="1" x="3034"/>
        <item h="1" m="1" x="3700"/>
        <item h="1" m="1" x="4379"/>
        <item h="1" m="1" x="4415"/>
        <item h="1" m="1" x="3261"/>
        <item h="1" m="1" x="2638"/>
        <item h="1" m="1" x="3007"/>
        <item h="1" m="1" x="3008"/>
        <item h="1" m="1" x="3098"/>
        <item h="1" m="1" x="183"/>
        <item h="1" m="1" x="2193"/>
        <item h="1" m="1" x="2557"/>
        <item h="1" m="1" x="4521"/>
        <item h="1" m="1" x="3619"/>
        <item h="1" m="1" x="4083"/>
        <item h="1" m="1" x="1122"/>
        <item h="1" m="1" x="1592"/>
        <item h="1" m="1" x="2023"/>
        <item h="1" m="1" x="321"/>
        <item h="1" m="1" x="997"/>
        <item h="1" m="1" x="1759"/>
        <item h="1" m="1" x="1511"/>
        <item h="1" m="1" x="594"/>
        <item h="1" m="1" x="2608"/>
        <item h="1" m="1" x="93"/>
        <item h="1" m="1" x="1710"/>
        <item h="1" m="1" x="1855"/>
        <item h="1" m="1" x="4259"/>
        <item h="1" m="1" x="925"/>
        <item h="1" m="1" x="591"/>
        <item h="1" m="1" x="168"/>
        <item h="1" m="1" x="2142"/>
        <item h="1" m="1" x="2370"/>
        <item h="1" m="1" x="2867"/>
        <item h="1" m="1" x="4015"/>
        <item h="1" m="1" x="2877"/>
        <item h="1" m="1" x="429"/>
        <item h="1" m="1" x="2423"/>
        <item h="1" m="1" x="1867"/>
        <item h="1" m="1" x="4632"/>
        <item h="1" m="1" x="2729"/>
        <item h="1" m="1" x="1316"/>
        <item h="1" m="1" x="2353"/>
        <item h="1" m="1" x="1174"/>
        <item h="1" m="1" x="1851"/>
        <item h="1" m="1" x="4354"/>
        <item h="1" m="1" x="1826"/>
        <item h="1" m="1" x="2513"/>
        <item h="1" m="1" x="2199"/>
        <item h="1" m="1" x="1670"/>
        <item h="1" m="1" x="3950"/>
        <item h="1" m="1" x="2933"/>
        <item h="1" m="1" x="4587"/>
        <item h="1" m="1" x="4194"/>
        <item h="1" m="1" x="1495"/>
        <item h="1" m="1" x="534"/>
        <item h="1" m="1" x="2926"/>
        <item h="1" m="1" x="3877"/>
        <item h="1" m="1" x="2359"/>
        <item h="1" m="1" x="288"/>
        <item h="1" m="1" x="4032"/>
        <item h="1" m="1" x="3946"/>
        <item h="1" m="1" x="3899"/>
        <item h="1" m="1" x="1356"/>
        <item h="1" m="1" x="2131"/>
        <item h="1" m="1" x="595"/>
        <item h="1" m="1" x="4423"/>
        <item h="1" m="1" x="3365"/>
        <item h="1" m="1" x="180"/>
        <item h="1" m="1" x="1028"/>
        <item h="1" m="1" x="2882"/>
        <item h="1" m="1" x="2225"/>
        <item h="1" m="1" x="2690"/>
        <item h="1" m="1" x="2347"/>
        <item h="1" m="1" x="915"/>
        <item h="1" m="1" x="843"/>
        <item h="1" m="1" x="2810"/>
        <item h="1" m="1" x="4289"/>
        <item h="1" m="1" x="1830"/>
        <item h="1" m="1" x="702"/>
        <item h="1" m="1" x="1029"/>
        <item h="1" m="1" x="885"/>
        <item h="1" m="1" x="3135"/>
        <item h="1" m="1" x="858"/>
        <item h="1" m="1" x="731"/>
        <item h="1" m="1" x="22"/>
        <item h="1" m="1" x="4532"/>
        <item h="1" m="1" x="4489"/>
        <item h="1" m="1" x="3199"/>
        <item h="1" m="1" x="4169"/>
        <item h="1" m="1" x="4140"/>
        <item h="1" m="1" x="2768"/>
        <item h="1" m="1" x="4551"/>
        <item h="1" m="1" x="1284"/>
        <item h="1" m="1" x="1108"/>
        <item h="1" m="1" x="4387"/>
        <item h="1" m="1" x="1489"/>
        <item h="1" m="1" x="1988"/>
        <item h="1" m="1" x="185"/>
        <item h="1" m="1" x="1011"/>
        <item h="1" m="1" x="3003"/>
        <item h="1" m="1" x="36"/>
        <item h="1" m="1" x="1820"/>
        <item h="1" m="1" x="1133"/>
        <item h="1" m="1" x="2653"/>
        <item h="1" m="1" x="2973"/>
        <item h="1" m="1" x="2436"/>
        <item h="1" m="1" x="906"/>
        <item h="1" m="1" x="2052"/>
        <item h="1" m="1" x="3305"/>
        <item m="1" x="1086"/>
        <item h="1" m="1" x="607"/>
        <item h="1" m="1" x="201"/>
        <item h="1" m="1" x="3886"/>
        <item h="1" m="1" x="2940"/>
        <item h="1" m="1" x="264"/>
        <item h="1" m="1" x="1164"/>
        <item h="1" m="1" x="4285"/>
        <item h="1" m="1" x="1280"/>
        <item h="1" m="1" x="3019"/>
        <item h="1" m="1" x="1005"/>
        <item h="1" m="1" x="4176"/>
        <item h="1" m="1" x="3817"/>
        <item h="1" m="1" x="3625"/>
        <item h="1" m="1" x="1290"/>
        <item h="1" m="1" x="1515"/>
        <item h="1" m="1" x="3746"/>
        <item h="1" m="1" x="465"/>
        <item h="1" m="1" x="1707"/>
        <item h="1" m="1" x="380"/>
        <item h="1" m="1" x="949"/>
        <item h="1" m="1" x="3759"/>
        <item h="1" m="1" x="4579"/>
        <item h="1" m="1" x="2626"/>
        <item h="1" m="1" x="4643"/>
        <item h="1" m="1" x="4096"/>
        <item h="1" m="1" x="131"/>
        <item h="1" m="1" x="1460"/>
        <item h="1" m="1" x="4456"/>
        <item h="1" m="1" x="1353"/>
        <item h="1" m="1" x="2798"/>
        <item h="1" m="1" x="4068"/>
        <item h="1" m="1" x="1770"/>
        <item h="1" m="1" x="2628"/>
        <item h="1" m="1" x="2268"/>
        <item h="1" m="1" x="2984"/>
        <item h="1" m="1" x="156"/>
        <item h="1" m="1" x="2185"/>
        <item h="1" m="1" x="3983"/>
        <item h="1" m="1" x="1654"/>
        <item h="1" m="1" x="4101"/>
        <item h="1" m="1" x="579"/>
        <item h="1" m="1" x="1925"/>
        <item h="1" m="1" x="4109"/>
        <item h="1" m="1" x="753"/>
        <item h="1" m="1" x="3880"/>
        <item h="1" m="1" x="2297"/>
        <item h="1" m="1" x="4121"/>
        <item h="1" m="1" x="2598"/>
        <item h="1" m="1" x="2463"/>
        <item h="1" m="1" x="1931"/>
        <item h="1" m="1" x="1314"/>
        <item h="1" m="1" x="1751"/>
        <item h="1" m="1" x="1633"/>
        <item h="1" m="1" x="1210"/>
        <item h="1" m="1" x="3814"/>
        <item h="1" m="1" x="4262"/>
        <item h="1" m="1" x="2574"/>
        <item h="1" m="1" x="965"/>
        <item h="1" m="1" x="3188"/>
        <item h="1" m="1" x="3882"/>
        <item h="1" m="1" x="634"/>
        <item h="1" m="1" x="516"/>
        <item h="1" m="1" x="1186"/>
        <item h="1" m="1" x="4446"/>
        <item h="1" m="1" x="3392"/>
        <item h="1" m="1" x="831"/>
        <item h="1" m="1" x="2284"/>
        <item h="1" m="1" x="1833"/>
        <item h="1" m="1" x="715"/>
        <item h="1" m="1" x="830"/>
        <item h="1" m="1" x="2080"/>
        <item h="1" m="1" x="4059"/>
        <item h="1" m="1" x="2452"/>
        <item h="1" m="1" x="946"/>
        <item h="1" m="1" x="3466"/>
        <item h="1" m="1" x="4406"/>
        <item h="1" m="1" x="1392"/>
        <item h="1" m="1" x="1537"/>
        <item h="1" m="1" x="3725"/>
        <item h="1" m="1" x="2450"/>
        <item h="1" m="1" x="2599"/>
        <item h="1" m="1" x="671"/>
        <item h="1" m="1" x="3122"/>
        <item h="1" m="1" x="683"/>
        <item h="1" m="1" x="2365"/>
        <item h="1" m="1" x="2700"/>
        <item h="1" m="1" x="654"/>
        <item h="1" m="1" x="1201"/>
        <item h="1" m="1" x="803"/>
        <item h="1" m="1" x="1438"/>
        <item h="1" m="1" x="1408"/>
        <item h="1" m="1" x="2950"/>
        <item h="1" m="1" x="1118"/>
        <item h="1" m="1" x="3847"/>
        <item h="1" m="1" x="2709"/>
        <item h="1" m="1" x="2623"/>
        <item h="1" m="1" x="302"/>
        <item h="1" m="1" x="1682"/>
        <item h="1" m="1" x="4452"/>
        <item h="1" m="1" x="1794"/>
        <item h="1" m="1" x="3714"/>
        <item h="1" m="1" x="2820"/>
        <item h="1" m="1" x="3699"/>
        <item h="1" m="1" x="2767"/>
        <item h="1" m="1" x="2428"/>
        <item h="1" m="1" x="198"/>
        <item h="1" m="1" x="3543"/>
        <item h="1" m="1" x="1443"/>
        <item h="1" m="1" x="4372"/>
        <item h="1" m="1" x="1497"/>
        <item h="1" m="1" x="973"/>
        <item h="1" m="1" x="3685"/>
        <item h="1" m="1" x="313"/>
        <item h="1" m="1" x="2665"/>
        <item h="1" m="1" x="4279"/>
        <item h="1" m="1" x="2250"/>
        <item h="1" m="1" x="2415"/>
        <item h="1" m="1" x="2785"/>
        <item h="1" m="1" x="751"/>
        <item h="1" m="1" x="4320"/>
        <item h="1" m="1" x="4471"/>
        <item m="1" x="4493"/>
        <item h="1" m="1" x="1130"/>
        <item h="1" m="1" x="3147"/>
        <item h="1" m="1" x="3224"/>
        <item h="1" m="1" x="679"/>
        <item h="1" m="1" x="238"/>
        <item h="1" m="1" x="1696"/>
        <item h="1" m="1" x="2483"/>
        <item h="1" m="1" x="246"/>
        <item h="1" m="1" x="2291"/>
        <item h="1" m="1" x="791"/>
        <item h="1" m="1" x="1067"/>
        <item h="1" m="1" x="1553"/>
        <item h="1" m="1" x="3955"/>
        <item h="1" m="1" x="3363"/>
        <item h="1" m="1" x="1991"/>
        <item h="1" m="1" x="3404"/>
        <item h="1" m="1" x="2644"/>
        <item h="1" m="1" x="3118"/>
        <item h="1" m="1" x="2566"/>
        <item h="1" m="1" x="3407"/>
        <item h="1" m="1" x="3871"/>
        <item h="1" m="1" x="2890"/>
        <item h="1" m="1" x="3659"/>
        <item h="1" m="1" x="2084"/>
        <item h="1" m="1" x="3527"/>
        <item h="1" m="1" x="919"/>
        <item h="1" m="1" x="1423"/>
        <item h="1" m="1" x="4087"/>
        <item h="1" m="1" x="4510"/>
        <item h="1" m="1" x="4421"/>
        <item h="1" m="1" x="3302"/>
        <item h="1" m="1" x="104"/>
        <item h="1" m="1" x="2290"/>
        <item h="1" m="1" x="2013"/>
        <item h="1" m="1" x="1961"/>
        <item h="1" m="1" x="1331"/>
        <item h="1" m="1" x="930"/>
        <item h="1" m="1" x="3584"/>
        <item h="1" m="1" x="3744"/>
        <item h="1" m="1" x="4056"/>
        <item h="1" m="1" x="2298"/>
        <item h="1" m="1" x="2270"/>
        <item h="1" m="1" x="1861"/>
        <item h="1" m="1" x="1554"/>
        <item h="1" m="1" x="4001"/>
        <item h="1" m="1" x="2034"/>
        <item h="1" m="1" x="2969"/>
        <item h="1" m="1" x="3329"/>
        <item h="1" m="1" x="2139"/>
        <item h="1" m="1" x="1609"/>
        <item h="1" m="1" x="1906"/>
        <item h="1" m="1" x="998"/>
        <item h="1" m="1" x="2652"/>
        <item h="1" m="1" x="3650"/>
        <item h="1" m="1" x="1605"/>
        <item h="1" m="1" x="3960"/>
        <item h="1" m="1" x="3754"/>
        <item h="1" m="1" x="2418"/>
        <item h="1" m="1" x="4231"/>
        <item h="1" m="1" x="1639"/>
        <item h="1" m="1" x="4124"/>
        <item h="1" m="1" x="3108"/>
        <item h="1" m="1" x="989"/>
        <item m="1" x="3929"/>
        <item h="1" m="1" x="3653"/>
        <item h="1" m="1" x="459"/>
        <item h="1" m="1" x="2603"/>
        <item h="1" m="1" x="4622"/>
        <item h="1" m="1" x="2800"/>
        <item h="1" m="1" x="32"/>
        <item h="1" m="1" x="340"/>
        <item h="1" m="1" x="513"/>
        <item h="1" m="1" x="3887"/>
        <item h="1" m="1" x="1907"/>
        <item h="1" m="1" x="2355"/>
        <item h="1" m="1" x="3913"/>
        <item h="1" m="1" x="4416"/>
        <item h="1" m="1" x="2994"/>
        <item h="1" m="1" x="951"/>
        <item h="1" m="1" x="2312"/>
        <item h="1" m="1" x="3605"/>
        <item h="1" m="1" x="3406"/>
        <item h="1" m="1" x="974"/>
        <item h="1" m="1" x="3862"/>
        <item h="1" m="1" x="635"/>
        <item h="1" m="1" x="2577"/>
        <item h="1" m="1" x="1893"/>
        <item h="1" m="1" x="29"/>
        <item h="1" m="1" x="2059"/>
        <item h="1" m="1" x="4311"/>
        <item h="1" m="1" x="2041"/>
        <item h="1" m="1" x="4144"/>
        <item h="1" m="1" x="4584"/>
        <item h="1" m="1" x="99"/>
        <item h="1" m="1" x="1965"/>
        <item h="1" m="1" x="1065"/>
        <item h="1" m="1" x="4553"/>
        <item h="1" m="1" x="3388"/>
        <item h="1" m="1" x="1045"/>
        <item h="1" m="1" x="377"/>
        <item h="1" m="1" x="2991"/>
        <item h="1" m="1" x="4312"/>
        <item h="1" m="1" x="3982"/>
        <item h="1" m="1" x="17"/>
        <item h="1" m="1" x="1996"/>
        <item h="1" m="1" x="1231"/>
        <item h="1" m="1" x="4078"/>
        <item h="1" m="1" x="3812"/>
        <item h="1" m="1" x="2451"/>
        <item h="1" m="1" x="446"/>
        <item h="1" m="1" x="2329"/>
        <item h="1" m="1" x="1212"/>
        <item h="1" m="1" x="3859"/>
        <item h="1" m="1" x="1809"/>
        <item h="1" m="1" x="1522"/>
        <item h="1" m="1" x="2471"/>
        <item h="1" m="1" x="241"/>
        <item h="1" m="1" x="1955"/>
        <item h="1" m="1" x="1156"/>
        <item h="1" m="1" x="1754"/>
        <item h="1" m="1" x="125"/>
        <item h="1" m="1" x="4270"/>
        <item h="1" m="1" x="2889"/>
        <item h="1" m="1" x="409"/>
        <item h="1" m="1" x="586"/>
        <item h="1" m="1" x="233"/>
        <item h="1" m="1" x="2592"/>
        <item h="1" m="1" x="3920"/>
        <item h="1" m="1" x="2374"/>
        <item h="1" m="1" x="2977"/>
        <item h="1" m="1" x="226"/>
        <item h="1" m="1" x="1200"/>
        <item h="1" m="1" x="2367"/>
        <item h="1" m="1" x="4612"/>
        <item h="1" m="1" x="842"/>
        <item h="1" m="1" x="403"/>
        <item h="1" m="1" x="3503"/>
        <item h="1" m="1" x="2122"/>
        <item h="1" m="1" x="1644"/>
        <item h="1" m="1" x="2937"/>
        <item m="1" x="4195"/>
        <item h="1" m="1" x="3196"/>
        <item h="1" m="1" x="2875"/>
        <item h="1" m="1" x="341"/>
        <item h="1" m="1" x="2229"/>
        <item h="1" m="1" x="2373"/>
        <item h="1" m="1" x="1885"/>
        <item h="1" m="1" x="3975"/>
        <item h="1" m="1" x="990"/>
        <item h="1" m="1" x="4382"/>
        <item h="1" m="1" x="2806"/>
        <item h="1" m="1" x="3865"/>
        <item h="1" m="1" x="2437"/>
        <item h="1" m="1" x="582"/>
        <item h="1" m="1" x="1643"/>
        <item h="1" m="1" x="3857"/>
        <item h="1" m="1" x="578"/>
        <item h="1" m="1" x="1675"/>
        <item h="1" m="1" x="2304"/>
        <item h="1" m="1" x="956"/>
        <item h="1" m="1" x="1158"/>
        <item h="1" m="1" x="676"/>
        <item h="1" m="1" x="2358"/>
        <item h="1" m="1" x="269"/>
        <item h="1" m="1" x="3299"/>
        <item h="1" m="1" x="3932"/>
        <item h="1" m="1" x="1140"/>
        <item h="1" m="1" x="3481"/>
        <item h="1" m="1" x="2299"/>
        <item h="1" m="1" x="2481"/>
        <item h="1" m="1" x="3121"/>
        <item h="1" m="1" x="2110"/>
        <item h="1" m="1" x="3372"/>
        <item h="1" m="1" x="3103"/>
        <item h="1" m="1" x="3452"/>
        <item h="1" m="1" x="1264"/>
        <item h="1" m="1" x="3657"/>
        <item h="1" m="1" x="1776"/>
        <item h="1" m="1" x="3349"/>
        <item h="1" m="1" x="3676"/>
        <item h="1" m="1" x="291"/>
        <item h="1" m="1" x="1286"/>
        <item h="1" m="1" x="621"/>
        <item h="1" m="1" x="3553"/>
        <item h="1" m="1" x="984"/>
        <item h="1" m="1" x="4065"/>
        <item h="1" m="1" x="3655"/>
        <item h="1" m="1" x="114"/>
        <item h="1" m="1" x="893"/>
        <item h="1" m="1" x="3345"/>
        <item h="1" m="1" x="901"/>
        <item h="1" m="1" x="3788"/>
        <item h="1" m="1" x="4560"/>
        <item h="1" m="1" x="937"/>
        <item h="1" m="1" x="1412"/>
        <item h="1" m="1" x="3172"/>
        <item h="1" m="1" x="3738"/>
        <item h="1" m="1" x="2392"/>
        <item h="1" m="1" x="775"/>
        <item h="1" m="1" x="752"/>
        <item h="1" m="1" x="166"/>
        <item h="1" m="1" x="1037"/>
        <item h="1" m="1" x="1665"/>
        <item h="1" m="1" x="30"/>
        <item h="1" m="1" x="2586"/>
        <item h="1" m="1" x="3211"/>
        <item h="1" m="1" x="42"/>
        <item h="1" m="1" x="190"/>
        <item h="1" m="1" x="4066"/>
        <item h="1" m="1" x="376"/>
        <item h="1" m="1" x="2817"/>
        <item h="1" m="1" x="3970"/>
        <item h="1" m="1" x="1595"/>
        <item h="1" m="1" x="1339"/>
        <item h="1" m="1" x="3911"/>
        <item h="1" m="1" x="4599"/>
        <item h="1" m="1" x="1758"/>
        <item h="1" m="1" x="3597"/>
        <item m="1" x="688"/>
        <item h="1" m="1" x="155"/>
        <item h="1" m="1" x="1501"/>
        <item h="1" m="1" x="3256"/>
        <item h="1" m="1" x="2158"/>
        <item h="1" m="1" x="1869"/>
        <item h="1" m="1" x="3265"/>
        <item h="1" m="1" x="2068"/>
        <item h="1" m="1" x="3954"/>
        <item h="1" m="1" x="3587"/>
        <item h="1" m="1" x="3030"/>
        <item h="1" m="1" x="1085"/>
        <item h="1" m="1" x="2988"/>
        <item h="1" m="1" x="2366"/>
        <item h="1" m="1" x="2280"/>
        <item h="1" m="1" x="4618"/>
        <item h="1" m="1" x="4098"/>
        <item h="1" m="1" x="4576"/>
        <item h="1" m="1" x="85"/>
        <item h="1" m="1" x="1104"/>
        <item h="1" m="1" x="1803"/>
        <item h="1" m="1" x="4260"/>
        <item h="1" m="1" x="1433"/>
        <item h="1" m="1" x="237"/>
        <item h="1" m="1" x="3735"/>
        <item h="1" m="1" x="1127"/>
        <item h="1" m="1" x="3317"/>
        <item h="1" m="1" x="3187"/>
        <item h="1" m="1" x="4600"/>
        <item h="1" m="1" x="3612"/>
        <item h="1" m="1" x="2585"/>
        <item h="1" m="1" x="1126"/>
        <item h="1" m="1" x="3931"/>
        <item h="1" m="1" x="1020"/>
        <item h="1" m="1" x="1463"/>
        <item h="1" m="1" x="3761"/>
        <item h="1" m="1" x="2591"/>
        <item h="1" m="1" x="1430"/>
        <item h="1" m="1" x="333"/>
        <item h="1" m="1" x="1234"/>
        <item h="1" m="1" x="4427"/>
        <item h="1" m="1" x="2756"/>
        <item h="1" m="1" x="1651"/>
        <item h="1" m="1" x="4150"/>
        <item h="1" m="1" x="3159"/>
        <item h="1" m="1" x="1848"/>
        <item h="1" m="1" x="3498"/>
        <item h="1" m="1" x="3295"/>
        <item h="1" m="1" x="4258"/>
        <item h="1" m="1" x="2881"/>
        <item h="1" m="1" x="4519"/>
        <item h="1" m="1" x="2913"/>
        <item h="1" m="1" x="3281"/>
        <item h="1" m="1" x="1120"/>
        <item h="1" m="1" x="2349"/>
        <item h="1" m="1" x="4496"/>
        <item h="1" m="1" x="526"/>
        <item h="1" m="1" x="2154"/>
        <item h="1" m="1" x="2734"/>
        <item h="1" m="1" x="520"/>
        <item h="1" m="1" x="3786"/>
        <item h="1" m="1" x="943"/>
        <item h="1" m="1" x="3739"/>
        <item h="1" m="1" x="3146"/>
        <item h="1" m="1" x="1786"/>
        <item h="1" m="1" x="4590"/>
        <item h="1" m="1" x="776"/>
        <item h="1" m="1" x="3507"/>
        <item h="1" m="1" x="2934"/>
        <item h="1" m="1" x="2459"/>
        <item h="1" m="1" x="2573"/>
        <item h="1" m="1" x="4409"/>
        <item h="1" m="1" x="616"/>
        <item h="1" m="1" x="361"/>
        <item h="1" m="1" x="2724"/>
        <item h="1" m="1" x="3547"/>
        <item h="1" m="1" x="996"/>
        <item h="1" m="1" x="887"/>
        <item h="1" m="1" x="2997"/>
        <item h="1" m="1" x="1434"/>
        <item h="1" m="1" x="2759"/>
        <item h="1" m="1" x="1374"/>
        <item h="1" m="1" x="2096"/>
        <item h="1" m="1" x="2168"/>
        <item h="1" m="1" x="3204"/>
        <item h="1" m="1" x="4462"/>
        <item h="1" m="1" x="2575"/>
        <item h="1" m="1" x="2527"/>
        <item h="1" m="1" x="1359"/>
        <item h="1" m="1" x="3779"/>
        <item h="1" m="1" x="1650"/>
        <item h="1" m="1" x="3837"/>
        <item h="1" m="1" x="1958"/>
        <item h="1" m="1" x="3237"/>
        <item h="1" m="1" x="1628"/>
        <item h="1" m="1" x="2396"/>
        <item h="1" m="1" x="4238"/>
        <item h="1" m="1" x="1564"/>
        <item h="1" m="1" x="2099"/>
        <item h="1" m="1" x="196"/>
        <item h="1" m="1" x="1960"/>
        <item h="1" m="1" x="1854"/>
        <item h="1" m="1" x="2576"/>
        <item h="1" m="1" x="994"/>
        <item h="1" m="1" x="2750"/>
        <item h="1" m="1" x="4305"/>
        <item h="1" m="1" x="848"/>
        <item h="1" m="1" x="3391"/>
        <item h="1" m="1" x="2447"/>
        <item h="1" m="1" x="1812"/>
        <item h="1" m="1" x="2675"/>
        <item h="1" m="1" x="1760"/>
        <item h="1" m="1" x="2441"/>
        <item h="1" m="1" x="1551"/>
        <item h="1" m="1" x="2562"/>
        <item h="1" m="1" x="1864"/>
        <item h="1" m="1" x="3504"/>
        <item h="1" m="1" x="1111"/>
        <item h="1" m="1" x="2631"/>
        <item h="1" m="1" x="4267"/>
        <item h="1" m="1" x="2305"/>
        <item h="1" m="1" x="645"/>
        <item h="1" m="1" x="2308"/>
        <item h="1" m="1" x="2336"/>
        <item h="1" m="1" x="4413"/>
        <item h="1" m="1" x="346"/>
        <item h="1" m="1" x="365"/>
        <item h="1" m="1" x="636"/>
        <item h="1" m="1" x="3903"/>
        <item h="1" m="1" x="2546"/>
        <item h="1" m="1" x="2333"/>
        <item h="1" m="1" x="4434"/>
        <item h="1" m="1" x="1627"/>
        <item h="1" m="1" x="3508"/>
        <item h="1" m="1" x="426"/>
        <item h="1" m="1" x="2871"/>
        <item h="1" m="1" x="23"/>
        <item h="1" m="1" x="3496"/>
        <item h="1" m="1" x="2257"/>
        <item h="1" m="1" x="3716"/>
        <item h="1" m="1" x="4444"/>
        <item h="1" m="1" x="1635"/>
        <item h="1" m="1" x="3202"/>
        <item h="1" m="1" x="3665"/>
        <item h="1" m="1" x="4067"/>
        <item h="1" m="1" x="666"/>
        <item h="1" m="1" x="3011"/>
        <item h="1" m="1" x="2572"/>
        <item h="1" m="1" x="3789"/>
        <item h="1" m="1" x="3894"/>
        <item h="1" m="1" x="4518"/>
        <item h="1" m="1" x="2807"/>
        <item h="1" m="1" x="2151"/>
        <item h="1" m="1" x="2745"/>
        <item h="1" m="1" x="2310"/>
        <item h="1" m="1" x="685"/>
        <item h="1" m="1" x="2156"/>
        <item h="1" m="1" x="3341"/>
        <item h="1" m="1" x="4480"/>
        <item h="1" m="1" x="3968"/>
        <item h="1" m="1" x="4294"/>
        <item h="1" m="1" x="1458"/>
        <item h="1" m="1" x="3454"/>
        <item h="1" m="1" x="2050"/>
        <item h="1" m="1" x="4220"/>
        <item h="1" m="1" x="3214"/>
        <item h="1" m="1" x="3119"/>
        <item h="1" m="1" x="2082"/>
        <item h="1" m="1" x="2499"/>
        <item h="1" m="1" x="3993"/>
        <item m="1" x="3273"/>
        <item h="1" m="1" x="4249"/>
        <item h="1" m="1" x="2042"/>
        <item h="1" m="1" x="2357"/>
        <item h="1" m="1" x="49"/>
        <item h="1" m="1" x="2489"/>
        <item h="1" m="1" x="3482"/>
        <item h="1" m="1" x="2330"/>
        <item h="1" m="1" x="410"/>
        <item h="1" m="1" x="4398"/>
        <item h="1" m="1" x="2118"/>
        <item h="1" m="1" x="3384"/>
        <item h="1" m="1" x="3097"/>
        <item h="1" m="1" x="2506"/>
        <item h="1" m="1" x="235"/>
        <item h="1" m="1" x="2439"/>
        <item h="1" m="1" x="3437"/>
        <item h="1" m="1" x="3207"/>
        <item h="1" m="1" x="1748"/>
        <item h="1" m="1" x="1315"/>
        <item h="1" m="1" x="1897"/>
        <item h="1" m="1" x="2166"/>
        <item h="1" m="1" x="2141"/>
        <item h="1" m="1" x="2500"/>
        <item h="1" m="1" x="883"/>
        <item h="1" m="1" x="2033"/>
        <item h="1" m="1" x="1927"/>
        <item h="1" m="1" x="3434"/>
        <item h="1" m="1" x="770"/>
        <item h="1" m="1" x="3585"/>
        <item h="1" m="1" x="1593"/>
        <item h="1" m="1" x="1884"/>
        <item h="1" m="1" x="3040"/>
        <item h="1" m="1" x="37"/>
        <item h="1" m="1" x="3426"/>
        <item h="1" m="1" x="3133"/>
        <item h="1" m="1" x="3291"/>
        <item h="1" m="1" x="541"/>
        <item h="1" m="1" x="1942"/>
        <item h="1" m="1" x="1814"/>
        <item h="1" m="1" x="2026"/>
        <item h="1" m="1" x="3564"/>
        <item h="1" m="1" x="236"/>
        <item h="1" m="1" x="4190"/>
        <item h="1" m="1" x="1147"/>
        <item h="1" m="1" x="1857"/>
        <item h="1" m="1" x="3769"/>
        <item h="1" m="1" x="4639"/>
        <item h="1" m="1" x="1223"/>
        <item h="1" m="1" x="1235"/>
        <item h="1" m="1" x="1283"/>
        <item h="1" m="1" x="2888"/>
        <item h="1" m="1" x="3623"/>
        <item h="1" m="1" x="768"/>
        <item h="1" m="1" x="319"/>
        <item h="1" m="1" x="1990"/>
        <item h="1" m="1" x="3604"/>
        <item h="1" m="1" x="2939"/>
        <item h="1" m="1" x="1447"/>
        <item h="1" m="1" x="1012"/>
        <item h="1" m="1" x="1622"/>
        <item h="1" m="1" x="3095"/>
        <item h="1" m="1" x="191"/>
        <item h="1" m="1" x="4247"/>
        <item h="1" m="1" x="745"/>
        <item h="1" m="1" x="2219"/>
        <item h="1" m="1" x="4475"/>
        <item h="1" m="1" x="1116"/>
        <item h="1" m="1" x="4075"/>
        <item h="1" m="1" x="2371"/>
        <item h="1" m="1" x="2864"/>
        <item h="1" m="1" x="4228"/>
        <item h="1" m="1" x="2039"/>
        <item h="1" m="1" x="490"/>
        <item h="1" m="1" x="4531"/>
        <item h="1" m="1" x="1113"/>
        <item h="1" m="1" x="523"/>
        <item h="1" m="1" x="4278"/>
        <item h="1" m="1" x="1373"/>
        <item h="1" m="1" x="2231"/>
        <item h="1" m="1" x="4310"/>
        <item h="1" m="1" x="4192"/>
        <item h="1" m="1" x="3771"/>
        <item h="1" m="1" x="326"/>
        <item h="1" m="1" x="10"/>
        <item h="1" m="1" x="145"/>
        <item h="1" m="1" x="438"/>
        <item h="1" m="1" x="2267"/>
        <item h="1" m="1" x="2356"/>
        <item h="1" m="1" x="3474"/>
        <item h="1" m="1" x="4457"/>
        <item h="1" m="1" x="3484"/>
        <item h="1" m="1" x="1569"/>
        <item h="1" m="1" x="1510"/>
        <item h="1" m="1" x="3201"/>
        <item h="1" m="1" x="202"/>
        <item h="1" m="1" x="4158"/>
        <item h="1" m="1" x="2821"/>
        <item h="1" m="1" x="3698"/>
        <item h="1" m="1" x="3401"/>
        <item h="1" m="1" x="2163"/>
        <item h="1" m="1" x="192"/>
        <item h="1" m="1" x="2364"/>
        <item h="1" m="1" x="3275"/>
        <item h="1" m="1" x="4439"/>
        <item h="1" m="1" x="4524"/>
        <item h="1" m="1" x="1829"/>
        <item h="1" m="1" x="3949"/>
        <item h="1" m="1" x="1956"/>
        <item h="1" m="1" x="2735"/>
        <item h="1" m="1" x="1619"/>
        <item h="1" m="1" x="2999"/>
        <item h="1" m="1" x="4491"/>
        <item h="1" m="1" x="3692"/>
        <item h="1" m="1" x="1949"/>
        <item h="1" m="1" x="3868"/>
        <item h="1" m="1" x="528"/>
        <item h="1" m="1" x="1807"/>
        <item h="1" m="1" x="368"/>
        <item h="1" m="1" x="1811"/>
        <item h="1" m="1" x="3791"/>
        <item h="1" m="1" x="2704"/>
        <item h="1" m="1" x="1296"/>
        <item h="1" m="1" x="3881"/>
        <item h="1" m="1" x="4038"/>
        <item h="1" m="1" x="2029"/>
        <item h="1" m="1" x="1677"/>
        <item h="1" m="1" x="4145"/>
        <item h="1" m="1" x="2676"/>
        <item h="1" m="1" x="3548"/>
        <item h="1" m="1" x="153"/>
        <item h="1" m="1" x="1889"/>
        <item h="1" m="1" x="3556"/>
        <item h="1" m="1" x="4135"/>
        <item h="1" m="1" x="561"/>
        <item h="1" m="1" x="261"/>
        <item h="1" m="1" x="3123"/>
        <item h="1" m="1" x="896"/>
        <item h="1" m="1" x="723"/>
        <item h="1" m="1" x="4352"/>
        <item h="1" m="1" x="1526"/>
        <item h="1" m="1" x="1306"/>
        <item h="1" m="1" x="1729"/>
        <item h="1" m="1" x="918"/>
        <item h="1" m="1" x="3801"/>
        <item h="1" m="1" x="2212"/>
        <item h="1" m="1" x="1610"/>
        <item h="1" m="1" x="3000"/>
        <item h="1" m="1" x="1967"/>
        <item h="1" m="1" x="876"/>
        <item h="1" m="1" x="1308"/>
        <item h="1" m="1" x="3402"/>
        <item h="1" m="1" x="2514"/>
        <item h="1" m="1" x="3728"/>
        <item h="1" m="1" x="710"/>
        <item h="1" m="1" x="4295"/>
        <item h="1" m="1" x="3058"/>
        <item h="1" m="1" x="531"/>
        <item h="1" m="1" x="1248"/>
        <item h="1" m="1" x="1948"/>
        <item h="1" m="1" x="2314"/>
        <item h="1" m="1" x="2917"/>
        <item h="1" m="1" x="1227"/>
        <item h="1" m="1" x="144"/>
        <item h="1" m="1" x="3538"/>
        <item h="1" m="1" x="3331"/>
        <item h="1" m="1" x="4172"/>
        <item h="1" m="1" x="1668"/>
        <item h="1" m="1" x="3061"/>
        <item h="1" m="1" x="388"/>
        <item h="1" m="1" x="1240"/>
        <item h="1" m="1" x="74"/>
        <item h="1" m="1" x="978"/>
        <item h="1" m="1" x="4272"/>
        <item h="1" m="1" x="40"/>
        <item h="1" m="1" x="2664"/>
        <item h="1" m="1" x="3696"/>
        <item h="1" m="1" x="1342"/>
        <item h="1" m="1" x="4461"/>
        <item h="1" m="1" x="2240"/>
        <item h="1" m="1" x="4357"/>
        <item h="1" m="1" x="863"/>
        <item h="1" m="1" x="1863"/>
        <item h="1" m="1" x="3601"/>
        <item h="1" m="1" x="3358"/>
        <item h="1" m="1" x="1756"/>
        <item h="1" m="1" x="920"/>
        <item h="1" m="1" x="1847"/>
        <item h="1" m="1" x="3539"/>
        <item h="1" m="1" x="558"/>
        <item h="1" m="1" x="2887"/>
        <item h="1" m="1" x="4255"/>
        <item h="1" m="1" x="4610"/>
        <item h="1" m="1" x="4243"/>
        <item h="1" m="1" x="2942"/>
        <item h="1" m="1" x="1393"/>
        <item h="1" m="1" x="1911"/>
        <item h="1" m="1" x="3874"/>
        <item h="1" m="1" x="3529"/>
        <item h="1" m="1" x="644"/>
        <item h="1" m="1" x="2323"/>
        <item h="1" m="1" x="2014"/>
        <item h="1" m="1" x="2051"/>
        <item h="1" m="1" x="543"/>
        <item h="1" m="1" x="3723"/>
        <item h="1" m="1" x="4538"/>
        <item h="1" m="1" x="1744"/>
        <item h="1" m="1" x="2727"/>
        <item h="1" m="1" x="891"/>
        <item h="1" m="1" x="2372"/>
        <item h="1" m="1" x="1556"/>
        <item h="1" m="1" x="2850"/>
        <item h="1" m="1" x="2115"/>
        <item h="1" m="1" x="2426"/>
        <item h="1" m="1" x="3151"/>
        <item h="1" m="1" x="3673"/>
        <item h="1" m="1" x="3703"/>
        <item h="1" m="1" x="2701"/>
        <item h="1" m="1" x="535"/>
        <item h="1" m="1" x="3348"/>
        <item h="1" m="1" x="4211"/>
        <item h="1" m="1" x="3157"/>
        <item h="1" m="1" x="359"/>
        <item h="1" m="1" x="3818"/>
        <item h="1" m="1" x="2016"/>
        <item h="1" m="1" x="934"/>
        <item h="1" m="1" x="3892"/>
        <item h="1" m="1" x="653"/>
        <item h="1" m="1" x="2414"/>
        <item h="1" m="1" x="133"/>
        <item h="1" m="1" x="783"/>
        <item h="1" m="1" x="420"/>
        <item h="1" m="1" x="2380"/>
        <item h="1" m="1" x="3052"/>
        <item h="1" m="1" x="2188"/>
        <item h="1" m="1" x="4367"/>
        <item h="1" m="1" x="2632"/>
        <item m="1" x="773"/>
        <item h="1" m="1" x="2858"/>
        <item h="1" m="1" x="515"/>
        <item h="1" m="1" x="1058"/>
        <item h="1" m="1" x="1813"/>
        <item h="1" m="1" x="4583"/>
        <item h="1" m="1" x="910"/>
        <item h="1" m="1" x="850"/>
        <item h="1" m="1" x="1237"/>
        <item h="1" m="1" x="210"/>
        <item h="1" m="1" x="2434"/>
        <item h="1" m="1" x="4147"/>
        <item h="1" m="1" x="2313"/>
        <item h="1" m="1" x="3540"/>
        <item h="1" m="1" x="299"/>
        <item h="1" m="1" x="2611"/>
        <item h="1" m="1" x="1002"/>
        <item m="1" x="1137"/>
        <item h="1" m="1" x="4035"/>
        <item h="1" m="1" x="2929"/>
        <item h="1" m="1" x="669"/>
        <item h="1" m="1" x="2992"/>
        <item h="1" m="1" x="3596"/>
        <item h="1" m="1" x="124"/>
        <item h="1" m="1" x="539"/>
        <item h="1" m="1" x="2315"/>
        <item h="1" m="1" x="3236"/>
        <item h="1" m="1" x="3798"/>
        <item h="1" m="1" x="4338"/>
        <item h="1" m="1" x="797"/>
        <item h="1" m="1" x="1222"/>
        <item h="1" m="1" x="1019"/>
        <item h="1" m="1" x="982"/>
        <item h="1" m="1" x="1051"/>
        <item h="1" m="1" x="1517"/>
        <item h="1" m="1" x="2210"/>
        <item h="1" m="1" x="724"/>
        <item h="1" m="1" x="2228"/>
        <item h="1" m="1" x="2674"/>
        <item h="1" m="1" x="2590"/>
        <item h="1" m="1" x="2790"/>
        <item h="1" m="1" x="2865"/>
        <item h="1" m="1" x="2980"/>
        <item h="1" m="1" x="1655"/>
        <item h="1" m="1" x="4502"/>
        <item h="1" m="1" x="3928"/>
        <item h="1" m="1" x="4013"/>
        <item h="1" m="1" x="706"/>
        <item h="1" m="1" x="3511"/>
        <item h="1" m="1" x="440"/>
        <item h="1" m="1" x="969"/>
        <item h="1" m="1" x="3616"/>
        <item h="1" m="1" x="1467"/>
        <item h="1" m="1" x="229"/>
        <item h="1" m="1" x="3203"/>
        <item h="1" m="1" x="2332"/>
        <item h="1" m="1" x="2124"/>
        <item h="1" m="1" x="1389"/>
        <item h="1" m="1" x="1145"/>
        <item h="1" m="1" x="739"/>
        <item h="1" m="1" x="1962"/>
        <item h="1" m="1" x="53"/>
        <item h="1" m="1" x="2444"/>
        <item h="1" m="1" x="2207"/>
        <item h="1" m="1" x="642"/>
        <item h="1" m="1" x="1944"/>
        <item h="1" m="1" x="4533"/>
        <item h="1" m="1" x="1450"/>
        <item h="1" m="1" x="551"/>
        <item h="1" m="1" x="721"/>
        <item h="1" m="1" x="272"/>
        <item h="1" m="1" x="101"/>
        <item h="1" m="1" x="1997"/>
        <item h="1" m="1" x="1134"/>
        <item h="1" m="1" x="4046"/>
        <item h="1" m="1" x="3984"/>
        <item h="1" m="1" x="3570"/>
        <item h="1" m="1" x="3846"/>
        <item h="1" m="1" x="228"/>
        <item h="1" m="1" x="921"/>
        <item h="1" m="1" x="357"/>
        <item h="1" m="1" x="310"/>
        <item h="1" m="1" x="4517"/>
        <item h="1" m="1" x="1395"/>
        <item h="1" m="1" x="2661"/>
        <item h="1" m="1" x="505"/>
        <item h="1" m="1" x="330"/>
        <item h="1" m="1" x="1144"/>
        <item h="1" m="1" x="1123"/>
        <item h="1" m="1" x="625"/>
        <item h="1" m="1" x="2230"/>
        <item h="1" m="1" x="2206"/>
        <item h="1" m="1" x="2275"/>
        <item h="1" m="1" x="3335"/>
        <item h="1" m="1" x="3359"/>
        <item h="1" m="1" x="1335"/>
        <item h="1" m="1" x="1071"/>
        <item h="1" m="1" x="4185"/>
        <item h="1" m="1" x="162"/>
        <item h="1" m="1" x="2899"/>
        <item h="1" m="1" x="1735"/>
        <item h="1" m="1" x="3815"/>
        <item h="1" m="1" x="2922"/>
        <item h="1" m="1" x="538"/>
        <item h="1" m="1" x="51"/>
        <item h="1" m="1" x="2763"/>
        <item h="1" m="1" x="1377"/>
        <item h="1" m="1" x="1766"/>
        <item h="1" m="1" x="1509"/>
        <item h="1" m="1" x="4183"/>
        <item h="1" m="1" x="1872"/>
        <item h="1" m="1" x="3192"/>
        <item h="1" m="1" x="2884"/>
        <item h="1" m="1" x="2189"/>
        <item h="1" m="1" x="1323"/>
        <item h="1" m="1" x="2203"/>
        <item h="1" m="1" x="1571"/>
        <item h="1" m="1" x="3807"/>
        <item h="1" m="1" x="2317"/>
        <item h="1" m="1" x="4034"/>
        <item h="1" m="1" x="694"/>
        <item h="1" m="1" x="113"/>
        <item h="1" m="1" x="2047"/>
        <item h="1" m="1" x="1708"/>
        <item h="1" m="1" x="2681"/>
        <item h="1" m="1" x="12"/>
        <item h="1" m="1" x="1870"/>
        <item h="1" m="1" x="1637"/>
        <item h="1" m="1" x="2368"/>
        <item h="1" m="1" x="2117"/>
        <item h="1" m="1" x="3380"/>
        <item h="1" m="1" x="1459"/>
        <item h="1" m="1" x="3048"/>
        <item h="1" m="1" x="3460"/>
        <item h="1" m="1" x="1326"/>
        <item h="1" m="1" x="2076"/>
        <item h="1" m="1" x="3117"/>
        <item h="1" m="1" x="3413"/>
        <item h="1" m="1" x="2404"/>
        <item h="1" m="1" x="762"/>
        <item h="1" m="1" x="1209"/>
        <item h="1" m="1" x="2827"/>
        <item h="1" m="1" x="1797"/>
        <item h="1" m="1" x="4645"/>
        <item h="1" m="1" x="1839"/>
        <item h="1" m="1" x="2579"/>
        <item h="1" m="1" x="325"/>
        <item h="1" m="1" x="704"/>
        <item h="1" m="1" x="4085"/>
        <item h="1" m="1" x="4335"/>
        <item h="1" m="1" x="3086"/>
        <item h="1" m="1" x="822"/>
        <item h="1" m="1" x="1542"/>
        <item h="1" m="1" x="2578"/>
        <item h="1" m="1" x="4330"/>
        <item h="1" m="1" x="1035"/>
        <item h="1" m="1" x="2526"/>
        <item h="1" m="1" x="1828"/>
        <item h="1" m="1" x="2516"/>
        <item h="1" m="1" x="2470"/>
        <item h="1" m="1" x="4596"/>
        <item h="1" m="1" x="966"/>
        <item h="1" m="1" x="2748"/>
        <item h="1" m="1" x="4454"/>
        <item h="1" m="1" x="3298"/>
        <item h="1" m="1" x="665"/>
        <item h="1" m="1" x="217"/>
        <item h="1" m="1" x="1641"/>
        <item h="1" m="1" x="3819"/>
        <item h="1" m="1" x="1386"/>
        <item h="1" m="1" x="2861"/>
        <item h="1" m="1" x="2932"/>
        <item h="1" m="1" x="2501"/>
        <item h="1" m="1" x="758"/>
        <item h="1" m="1" x="164"/>
        <item h="1" m="1" x="2752"/>
        <item h="1" m="1" x="1101"/>
        <item h="1" m="1" x="2194"/>
        <item h="1" m="1" x="1411"/>
        <item h="1" m="1" x="847"/>
        <item h="1" m="1" x="1502"/>
        <item h="1" m="1" x="619"/>
        <item h="1" m="1" x="3240"/>
        <item h="1" m="1" x="3521"/>
        <item h="1" m="1" x="4007"/>
        <item h="1" m="1" x="3719"/>
        <item h="1" m="1" x="2148"/>
        <item h="1" m="1" x="1453"/>
        <item h="1" m="1" x="667"/>
        <item h="1" m="1" x="2455"/>
        <item h="1" m="1" x="3799"/>
        <item h="1" m="1" x="4271"/>
        <item h="1" m="1" x="3230"/>
        <item h="1" m="1" x="3180"/>
        <item h="1" m="1" x="1448"/>
        <item h="1" m="1" x="2427"/>
        <item h="1" m="1" x="495"/>
        <item h="1" m="1" x="1023"/>
        <item h="1" m="1" x="1661"/>
        <item h="1" m="1" x="4180"/>
        <item h="1" m="1" x="1407"/>
        <item h="1" m="1" x="4564"/>
        <item h="1" m="1" x="3927"/>
        <item h="1" m="1" x="3476"/>
        <item h="1" m="1" x="2895"/>
        <item h="1" m="1" x="2213"/>
        <item h="1" m="1" x="3734"/>
        <item h="1" m="1" x="3153"/>
        <item h="1" m="1" x="127"/>
        <item h="1" m="1" x="695"/>
        <item h="1" m="1" x="3933"/>
        <item h="1" m="1" x="4586"/>
        <item h="1" m="1" x="4257"/>
        <item h="1" m="1" x="4644"/>
        <item h="1" m="1" x="1351"/>
        <item h="1" m="1" x="7"/>
        <item h="1" m="1" x="1691"/>
        <item h="1" m="1" x="4373"/>
        <item h="1" m="1" x="3762"/>
        <item h="1" m="1" x="657"/>
        <item h="1" m="1" x="3044"/>
        <item h="1" m="1" x="1700"/>
        <item h="1" m="1" x="2822"/>
        <item h="1" m="1" x="601"/>
        <item h="1" m="1" x="3169"/>
        <item h="1" m="1" x="3642"/>
        <item h="1" m="1" x="2253"/>
        <item h="1" m="1" x="4582"/>
        <item h="1" m="1" x="832"/>
        <item h="1" m="1" x="282"/>
        <item h="1" m="1" x="3910"/>
        <item h="1" m="1" x="4165"/>
        <item h="1" m="1" x="4530"/>
        <item h="1" m="1" x="323"/>
        <item h="1" m="1" x="1741"/>
        <item h="1" m="1" x="810"/>
        <item h="1" m="1" x="1533"/>
        <item h="1" m="1" x="3190"/>
        <item h="1" m="1" x="1468"/>
        <item h="1" m="1" x="849"/>
        <item h="1" m="1" x="2255"/>
        <item h="1" m="1" x="2101"/>
        <item h="1" m="1" x="3965"/>
        <item h="1" m="1" x="3377"/>
        <item h="1" m="1" x="2390"/>
        <item h="1" m="1" x="1043"/>
        <item h="1" m="1" x="4368"/>
        <item h="1" m="1" x="1114"/>
        <item h="1" m="1" x="2341"/>
        <item h="1" m="1" x="2226"/>
        <item h="1" m="1" x="3274"/>
        <item h="1" m="1" x="3342"/>
        <item h="1" m="1" x="3067"/>
        <item h="1" m="1" x="988"/>
        <item h="1" m="1" x="3858"/>
        <item h="1" m="1" x="1732"/>
        <item h="1" m="1" x="2885"/>
        <item h="1" m="1" x="3111"/>
        <item h="1" m="1" x="2093"/>
        <item h="1" m="1" x="3904"/>
        <item h="1" m="1" x="869"/>
        <item h="1" m="1" x="1662"/>
        <item h="1" m="1" x="2983"/>
        <item h="1" m="1" x="732"/>
        <item h="1" m="1" x="2002"/>
        <item h="1" m="1" x="1238"/>
        <item h="1" m="1" x="3311"/>
        <item h="1" m="1" x="2269"/>
        <item h="1" m="1" x="983"/>
        <item h="1" m="1" x="622"/>
        <item h="1" m="1" x="3610"/>
        <item h="1" m="1" x="4229"/>
        <item h="1" m="1" x="3991"/>
        <item h="1" m="1" x="381"/>
        <item h="1" m="1" x="1653"/>
        <item h="1" m="1" x="587"/>
        <item h="1" m="1" x="3664"/>
        <item h="1" m="1" x="916"/>
        <item h="1" m="1" x="2559"/>
        <item h="1" m="1" x="1352"/>
        <item h="1" m="1" x="3491"/>
        <item h="1" m="1" x="4580"/>
        <item h="1" m="1" x="4128"/>
        <item h="1" m="1" x="2593"/>
        <item h="1" m="1" x="1987"/>
        <item h="1" m="1" x="59"/>
        <item h="1" m="1" x="3435"/>
        <item h="1" m="1" x="314"/>
        <item h="1" m="1" x="882"/>
        <item h="1" m="1" x="2689"/>
        <item h="1" m="1" x="1614"/>
        <item h="1" m="1" x="2760"/>
        <item h="1" m="1" x="1149"/>
        <item h="1" m="1" x="4637"/>
        <item h="1" m="1" x="3861"/>
        <item h="1" m="1" x="536"/>
        <item h="1" m="1" x="1146"/>
        <item h="1" m="1" x="1378"/>
        <item h="1" m="1" x="2953"/>
        <item h="1" m="1" x="4554"/>
        <item h="1" m="1" x="2381"/>
        <item h="1" m="1" x="729"/>
        <item h="1" m="1" x="4041"/>
        <item h="1" m="1" x="4133"/>
        <item h="1" m="1" x="2097"/>
        <item h="1" m="1" x="1858"/>
        <item h="1" m="1" x="4154"/>
        <item h="1" m="1" x="284"/>
        <item h="1" m="1" x="1276"/>
        <item h="1" m="1" x="1591"/>
        <item h="1" m="1" x="2157"/>
        <item h="1" m="1" x="1318"/>
        <item h="1" m="1" x="248"/>
        <item h="1" m="1" x="1302"/>
        <item h="1" m="1" x="1076"/>
        <item h="1" m="1" x="2363"/>
        <item h="1" m="1" x="3554"/>
        <item h="1" m="1" x="502"/>
        <item h="1" m="1" x="2425"/>
        <item h="1" m="1" x="1449"/>
        <item h="1" m="1" x="476"/>
        <item h="1" m="1" x="640"/>
        <item h="1" m="1" x="4384"/>
        <item h="1" m="1" x="3518"/>
        <item h="1" m="1" x="4429"/>
        <item h="1" m="1" x="1293"/>
        <item h="1" m="1" x="995"/>
        <item h="1" m="1" x="1645"/>
        <item h="1" m="1" x="3635"/>
        <item h="1" m="1" x="154"/>
        <item h="1" m="1" x="3747"/>
        <item h="1" m="1" x="2812"/>
        <item h="1" m="1" x="660"/>
        <item h="1" m="1" x="2962"/>
        <item h="1" m="1" x="2860"/>
        <item h="1" m="1" x="2615"/>
        <item h="1" m="1" x="659"/>
        <item h="1" m="1" x="718"/>
        <item h="1" m="1" x="1466"/>
        <item h="1" m="1" x="874"/>
        <item h="1" m="1" x="414"/>
        <item h="1" m="1" x="4450"/>
        <item h="1" m="1" x="846"/>
        <item h="1" m="1" x="689"/>
        <item h="1" m="1" x="1394"/>
        <item h="1" m="1" x="2303"/>
        <item h="1" m="1" x="792"/>
        <item h="1" m="1" x="1154"/>
        <item h="1" m="1" x="170"/>
        <item h="1" m="1" x="1403"/>
        <item h="1" m="1" x="129"/>
        <item h="1" m="1" x="2411"/>
        <item h="1" m="1" x="4106"/>
        <item h="1" m="1" x="1805"/>
        <item h="1" m="1" x="947"/>
        <item h="1" m="1" x="1586"/>
        <item h="1" m="1" x="4499"/>
        <item h="1" m="1" x="3737"/>
        <item h="1" m="1" x="3613"/>
        <item h="1" m="1" x="4284"/>
        <item h="1" m="1" x="1347"/>
        <item h="1" m="1" x="4033"/>
        <item h="1" m="1" x="3215"/>
        <item h="1" m="1" x="3083"/>
        <item h="1" m="1" x="3940"/>
        <item h="1" m="1" x="68"/>
        <item h="1" m="1" x="1017"/>
        <item h="1" m="1" x="2112"/>
        <item h="1" m="1" x="1346"/>
        <item h="1" m="1" x="4634"/>
        <item h="1" m="1" x="4458"/>
        <item h="1" m="1" x="2778"/>
        <item h="1" m="1" x="3167"/>
        <item h="1" m="1" x="2204"/>
        <item h="1" m="1" x="1834"/>
        <item h="1" m="1" x="4031"/>
        <item h="1" m="1" x="2196"/>
        <item h="1" m="1" x="1975"/>
        <item h="1" m="1" x="2498"/>
        <item h="1" m="1" x="1647"/>
        <item h="1" m="1" x="2417"/>
        <item h="1" m="1" x="2295"/>
        <item h="1" m="1" x="3680"/>
        <item h="1" m="1" x="3109"/>
        <item h="1" m="1" x="1289"/>
        <item h="1" m="1" x="432"/>
        <item h="1" m="1" x="2646"/>
        <item h="1" m="1" x="2134"/>
        <item h="1" m="1" x="1626"/>
        <item h="1" m="1" x="1327"/>
        <item h="1" m="1" x="926"/>
        <item h="1" m="1" x="3138"/>
        <item h="1" m="1" x="2972"/>
        <item h="1" m="1" x="1396"/>
        <item h="1" m="1" x="1658"/>
        <item h="1" m="1" x="3249"/>
        <item h="1" m="1" x="1817"/>
        <item h="1" m="1" x="2637"/>
        <item h="1" m="1" x="2064"/>
        <item h="1" m="1" x="861"/>
        <item h="1" m="1" x="2781"/>
        <item h="1" m="1" x="939"/>
        <item h="1" m="1" x="1068"/>
        <item h="1" m="1" x="65"/>
        <item h="1" m="1" x="1083"/>
        <item h="1" m="1" x="3161"/>
        <item h="1" m="1" x="3729"/>
        <item h="1" m="1" x="128"/>
        <item h="1" m="1" x="9"/>
        <item h="1" m="1" x="1452"/>
        <item h="1" m="1" x="1753"/>
        <item h="1" m="1" x="2098"/>
        <item h="1" m="1" x="2533"/>
        <item h="1" m="1" x="115"/>
        <item h="1" m="1" x="120"/>
        <item h="1" m="1" x="599"/>
        <item h="1" m="1" x="2408"/>
        <item h="1" m="1" x="1640"/>
        <item h="1" m="1" x="2465"/>
        <item h="1" m="1" x="3337"/>
        <item h="1" m="1" x="1437"/>
        <item h="1" m="1" x="3255"/>
        <item h="1" m="1" x="2004"/>
        <item h="1" m="1" x="4264"/>
        <item h="1" m="1" x="1574"/>
        <item h="1" m="1" x="2472"/>
        <item h="1" m="1" x="4020"/>
        <item h="1" m="1" x="240"/>
        <item h="1" m="1" x="2446"/>
        <item h="1" m="1" x="1632"/>
        <item h="1" m="1" x="2515"/>
        <item h="1" m="1" x="4428"/>
        <item h="1" m="1" x="3374"/>
        <item h="1" m="1" x="2202"/>
        <item h="1" m="1" x="3425"/>
        <item h="1" m="1" x="447"/>
        <item h="1" m="1" x="2775"/>
        <item h="1" m="1" x="1821"/>
        <item h="1" m="1" x="3309"/>
        <item h="1" m="1" x="854"/>
        <item h="1" m="1" x="3128"/>
        <item h="1" m="1" x="4607"/>
        <item h="1" m="1" x="1544"/>
        <item h="1" m="1" x="1919"/>
        <item h="1" m="1" x="3630"/>
        <item h="1" m="1" x="1112"/>
        <item h="1" m="1" x="4536"/>
        <item h="1" m="1" x="3243"/>
        <item h="1" m="1" x="1074"/>
        <item h="1" m="1" x="2958"/>
        <item h="1" m="1" x="4441"/>
        <item h="1" m="1" x="52"/>
        <item h="1" m="1" x="632"/>
        <item h="1" m="1" x="148"/>
        <item h="1" m="1" x="373"/>
        <item h="1" m="1" x="940"/>
        <item h="1" m="1" x="3909"/>
        <item h="1" m="1" x="2405"/>
        <item h="1" m="1" x="4527"/>
        <item m="1" x="3178"/>
        <item h="1" m="1" x="307"/>
        <item h="1" m="1" x="1070"/>
        <item h="1" m="1" x="2634"/>
        <item h="1" m="1" x="1699"/>
        <item h="1" m="1" x="1624"/>
        <item h="1" m="1" x="2560"/>
        <item h="1" m="1" x="320"/>
        <item h="1" m="1" x="2121"/>
        <item h="1" m="1" x="3514"/>
        <item h="1" m="1" x="2402"/>
        <item h="1" m="1" x="2100"/>
        <item h="1" m="1" x="2839"/>
        <item h="1" m="1" x="3998"/>
        <item h="1" m="1" x="3092"/>
        <item h="1" m="1" x="4210"/>
        <item h="1" m="1" x="2502"/>
        <item h="1" m="1" x="1772"/>
        <item h="1" m="1" x="48"/>
        <item h="1" m="1" x="682"/>
        <item h="1" m="1" x="1258"/>
        <item h="1" m="1" x="2178"/>
        <item h="1" m="1" x="509"/>
        <item h="1" m="1" x="1175"/>
        <item h="1" m="1" x="3059"/>
        <item h="1" m="1" x="3432"/>
        <item h="1" m="1" x="3513"/>
        <item h="1" m="1" x="3257"/>
        <item h="1" m="1" x="1060"/>
        <item h="1" m="1" x="1052"/>
        <item m="1" x="1621"/>
        <item m="1" x="2083"/>
        <item m="1" x="1420"/>
        <item m="1" x="3660"/>
        <item m="1" x="3088"/>
        <item m="1" x="1300"/>
        <item m="1" x="2896"/>
        <item m="1" x="3988"/>
        <item m="1" x="2538"/>
        <item m="1" x="696"/>
        <item m="1" x="2856"/>
        <item h="1" m="1" x="3115"/>
        <item h="1" m="1" x="3992"/>
        <item h="1" m="1" x="1618"/>
        <item h="1" m="1" x="2222"/>
        <item h="1" m="1" x="2159"/>
        <item h="1" m="1" x="4094"/>
        <item h="1" m="1" x="2379"/>
        <item h="1" m="1" x="3918"/>
        <item h="1" m="1" x="1815"/>
        <item h="1" m="1" x="338"/>
        <item h="1" m="1" x="3726"/>
        <item h="1" m="1" x="2537"/>
        <item h="1" m="1" x="43"/>
        <item h="1" m="1" x="737"/>
        <item h="1" m="1" x="1799"/>
        <item h="1" m="1" x="647"/>
        <item h="1" m="1" x="1764"/>
        <item h="1" m="1" x="3588"/>
        <item h="1" m="1" x="1846"/>
        <item h="1" m="1" x="3848"/>
        <item h="1" m="1" x="1059"/>
        <item h="1" m="1" x="4116"/>
        <item h="1" m="1" x="397"/>
        <item h="1" m="1" x="1615"/>
        <item h="1" m="1" x="2133"/>
        <item h="1" m="1" x="1979"/>
        <item h="1" m="1" x="3783"/>
        <item h="1" m="1" x="1836"/>
        <item h="1" m="1" x="289"/>
        <item h="1" m="1" x="3412"/>
        <item h="1" m="1" x="3765"/>
        <item h="1" m="1" x="3679"/>
        <item h="1" m="1" x="2663"/>
        <item h="1" m="1" x="2289"/>
        <item h="1" m="1" x="1301"/>
        <item h="1" m="1" x="4252"/>
        <item h="1" m="1" x="4200"/>
        <item h="1" m="1" x="3399"/>
        <item h="1" m="1" x="3628"/>
        <item h="1" m="1" x="570"/>
        <item h="1" m="1" x="788"/>
        <item h="1" m="1" x="2832"/>
        <item h="1" m="1" x="772"/>
        <item h="1" m="1" x="730"/>
        <item h="1" m="1" x="4175"/>
        <item h="1" m="1" x="3459"/>
        <item h="1" m="1" x="3036"/>
        <item h="1" m="1" x="309"/>
        <item h="1" m="1" x="566"/>
        <item h="1" m="1" x="298"/>
        <item h="1" m="1" x="3373"/>
        <item h="1" m="1" x="899"/>
        <item h="1" m="1" x="4283"/>
        <item h="1" m="1" x="391"/>
        <item h="1" m="1" x="1804"/>
        <item h="1" m="1" x="1505"/>
        <item h="1" m="1" x="4337"/>
        <item h="1" m="1" x="3677"/>
        <item h="1" m="1" x="2125"/>
        <item h="1" m="1" x="1727"/>
        <item h="1" m="1" x="4107"/>
        <item h="1" m="1" x="4039"/>
        <item h="1" m="1" x="2431"/>
        <item h="1" m="1" x="3743"/>
        <item h="1" m="1" x="332"/>
        <item h="1" m="1" x="1046"/>
        <item h="1" m="1" x="4358"/>
        <item h="1" m="1" x="1169"/>
        <item h="1" m="1" x="2233"/>
        <item h="1" m="1" x="3667"/>
        <item h="1" m="1" x="4299"/>
        <item h="1" m="1" x="2547"/>
        <item h="1" m="1" x="3375"/>
        <item h="1" m="1" x="3"/>
        <item h="1" m="1" x="2855"/>
        <item h="1" m="1" x="3732"/>
        <item h="1" m="1" x="259"/>
        <item h="1" m="1" x="277"/>
        <item h="1" m="1" x="251"/>
        <item h="1" m="1" x="2386"/>
        <item h="1" m="1" x="562"/>
        <item h="1" m="1" x="344"/>
        <item h="1" m="1" x="4468"/>
        <item h="1" m="1" x="1042"/>
        <item h="1" m="1" x="4232"/>
        <item h="1" m="1" x="4571"/>
        <item h="1" m="1" x="2797"/>
        <item h="1" m="1" x="3165"/>
        <item h="1" m="1" x="744"/>
        <item h="1" m="1" x="4188"/>
        <item h="1" m="1" x="3712"/>
        <item h="1" m="1" x="2123"/>
        <item h="1" m="1" x="1777"/>
        <item h="1" m="1" x="4648"/>
        <item h="1" m="1" x="4164"/>
        <item h="1" m="1" x="80"/>
        <item h="1" m="1" x="431"/>
        <item h="1" m="1" x="2725"/>
        <item h="1" m="1" x="2645"/>
        <item h="1" m="1" x="677"/>
        <item h="1" m="1" x="3444"/>
        <item h="1" m="1" x="3658"/>
        <item h="1" m="1" x="1298"/>
        <item h="1" m="1" x="2780"/>
        <item h="1" m="1" x="828"/>
        <item h="1" m="1" x="3532"/>
        <item h="1" m="1" x="1009"/>
        <item h="1" m="1" x="1486"/>
        <item h="1" m="1" x="488"/>
        <item h="1" m="1" x="1678"/>
        <item h="1" m="1" x="555"/>
        <item h="1" m="1" x="4557"/>
        <item h="1" m="1" x="1457"/>
        <item h="1" m="1" x="1322"/>
        <item h="1" m="1" x="608"/>
        <item h="1" m="1" x="3467"/>
        <item h="1" m="1" x="993"/>
        <item h="1" m="1" x="1417"/>
        <item h="1" m="1" x="263"/>
        <item h="1" m="1" x="2965"/>
        <item h="1" m="1" x="2113"/>
        <item h="1" m="1" x="1883"/>
        <item h="1" m="1" x="1656"/>
        <item h="1" m="1" x="4424"/>
        <item h="1" m="1" x="1228"/>
        <item h="1" m="1" x="1099"/>
        <item h="1" m="1" x="3935"/>
        <item h="1" m="1" x="445"/>
        <item h="1" m="1" x="1362"/>
        <item h="1" m="1" x="4174"/>
        <item h="1" m="1" x="3652"/>
        <item h="1" m="1" x="2350"/>
        <item h="1" m="1" x="2916"/>
        <item h="1" m="1" x="1679"/>
        <item h="1" m="1" x="1018"/>
        <item h="1" m="1" x="3870"/>
        <item h="1" m="1" x="4535"/>
        <item h="1" m="1" x="1832"/>
        <item h="1" m="1" x="3427"/>
        <item h="1" m="1" x="3577"/>
        <item h="1" m="1" x="1030"/>
        <item h="1" m="1" x="550"/>
        <item h="1" m="1" x="4619"/>
        <item h="1" m="1" x="2534"/>
        <item h="1" m="1" x="1426"/>
        <item h="1" m="1" x="1594"/>
        <item h="1" m="1" x="4136"/>
        <item h="1" m="1" x="4342"/>
        <item h="1" m="1" x="4006"/>
        <item h="1" m="1" x="1771"/>
        <item h="1" m="1" x="2693"/>
        <item h="1" m="1" x="3494"/>
        <item h="1" m="1" x="2873"/>
        <item h="1" m="1" x="3647"/>
        <item h="1" m="1" x="3278"/>
        <item h="1" m="1" x="2870"/>
        <item h="1" m="1" x="3022"/>
        <item h="1" m="1" x="1959"/>
        <item h="1" m="1" x="1737"/>
        <item h="1" m="1" x="3446"/>
        <item h="1" m="1" x="2153"/>
        <item h="1" m="1" x="1254"/>
        <item h="1" m="1" x="917"/>
        <item h="1" m="1" x="1871"/>
        <item h="1" m="1" x="544"/>
        <item h="1" m="1" x="28"/>
        <item h="1" m="1" x="3035"/>
        <item h="1" m="1" x="2094"/>
        <item h="1" m="1" x="2401"/>
        <item h="1" m="1" x="21"/>
        <item h="1" m="1" x="2907"/>
        <item h="1" m="1" x="2089"/>
        <item h="1" m="1" x="479"/>
        <item h="1" m="1" x="3830"/>
        <item h="1" m="1" x="2104"/>
        <item h="1" m="1" x="1431"/>
        <item h="1" m="1" x="3780"/>
        <item h="1" m="1" x="573"/>
        <item h="1" m="1" x="2819"/>
        <item h="1" m="1" x="4592"/>
        <item h="1" m="1" x="2894"/>
        <item h="1" m="1" x="2549"/>
        <item h="1" m="1" x="4385"/>
        <item h="1" m="1" x="4316"/>
        <item h="1" m="1" x="3644"/>
        <item h="1" m="1" x="3958"/>
        <item h="1" m="1" x="3721"/>
        <item h="1" m="1" x="1709"/>
        <item h="1" m="1" x="2376"/>
        <item h="1" m="1" x="2484"/>
        <item h="1" m="1" x="3645"/>
        <item h="1" m="1" x="279"/>
        <item h="1" m="1" x="1095"/>
        <item h="1" m="1" x="79"/>
        <item h="1" m="1" x="4142"/>
        <item h="1" m="1" x="2217"/>
        <item h="1" m="1" x="3189"/>
        <item h="1" m="1" x="1844"/>
        <item h="1" m="1" x="2891"/>
        <item h="1" m="1" x="1660"/>
        <item h="1" m="1" x="1092"/>
        <item h="1" m="1" x="4245"/>
        <item h="1" m="1" x="575"/>
        <item h="1" m="1" x="2348"/>
        <item h="1" m="1" x="692"/>
        <item h="1" m="1" x="727"/>
        <item h="1" m="1" x="3193"/>
        <item h="1" m="1" x="1243"/>
        <item h="1" m="1" x="1561"/>
        <item h="1" m="1" x="2622"/>
        <item h="1" m="1" x="1543"/>
        <item h="1" m="1" x="755"/>
        <item h="1" m="1" x="838"/>
        <item h="1" m="1" x="3939"/>
        <item h="1" m="1" x="178"/>
        <item h="1" m="1" x="3114"/>
        <item h="1" m="1" x="469"/>
        <item h="1" m="1" x="4628"/>
        <item h="1" m="1" x="4155"/>
        <item h="1" m="1" x="932"/>
        <item h="1" m="1" x="3971"/>
        <item h="1" m="1" x="1629"/>
        <item h="1" m="1" x="1119"/>
        <item h="1" m="1" x="4292"/>
        <item h="1" m="1" x="3607"/>
        <item h="1" m="1" x="4370"/>
        <item h="1" m="1" x="4208"/>
        <item h="1" m="1" x="1088"/>
        <item h="1" m="1" x="4308"/>
        <item h="1" m="1" x="1151"/>
        <item h="1" m="1" x="2479"/>
        <item h="1" m="1" x="4324"/>
        <item h="1" m="1" x="1039"/>
        <item h="1" m="1" x="4281"/>
        <item h="1" m="1" x="3636"/>
        <item h="1" m="1" x="908"/>
        <item h="1" m="1" x="2614"/>
        <item h="1" m="1" x="1054"/>
        <item h="1" m="1" x="1866"/>
        <item h="1" m="1" x="953"/>
        <item h="1" m="1" x="3813"/>
        <item h="1" m="1" x="3742"/>
        <item h="1" m="1" x="2874"/>
        <item h="1" m="1" x="4146"/>
        <item h="1" m="1" x="2567"/>
        <item h="1" m="1" x="4221"/>
        <item h="1" m="1" x="1790"/>
        <item h="1" m="1" x="2106"/>
        <item h="1" m="1" x="456"/>
        <item h="1" m="1" x="3480"/>
        <item h="1" m="1" x="1075"/>
        <item h="1" m="1" x="4404"/>
        <item h="1" m="1" x="3267"/>
        <item h="1" m="1" x="2711"/>
        <item h="1" m="1" x="774"/>
        <item h="1" m="1" x="1725"/>
        <item h="1" m="1" x="1582"/>
        <item h="1" m="1" x="4362"/>
        <item h="1" m="1" x="182"/>
        <item h="1" m="1" x="2606"/>
        <item h="1" m="1" x="1172"/>
        <item h="1" m="1" x="3443"/>
        <item h="1" m="1" x="1253"/>
        <item h="1" m="1" x="1570"/>
        <item h="1" m="1" x="3624"/>
        <item h="1" m="1" x="2596"/>
        <item h="1" m="1" x="720"/>
        <item h="1" m="1" x="423"/>
        <item h="1" m="1" x="1491"/>
        <item h="1" m="1" x="3457"/>
        <item h="1" m="1" x="4141"/>
        <item h="1" m="1" x="611"/>
        <item h="1" m="1" x="4609"/>
        <item h="1" m="1" x="2765"/>
        <item h="1" m="1" x="3441"/>
        <item h="1" m="1" x="2152"/>
        <item h="1" m="1" x="1055"/>
        <item h="1" m="1" x="4024"/>
        <item h="1" m="1" x="795"/>
        <item h="1" m="1" x="3081"/>
        <item h="1" m="1" x="2905"/>
        <item h="1" m="1" x="3471"/>
        <item h="1" m="1" x="1599"/>
        <item h="1" m="1" x="4080"/>
        <item h="1" m="1" x="1902"/>
        <item h="1" m="1" x="3233"/>
        <item h="1" m="1" x="3510"/>
        <item h="1" m="1" x="1842"/>
        <item h="1" m="1" x="1440"/>
        <item h="1" m="1" x="2835"/>
        <item h="1" m="1" x="14"/>
        <item h="1" m="1" x="2247"/>
        <item h="1" m="1" x="224"/>
        <item h="1" m="1" x="3890"/>
        <item h="1" m="1" x="3953"/>
        <item h="1" m="1" x="736"/>
        <item h="1" m="1" x="1384"/>
        <item h="1" m="1" x="1852"/>
        <item h="1" m="1" x="1428"/>
        <item h="1" m="1" x="2612"/>
        <item h="1" m="1" x="1176"/>
        <item h="1" m="1" x="1597"/>
        <item h="1" m="1" x="3599"/>
        <item h="1" m="1" x="2935"/>
        <item h="1" m="1" x="3352"/>
        <item h="1" m="1" x="4442"/>
        <item h="1" m="1" x="725"/>
        <item h="1" m="1" x="1091"/>
        <item h="1" m="1" x="2736"/>
        <item h="1" m="1" x="3082"/>
        <item h="1" m="1" x="878"/>
        <item h="1" m="1" x="3101"/>
        <item h="1" m="1" x="1898"/>
        <item h="1" m="1" x="4254"/>
        <item h="1" m="1" x="1129"/>
        <item h="1" m="1" x="176"/>
        <item h="1" m="1" x="986"/>
        <item h="1" m="1" x="4"/>
        <item h="1" m="1" x="2324"/>
        <item h="1" m="1" x="4391"/>
        <item h="1" m="1" x="489"/>
        <item h="1" m="1" x="339"/>
        <item h="1" m="1" x="3245"/>
        <item h="1" m="1" x="3176"/>
        <item h="1" m="1" x="2043"/>
        <item h="1" m="1" x="2503"/>
        <item h="1" m="1" x="4224"/>
        <item h="1" m="1" x="161"/>
        <item h="1" m="1" x="3072"/>
        <item h="1" m="1" x="442"/>
        <item h="1" m="1" x="97"/>
        <item h="1" m="1" x="2136"/>
        <item h="1" m="1" x="1287"/>
        <item h="1" m="1" x="2641"/>
        <item h="1" m="1" x="3526"/>
        <item h="1" m="1" x="4642"/>
        <item h="1" m="1" x="1915"/>
        <item h="1" m="1" x="1385"/>
        <item h="1" m="1" x="748"/>
        <item h="1" m="1" x="2009"/>
        <item h="1" m="1" x="1006"/>
        <item h="1" m="1" x="2667"/>
        <item h="1" m="1" x="4088"/>
        <item h="1" m="1" x="1580"/>
        <item h="1" m="1" x="3262"/>
        <item h="1" m="1" x="1575"/>
        <item h="1" m="1" x="3884"/>
        <item h="1" m="1" x="453"/>
        <item h="1" m="1" x="2060"/>
        <item h="1" m="1" x="779"/>
        <item h="1" m="1" x="3063"/>
        <item h="1" m="1" x="547"/>
        <item h="1" m="1" x="1755"/>
        <item h="1" m="1" x="2400"/>
        <item h="1" m="1" x="2375"/>
        <item h="1" m="1" x="1992"/>
        <item h="1" m="1" x="4638"/>
        <item h="1" m="1" x="1933"/>
        <item h="1" m="1" x="880"/>
        <item h="1" m="1" x="2293"/>
        <item h="1" m="1" x="1917"/>
        <item h="1" m="1" x="3447"/>
        <item h="1" m="1" x="1576"/>
        <item h="1" m="1" x="3314"/>
        <item h="1" m="1" x="2630"/>
        <item h="1" m="1" x="4016"/>
        <item h="1" m="1" x="2713"/>
        <item h="1" m="1" x="1307"/>
        <item h="1" m="1" x="681"/>
        <item h="1" m="1" x="2085"/>
        <item h="1" m="1" x="3360"/>
        <item h="1" m="1" x="3145"/>
        <item h="1" m="1" x="4143"/>
        <item h="1" m="1" x="3546"/>
        <item h="1" m="1" x="491"/>
        <item h="1" m="1" x="57"/>
        <item h="1" m="1" x="3626"/>
        <item h="1" m="1" x="117"/>
        <item h="1" m="1" x="3332"/>
        <item h="1" m="1" x="2647"/>
        <item h="1" m="1" x="3462"/>
        <item h="1" m="1" x="4214"/>
        <item h="1" m="1" x="389"/>
        <item h="1" m="1" x="518"/>
        <item h="1" m="1" x="4061"/>
        <item h="1" m="1" x="1167"/>
        <item h="1" m="1" x="4435"/>
        <item h="1" m="1" x="2717"/>
        <item h="1" m="1" x="2081"/>
        <item h="1" m="1" x="3414"/>
        <item h="1" m="1" x="4236"/>
        <item h="1" m="1" x="163"/>
        <item h="1" m="1" x="3828"/>
        <item h="1" m="1" x="4355"/>
        <item h="1" m="1" x="4076"/>
        <item h="1" m="1" x="3618"/>
        <item h="1" m="1" x="169"/>
        <item h="1" m="1" x="4418"/>
        <item h="1" m="1" x="3293"/>
        <item h="1" m="1" x="4275"/>
        <item h="1" m="1" x="511"/>
        <item h="1" m="1" x="1048"/>
        <item h="1" m="1" x="1954"/>
        <item h="1" m="1" x="369"/>
        <item h="1" m="1" x="2854"/>
        <item h="1" m="1" x="2027"/>
        <item h="1" m="1" x="2069"/>
        <item h="1" m="1" x="2979"/>
        <item h="1" m="1" x="1251"/>
        <item h="1" m="1" x="411"/>
        <item h="1" m="1" x="835"/>
        <item h="1" m="1" x="2776"/>
        <item h="1" m="1" x="3333"/>
        <item h="1" m="1" x="3608"/>
        <item h="1" m="1" x="4388"/>
        <item h="1" m="1" x="1410"/>
        <item h="1" m="1" x="3565"/>
        <item h="1" m="1" x="2191"/>
        <item h="1" m="1" x="506"/>
        <item h="1" m="1" x="1694"/>
        <item h="1" m="1" x="1606"/>
        <item h="1" m="1" x="2063"/>
        <item h="1" m="1" x="1233"/>
        <item h="1" m="1" x="769"/>
        <item h="1" m="1" x="2103"/>
        <item h="1" m="1" x="1400"/>
        <item h="1" m="1" x="503"/>
        <item h="1" m="1" x="1206"/>
        <item h="1" m="1" x="2659"/>
        <item h="1" m="1" x="2200"/>
        <item h="1" m="1" x="1333"/>
        <item h="1" m="1" x="1321"/>
        <item h="1" m="1" x="2583"/>
        <item h="1" m="1" x="2669"/>
        <item h="1" m="1" x="4455"/>
        <item h="1" m="1" x="933"/>
        <item h="1" m="1" x="3015"/>
        <item h="1" m="1" x="1930"/>
        <item h="1" m="1" x="4125"/>
        <item h="1" m="1" x="4060"/>
        <item h="1" m="1" x="527"/>
        <item h="1" m="1" x="4082"/>
        <item h="1" m="1" x="370"/>
        <item h="1" m="1" x="4119"/>
        <item h="1" m="1" x="4157"/>
        <item h="1" m="1" x="2164"/>
        <item h="1" m="1" x="4340"/>
        <item h="1" m="1" x="4589"/>
        <item h="1" m="1" x="281"/>
        <item h="1" m="1" x="1027"/>
        <item h="1" m="1" x="2340"/>
        <item h="1" m="1" x="2816"/>
        <item h="1" m="1" x="392"/>
        <item h="1" m="1" x="262"/>
        <item h="1" m="1" x="3853"/>
        <item h="1" m="1" x="2570"/>
        <item h="1" m="1" x="2309"/>
        <item h="1" m="1" x="2521"/>
        <item h="1" m="1" x="1348"/>
        <item h="1" m="1" x="328"/>
        <item h="1" m="1" x="552"/>
        <item h="1" m="1" x="4111"/>
        <item h="1" m="1" x="4206"/>
        <item h="1" m="1" x="3218"/>
        <item h="1" m="1" x="4466"/>
        <item h="1" m="1" x="780"/>
        <item h="1" m="1" x="387"/>
        <item h="1" m="1" x="1021"/>
        <item h="1" m="1" x="3387"/>
        <item h="1" m="1" x="2948"/>
        <item h="1" m="1" x="466"/>
        <item h="1" m="1" x="3220"/>
        <item h="1" m="1" x="2563"/>
        <item h="1" m="1" x="2419"/>
        <item h="1" m="1" x="16"/>
        <item h="1" m="1" x="1612"/>
        <item h="1" m="1" x="174"/>
        <item h="1" m="1" x="1013"/>
        <item h="1" m="1" x="374"/>
        <item h="1" m="1" x="3209"/>
        <item h="1" m="1" x="286"/>
        <item h="1" m="1" x="2517"/>
        <item h="1" m="1" x="2553"/>
        <item h="1" m="1" x="2467"/>
        <item h="1" m="1" x="565"/>
        <item h="1" m="1" x="1743"/>
        <item h="1" m="1" x="2273"/>
        <item h="1" m="1" x="350"/>
        <item h="1" m="1" x="3839"/>
        <item h="1" m="1" x="3050"/>
        <item h="1" m="1" x="1989"/>
        <item h="1" m="1" x="1673"/>
        <item h="1" m="1" x="2092"/>
        <item h="1" m="1" x="3205"/>
        <item h="1" m="1" x="4615"/>
        <item h="1" m="1" x="3891"/>
        <item h="1" m="1" x="1850"/>
        <item h="1" m="1" x="3651"/>
        <item h="1" m="1" x="3517"/>
        <item h="1" m="1" x="76"/>
        <item h="1" m="1" x="1549"/>
        <item h="1" m="1" x="2020"/>
        <item h="1" m="1" x="571"/>
        <item h="1" m="1" x="134"/>
        <item h="1" m="1" x="3043"/>
        <item h="1" m="1" x="2038"/>
        <item h="1" m="1" x="2201"/>
        <item h="1" m="1" x="2155"/>
        <item h="1" m="1" x="3895"/>
        <item h="1" m="1" x="193"/>
        <item h="1" m="1" x="4613"/>
        <item h="1" m="1" x="3389"/>
        <item h="1" m="1" x="2892"/>
        <item h="1" m="1" x="3720"/>
        <item h="1" m="1" x="250"/>
        <item h="1" m="1" x="4608"/>
        <item h="1" m="1" x="3455"/>
        <item h="1" m="1" x="3430"/>
        <item h="1" m="1" x="3778"/>
        <item h="1" m="1" x="4627"/>
        <item h="1" m="1" x="1535"/>
        <item h="1" m="1" x="3632"/>
        <item h="1" m="1" x="701"/>
        <item h="1" m="1" x="3031"/>
        <item h="1" m="1" x="2135"/>
        <item h="1" m="1" x="4343"/>
        <item h="1" m="1" x="2287"/>
        <item h="1" m="1" x="345"/>
        <item h="1" m="1" x="1531"/>
        <item h="1" m="1" x="60"/>
        <item h="1" m="1" x="764"/>
        <item h="1" m="1" x="1527"/>
        <item h="1" m="1" x="300"/>
        <item h="1" m="1" x="1165"/>
        <item h="1" m="1" x="833"/>
        <item h="1" m="1" x="1578"/>
        <item h="1" m="1" x="3025"/>
        <item h="1" m="1" x="1728"/>
        <item h="1" m="1" x="1338"/>
        <item h="1" m="1" x="2422"/>
        <item h="1" m="1" x="1475"/>
        <item h="1" m="1" x="1518"/>
        <item h="1" m="1" x="1711"/>
        <item h="1" m="1" x="894"/>
        <item h="1" m="1" x="2385"/>
        <item h="1" m="1" x="3018"/>
        <item h="1" m="1" x="1822"/>
        <item h="1" m="1" x="2928"/>
        <item h="1" m="1" x="2541"/>
        <item h="1" m="1" x="3071"/>
        <item h="1" m="1" x="481"/>
        <item h="1" m="1" x="3174"/>
        <item h="1" m="1" x="3087"/>
        <item h="1" m="1" x="4103"/>
        <item h="1" m="1" x="2044"/>
        <item h="1" m="1" x="3290"/>
        <item h="1" m="1" x="1038"/>
        <item h="1" m="1" x="3468"/>
        <item h="1" m="1" x="3580"/>
        <item h="1" m="1" x="1340"/>
        <item h="1" m="1" x="4010"/>
        <item h="1" m="1" x="2595"/>
        <item h="1" m="1" x="475"/>
        <item h="1" m="1" x="3231"/>
        <item h="1" m="1" x="4184"/>
        <item h="1" m="1" x="4159"/>
        <item h="1" m="1" x="3836"/>
        <item h="1" m="1" x="472"/>
        <item h="1" m="1" x="2737"/>
        <item h="1" m="1" x="4219"/>
        <item h="1" m="1" x="2035"/>
        <item h="1" m="1" x="1178"/>
        <item h="1" m="1" x="4565"/>
        <item h="1" m="1" x="3573"/>
        <item h="1" m="1" x="1435"/>
        <item h="1" m="1" x="2710"/>
        <item h="1" m="1" x="471"/>
        <item h="1" m="1" x="2799"/>
        <item h="1" m="1" x="4304"/>
        <item h="1" m="1" x="293"/>
        <item h="1" m="1" x="2031"/>
        <item h="1" m="1" x="1252"/>
        <item h="1" m="1" x="2028"/>
        <item h="1" m="1" x="1313"/>
        <item h="1" m="1" x="1603"/>
        <item h="1" m="1" x="460"/>
        <item h="1" m="1" x="2906"/>
        <item h="1" m="1" x="4417"/>
        <item h="1" m="1" x="1971"/>
        <item h="1" m="1" x="2022"/>
        <item h="1" m="1" x="1367"/>
        <item h="1" m="1" x="3552"/>
        <item h="1" m="1" x="1057"/>
        <item h="1" m="1" x="2914"/>
        <item h="1" m="1" x="2326"/>
        <item h="1" m="1" x="3545"/>
        <item h="1" m="1" x="1124"/>
        <item h="1" m="1" x="2964"/>
        <item h="1" m="1" x="981"/>
        <item h="1" m="1" x="2494"/>
        <item h="1" m="1" x="1740"/>
        <item h="1" m="1" x="4537"/>
        <item h="1" m="1" x="3021"/>
        <item h="1" m="1" x="2542"/>
        <item h="1" m="1" x="3004"/>
        <item h="1" m="1" x="1490"/>
        <item h="1" m="1" x="4079"/>
        <item h="1" m="1" x="613"/>
        <item h="1" m="1" x="3017"/>
        <item h="1" m="1" x="3408"/>
        <item h="1" m="1" x="2531"/>
        <item h="1" m="1" x="1193"/>
        <item h="1" m="1" x="1634"/>
        <item h="1" m="1" x="4069"/>
        <item h="1" m="1" x="722"/>
        <item h="1" m="1" x="1986"/>
        <item h="1" m="1" x="3160"/>
        <item h="1" m="1" x="400"/>
        <item h="1" m="1" x="967"/>
        <item h="1" m="1" x="2119"/>
        <item h="1" m="1" x="94"/>
        <item h="1" m="1" x="2528"/>
        <item h="1" m="1" x="4605"/>
        <item h="1" m="1" x="1702"/>
        <item h="1" m="1" x="786"/>
        <item h="1" m="1" x="2522"/>
        <item h="1" m="1" x="3394"/>
        <item h="1" m="1" x="1765"/>
        <item h="1" m="1" x="4062"/>
        <item h="1" m="1" x="270"/>
        <item h="1" m="1" x="86"/>
        <item h="1" m="1" x="3294"/>
        <item h="1" m="1" x="1541"/>
        <item h="1" m="1" x="954"/>
        <item h="1" m="1" x="2221"/>
        <item h="1" m="1" x="1429"/>
        <item h="1" m="1" x="223"/>
        <item h="1" m="1" x="2519"/>
        <item h="1" m="1" x="1824"/>
        <item h="1" m="1" x="1924"/>
        <item h="1" m="1" x="4054"/>
        <item h="1" m="1" x="327"/>
        <item h="1" m="1" x="3530"/>
        <item h="1" m="1" x="3351"/>
        <item h="1" m="1" x="4052"/>
        <item h="1" m="1" x="382"/>
        <item h="1" m="1" x="2851"/>
        <item h="1" m="1" x="3418"/>
        <item h="1" m="1" x="2640"/>
        <item h="1" m="1" x="944"/>
        <item h="1" m="1" x="1808"/>
        <item h="1" m="1" x="3669"/>
        <item h="1" m="1" x="347"/>
        <item h="1" m="1" x="3002"/>
        <item h="1" m="1" x="335"/>
        <item h="1" m="1" x="1957"/>
        <item h="1" m="1" x="2982"/>
        <item h="1" m="1" x="4563"/>
        <item h="1" m="1" x="443"/>
        <item h="1" m="1" x="1704"/>
        <item h="1" m="1" x="3488"/>
        <item h="1" m="1" x="1492"/>
        <item h="1" m="1" x="1865"/>
        <item h="1" m="1" x="2978"/>
        <item h="1" m="1" x="415"/>
        <item h="1" m="1" x="3350"/>
        <item h="1" m="1" x="2996"/>
        <item h="1" m="1" x="3090"/>
        <item h="1" m="1" x="2066"/>
        <item h="1" m="1" x="4633"/>
        <item h="1" m="1" x="4555"/>
        <item h="1" m="1" x="8"/>
        <item h="1" m="1" x="4447"/>
        <item h="1" m="1" x="3633"/>
        <item h="1" m="1" x="1483"/>
        <item h="1" m="1" x="1414"/>
        <item h="1" m="1" x="553"/>
        <item h="1" m="1" x="2989"/>
        <item h="1" m="1" x="2828"/>
        <item h="1" m="1" x="1291"/>
        <item h="1" m="1" x="2707"/>
        <item h="1" m="1" x="4544"/>
        <item h="1" m="1" x="119"/>
        <item h="1" m="1" x="2054"/>
        <item h="1" m="1" x="4300"/>
        <item h="1" m="1" x="1473"/>
        <item h="1" m="1" x="1525"/>
        <item h="1" m="1" x="3357"/>
        <item h="1" m="1" x="1247"/>
        <item h="1" m="1" x="2987"/>
        <item h="1" m="1" x="54"/>
        <item h="1" m="1" x="2770"/>
        <item h="1" m="1" x="4290"/>
        <item h="1" m="1" x="4356"/>
        <item h="1" m="1" x="1100"/>
        <item h="1" m="1" x="1521"/>
        <item h="1" m="1" x="1363"/>
        <item h="1" m="1" x="2815"/>
        <item h="1" m="1" x="2908"/>
        <item h="1" m="1" x="4390"/>
        <item h="1" m="1" x="4479"/>
        <item h="1" m="1" x="1160"/>
        <item h="1" m="1" x="292"/>
        <item h="1" m="1" x="1416"/>
        <item h="1" m="1" x="1207"/>
        <item h="1" m="1" x="3755"/>
        <item h="1" m="1" x="1484"/>
        <item h="1" m="1" x="422"/>
        <item h="1" m="1" x="3014"/>
        <item h="1" m="1" x="3952"/>
        <item h="1" m="1" x="1788"/>
        <item h="1" m="1" x="4602"/>
        <item h="1" m="1" x="4400"/>
        <item h="1" m="1" x="1267"/>
        <item h="1" m="1" x="3055"/>
        <item h="1" m="1" x="1562"/>
        <item h="1" m="1" x="3319"/>
        <item h="1" m="1" x="4407"/>
        <item h="1" m="1" x="3075"/>
        <item h="1" m="1" x="2672"/>
        <item h="1" m="1" x="3194"/>
        <item h="1" m="1" x="3155"/>
        <item h="1" m="1" x="3691"/>
        <item h="1" m="1" x="4063"/>
        <item h="1" m="1" x="4515"/>
        <item h="1" m="1" x="90"/>
        <item h="1" m="1" x="2616"/>
        <item h="1" m="1" x="809"/>
        <item h="1" m="1" x="680"/>
        <item h="1" m="1" x="1698"/>
        <item h="1" m="1" x="3227"/>
        <item h="1" m="1" x="470"/>
        <item h="1" m="1" x="4115"/>
        <item h="1" m="1" x="3324"/>
        <item h="1" m="1" x="158"/>
        <item h="1" m="1" x="4040"/>
        <item h="1" m="1" x="3638"/>
        <item h="1" m="1" x="2144"/>
        <item h="1" m="1" x="218"/>
        <item h="1" m="1" x="136"/>
        <item h="1" m="1" x="3347"/>
        <item h="1" m="1" x="3856"/>
        <item h="1" m="1" x="3690"/>
        <item h="1" m="1" x="1474"/>
        <item h="1" m="1" x="275"/>
        <item h="1" m="1" x="2773"/>
        <item h="1" m="1" x="416"/>
        <item h="1" m="1" x="2276"/>
        <item h="1" m="1" x="1892"/>
        <item h="1" m="1" x="1746"/>
        <item h="1" m="1" x="478"/>
        <item h="1" m="1" x="1616"/>
        <item h="1" m="1" x="1950"/>
        <item h="1" m="1" x="3124"/>
        <item h="1" m="1" x="2912"/>
        <item h="1" m="1" x="3483"/>
        <item h="1" m="1" x="2088"/>
        <item h="1" m="1" x="3787"/>
        <item h="1" m="1" x="3715"/>
        <item h="1" m="1" x="408"/>
        <item h="1" m="1" x="1014"/>
        <item h="1" m="1" x="1745"/>
        <item h="1" m="1" x="3562"/>
        <item h="1" m="1" x="4037"/>
        <item h="1" m="1" x="512"/>
        <item h="1" m="1" x="3631"/>
        <item h="1" m="1" x="3338"/>
        <item h="1" m="1" x="1874"/>
        <item h="1" m="1" x="549"/>
        <item h="1" m="1" x="4399"/>
        <item h="1" m="1" x="95"/>
        <item h="1" m="1" x="3149"/>
        <item h="1" m="1" x="2129"/>
        <item h="1" m="1" x="200"/>
        <item h="1" m="1" x="2263"/>
        <item h="1" m="1" x="1560"/>
        <item h="1" m="1" x="215"/>
        <item h="1" m="1" x="3945"/>
        <item h="1" m="1" x="3852"/>
        <item h="1" m="1" x="4469"/>
        <item h="1" m="1" x="2458"/>
        <item h="1" m="1" x="1742"/>
        <item h="1" m="1" x="2739"/>
        <item h="1" m="1" x="1953"/>
        <item h="1" m="1" x="1161"/>
        <item h="1" m="1" x="4044"/>
        <item h="1" m="1" x="4274"/>
        <item h="1" m="1" x="2262"/>
        <item h="1" m="1" x="4191"/>
        <item h="1" m="1" x="2058"/>
        <item h="1" m="1" x="2744"/>
        <item h="1" m="1" x="4248"/>
        <item h="1" m="1" x="853"/>
        <item h="1" m="1" x="2814"/>
        <item h="1" m="1" x="2075"/>
        <item h="1" m="1" x="999"/>
        <item h="1" m="1" x="2195"/>
        <item h="1" m="1" x="4401"/>
        <item h="1" m="1" x="1003"/>
        <item h="1" m="1" x="2496"/>
        <item h="1" m="1" x="1663"/>
        <item h="1" m="1" x="1464"/>
        <item h="1" m="1" x="2766"/>
        <item h="1" m="1" x="615"/>
        <item h="1" m="1" x="4577"/>
        <item h="1" m="1" x="641"/>
        <item h="1" m="1" x="2565"/>
        <item h="1" m="1" x="6"/>
        <item h="1" m="1" x="2061"/>
        <item h="1" m="1" x="3875"/>
        <item h="1" m="1" x="1611"/>
        <item h="1" m="1" x="1552"/>
        <item h="1" m="1" x="2120"/>
        <item h="1" m="1" x="1680"/>
        <item h="1" m="1" x="2946"/>
        <item h="1" m="1" x="3541"/>
        <item h="1" m="1" x="3327"/>
        <item h="1" m="1" x="3272"/>
        <item m="1" x="927"/>
        <item h="1" m="1" x="1880"/>
        <item h="1" m="1" x="4196"/>
        <item h="1" m="1" x="1994"/>
        <item h="1" m="1" x="1221"/>
        <item h="1" m="1" x="4026"/>
        <item h="1" m="1" x="4209"/>
        <item h="1" m="1" x="1345"/>
        <item h="1" m="1" x="2235"/>
        <item h="1" m="1" x="4459"/>
        <item h="1" m="1" x="2600"/>
        <item h="1" m="1" x="73"/>
        <item h="1" m="1" x="3923"/>
        <item h="1" m="1" x="1676"/>
        <item h="1" m="1" x="1187"/>
        <item h="1" m="1" x="2065"/>
        <item h="1" m="1" x="1802"/>
        <item h="1" m="1" x="2833"/>
        <item h="1" m="1" x="3328"/>
        <item h="1" m="1" x="2941"/>
        <item h="1" m="1" x="859"/>
        <item h="1" m="1" x="1868"/>
        <item h="1" m="1" x="811"/>
        <item h="1" m="1" x="980"/>
        <item h="1" m="1" x="3465"/>
        <item h="1" m="1" x="1141"/>
        <item h="1" m="1" x="463"/>
        <item h="1" m="1" x="1269"/>
        <item h="1" m="1" x="2109"/>
        <item h="1" m="1" x="2568"/>
        <item h="1" m="1" x="3672"/>
        <item h="1" m="1" x="2927"/>
        <item h="1" m="1" x="3922"/>
        <item h="1" m="1" x="4263"/>
        <item h="1" m="1" x="852"/>
        <item h="1" m="1" x="935"/>
        <item h="1" m="1" x="2438"/>
        <item h="1" m="1" x="3989"/>
        <item h="1" m="1" x="3594"/>
        <item h="1" m="1" x="912"/>
        <item h="1" m="1" x="4392"/>
        <item h="1" m="1" x="2493"/>
        <item h="1" m="1" x="3727"/>
        <item h="1" m="1" x="2552"/>
        <item h="1" m="1" x="4500"/>
        <item h="1" m="1" x="4123"/>
        <item h="1" m="1" x="1224"/>
        <item h="1" m="1" x="1056"/>
        <item h="1" m="1" x="2529"/>
        <item h="1" m="1" x="2617"/>
        <item h="1" m="1" x="2651"/>
        <item h="1" m="1" x="4242"/>
        <item h="1" m="1" x="194"/>
        <item h="1" m="1" x="1196"/>
        <item h="1" m="1" x="4202"/>
        <item h="1" m="1" x="2726"/>
        <item h="1" m="1" x="3013"/>
        <item h="1" m="1" x="4325"/>
        <item h="1" m="1" x="4606"/>
        <item h="1" m="1" x="1329"/>
        <item h="1" m="1" x="3979"/>
        <item h="1" m="1" x="2853"/>
        <item h="1" m="1" x="3330"/>
        <item h="1" m="1" x="4440"/>
        <item h="1" m="1" x="2695"/>
        <item h="1" m="1" x="1388"/>
        <item h="1" m="1" x="4291"/>
        <item h="1" m="1" x="3524"/>
        <item h="1" m="1" x="1879"/>
        <item h="1" m="1" x="3600"/>
        <item h="1" m="1" x="3405"/>
        <item h="1" m="1" x="588"/>
        <item h="1" m="1" x="2769"/>
        <item h="1" m="1" x="2175"/>
        <item h="1" m="1" x="2160"/>
        <item h="1" m="1" x="3736"/>
        <item h="1" m="1" x="979"/>
        <item h="1" m="1" x="655"/>
        <item h="1" m="1" x="3730"/>
        <item h="1" m="1" x="719"/>
        <item h="1" m="1" x="2564"/>
        <item h="1" m="1" x="2300"/>
        <item h="1" m="1" x="1943"/>
        <item h="1" m="1" x="3849"/>
        <item h="1" m="1" x="1317"/>
        <item h="1" m="1" x="784"/>
        <item h="1" m="1" x="651"/>
        <item h="1" m="1" x="2362"/>
        <item h="1" m="1" x="2841"/>
        <item h="1" m="1" x="2435"/>
        <item h="1" m="1" x="2234"/>
        <item h="1" m="1" x="3985"/>
        <item h="1" m="1" x="1073"/>
        <item h="1" m="1" x="909"/>
        <item h="1" m="1" x="406"/>
        <item h="1" m="1" x="2488"/>
        <item h="1" m="1" x="4426"/>
        <item h="1" m="1" x="4050"/>
        <item h="1" m="1" x="2011"/>
        <item h="1" m="1" x="4120"/>
        <item h="1" m="1" x="1380"/>
        <item h="1" m="1" x="1050"/>
        <item h="1" m="1" x="726"/>
        <item h="1" m="1" x="2609"/>
        <item h="1" m="1" x="81"/>
        <item h="1" m="1" x="4171"/>
        <item h="1" m="1" x="3571"/>
        <item h="1" m="1" x="1136"/>
        <item h="1" m="1" x="493"/>
        <item h="1" m="1" x="2723"/>
        <item h="1" m="1" x="4492"/>
        <item h="1" m="1" x="4323"/>
        <item h="1" m="1" x="3863"/>
        <item h="1" m="1" x="1270"/>
        <item h="1" m="1" x="3223"/>
        <item h="1" m="1" x="2792"/>
        <item h="1" m="1" x="800"/>
        <item h="1" m="1" x="2848"/>
        <item h="1" m="1" x="159"/>
        <item h="1" m="1" x="4437"/>
        <item h="1" m="1" x="2985"/>
        <item h="1" m="1" x="2924"/>
        <item h="1" m="1" x="2388"/>
        <item h="1" m="1" x="4490"/>
        <item h="1" m="1" x="4561"/>
        <item h="1" m="1" x="4548"/>
        <item h="1" m="1" x="3941"/>
        <item h="1" m="1" x="1507"/>
        <item h="1" m="1" x="2668"/>
        <item h="1" m="1" x="4624"/>
        <item h="1" m="1" x="1520"/>
        <item h="1" m="1" x="1590"/>
        <item h="1" m="1" x="4239"/>
        <item h="1" m="1" x="1652"/>
        <item h="1" m="1" x="3051"/>
        <item h="1" m="1" x="3182"/>
        <item h="1" m="1" x="2460"/>
        <item h="1" m="1" x="111"/>
        <item h="1" m="1" x="1831"/>
        <item h="1" m="1" x="1719"/>
        <item h="1" m="1" x="1198"/>
        <item h="1" m="1" x="3244"/>
        <item h="1" m="1" x="3310"/>
        <item h="1" m="1" x="2731"/>
        <item h="1" m="1" x="232"/>
        <item h="1" m="1" x="1604"/>
        <item h="1" m="1" x="1840"/>
        <item h="1" m="1" x="936"/>
        <item h="1" m="1" x="3367"/>
        <item h="1" m="1" x="301"/>
        <item h="1" m="1" x="304"/>
        <item h="1" m="1" x="2524"/>
        <item h="1" m="1" x="362"/>
        <item h="1" m="1" x="1912"/>
        <item h="1" m="1" x="1970"/>
        <item h="1" m="1" x="1278"/>
        <item h="1" m="1" x="3505"/>
        <item h="1" m="1" x="610"/>
        <item h="1" m="1" x="435"/>
        <item h="1" m="1" x="4095"/>
        <item h="1" m="1" x="2024"/>
        <item h="1" m="1" x="1031"/>
        <item h="1" m="1" x="3646"/>
        <item h="1" m="1" x="371"/>
        <item h="1" m="1" x="568"/>
        <item h="1" m="1" x="4396"/>
        <item h="1" m="1" x="2149"/>
        <item h="1" m="1" x="3760"/>
        <item h="1" m="1" x="3713"/>
        <item h="1" m="1" x="1343"/>
        <item h="1" m="1" x="3774"/>
        <item h="1" m="1" x="684"/>
        <item h="1" m="1" x="697"/>
        <item h="1" m="1" x="4156"/>
        <item h="1" m="1" x="2283"/>
        <item h="1" m="1" x="3829"/>
        <item h="1" m="1" x="2880"/>
        <item h="1" m="1" x="760"/>
        <item h="1" m="1" x="454"/>
        <item h="1" m="1" x="829"/>
        <item h="1" m="1" x="4463"/>
        <item h="1" m="1" x="3821"/>
        <item h="1" m="1" x="3964"/>
        <item h="1" m="1" x="2955"/>
        <item h="1" m="1" x="1584"/>
        <item h="1" m="1" x="2338"/>
        <item h="1" m="1" x="3094"/>
        <item h="1" m="1" x="1730"/>
        <item h="1" m="1" x="47"/>
        <item h="1" m="1" x="3905"/>
        <item h="1" m="1" x="106"/>
        <item h="1" m="1" x="3258"/>
        <item h="1" m="1" x="1715"/>
        <item h="1" m="1" x="2114"/>
        <item h="1" m="1" x="3239"/>
        <item h="1" m="1" x="1480"/>
        <item h="1" m="1" x="172"/>
        <item h="1" m="1" x="836"/>
        <item h="1" m="1" x="1778"/>
        <item h="1" m="1" x="3010"/>
        <item h="1" m="1" x="1837"/>
        <item h="1" m="1" x="2429"/>
        <item h="1" m="1" x="3366"/>
        <item h="1" m="1" x="1796"/>
        <item h="1" m="1" x="297"/>
        <item h="1" m="1" x="602"/>
        <item h="1" m="1" x="1905"/>
        <item h="1" m="1" x="4603"/>
        <item h="1" m="1" x="3431"/>
        <item h="1" m="1" x="3976"/>
        <item h="1" m="1" x="355"/>
        <item h="1" m="1" x="2192"/>
        <item h="1" m="1" x="3500"/>
        <item h="1" m="1" x="428"/>
        <item h="1" m="1" x="905"/>
        <item h="1" m="1" x="2019"/>
        <item h="1" m="1" x="254"/>
        <item h="1" m="1" x="3579"/>
        <item h="1" m="1" x="4287"/>
        <item h="1" m="1" x="499"/>
        <item h="1" m="1" x="1875"/>
        <item h="1" m="1" x="564"/>
        <item h="1" m="1" x="1242"/>
        <item h="1" m="1" x="2146"/>
        <item h="1" m="1" x="41"/>
        <item h="1" m="1" x="3707"/>
        <item h="1" m="1" x="4051"/>
        <item h="1" m="1" x="627"/>
        <item h="1" m="1" x="3400"/>
        <item h="1" m="1" x="2209"/>
        <item h="1" m="1" x="977"/>
        <item h="1" m="1" x="2281"/>
        <item h="1" m="1" x="334"/>
        <item h="1" m="1" x="3826"/>
        <item h="1" m="1" x="756"/>
        <item h="1" m="1" x="3175"/>
        <item h="1" m="1" x="2334"/>
        <item h="1" m="1" x="2561"/>
        <item h="1" m="1" x="3898"/>
        <item h="1" m="1" x="4129"/>
        <item h="1" m="1" x="886"/>
        <item h="1" m="1" x="3475"/>
        <item h="1" m="1" x="2474"/>
        <item h="1" m="1" x="2838"/>
        <item h="1" m="1" x="4027"/>
        <item h="1" m="1" x="1721"/>
        <item h="1" m="1" x="941"/>
        <item h="1" m="1" x="1069"/>
        <item h="1" m="1" x="2532"/>
        <item h="1" m="1" x="1033"/>
        <item h="1" m="1" x="3790"/>
        <item h="1" m="1" x="2588"/>
        <item h="1" m="1" x="2636"/>
        <item h="1" m="1" x="4151"/>
        <item h="1" m="1" x="2008"/>
        <item h="1" m="1" x="1105"/>
        <item h="1" m="1" x="1375"/>
        <item h="1" m="1" x="2656"/>
        <item h="1" m="1" x="3569"/>
        <item h="1" m="1" x="2703"/>
        <item h="1" m="1" x="2921"/>
        <item h="1" m="1" x="4296"/>
        <item h="1" m="1" x="2307"/>
        <item h="1" m="1" x="1244"/>
        <item h="1" m="1" x="1159"/>
        <item h="1" m="1" x="2764"/>
        <item h="1" m="1" x="492"/>
        <item h="1" m="1" x="4350"/>
        <item h="1" m="1" x="2072"/>
        <item h="1" m="1" x="1360"/>
        <item h="1" m="1" x="1442"/>
        <item h="1" m="1" x="2900"/>
        <item h="1" m="1" x="796"/>
        <item h="1" m="1" x="4474"/>
        <item h="1" m="1" x="4276"/>
        <item h="1" m="1" x="1415"/>
        <item h="1" m="1" x="1761"/>
        <item h="1" m="1" x="3009"/>
        <item h="1" m="1" x="563"/>
        <item h="1" m="1" x="4595"/>
        <item h="1" m="1" x="1559"/>
        <item h="1" m="1" x="3934"/>
        <item h="1" m="1" x="3070"/>
        <item h="1" m="1" x="1516"/>
        <item h="1" m="1" x="871"/>
        <item h="1" m="1" x="1926"/>
        <item h="1" m="1" x="225"/>
        <item h="1" m="1" x="82"/>
        <item h="1" m="1" x="3718"/>
        <item h="1" m="1" x="3461"/>
        <item h="1" m="1" x="3045"/>
        <item h="1" m="1" x="1695"/>
        <item h="1" m="1" x="639"/>
        <item h="1" m="1" x="1984"/>
        <item h="1" m="1" x="4009"/>
        <item h="1" m="1" x="3523"/>
        <item h="1" m="1" x="3361"/>
        <item h="1" m="1" x="1757"/>
        <item h="1" m="1" x="2223"/>
        <item h="1" m="1" x="455"/>
        <item h="1" m="1" x="295"/>
        <item h="1" m="1" x="214"/>
        <item h="1" m="1" x="3125"/>
        <item h="1" m="1" x="1818"/>
        <item h="1" m="1" x="1910"/>
        <item h="1" m="1" x="3343"/>
        <item h="1" m="1" x="4091"/>
        <item h="1" m="1" x="3666"/>
        <item h="1" m="1" x="3438"/>
        <item h="1" m="1" x="1890"/>
        <item h="1" m="1" x="2802"/>
        <item h="1" m="1" x="585"/>
        <item h="1" m="1" x="1025"/>
        <item h="1" m="1" x="2171"/>
        <item h="1" m="1" x="3213"/>
        <item h="1" m="1" x="1945"/>
        <item h="1" m="1" x="2589"/>
        <item h="1" m="1" x="652"/>
        <item h="1" m="1" x="1977"/>
        <item h="1" m="1" x="3478"/>
        <item h="1" m="1" x="1341"/>
        <item h="1" m="1" x="2232"/>
        <item h="1" m="1" x="402"/>
        <item h="1" m="1" x="2876"/>
        <item h="1" m="1" x="716"/>
        <item h="1" m="1" x="1752"/>
        <item h="1" m="1" x="3555"/>
        <item h="1" m="1" x="1115"/>
        <item h="1" m="1" x="2296"/>
        <item h="1" m="1" x="450"/>
        <item h="1" m="1" x="480"/>
        <item h="1" m="1" x="524"/>
        <item h="1" m="1" x="609"/>
        <item h="1" m="1" x="4520"/>
        <item h="1" m="1" x="3981"/>
        <item h="1" m="1" x="3902"/>
        <item h="1" m="1" x="2696"/>
        <item h="1" m="1" x="2719"/>
        <item h="1" m="1" x="907"/>
        <item h="1" m="1" x="1241"/>
        <item h="1" m="1" x="4319"/>
        <item h="1" m="1" x="4049"/>
        <item h="1" m="1" x="3681"/>
        <item h="1" m="1" x="2757"/>
        <item h="1" m="1" x="3006"/>
        <item h="1" m="1" x="970"/>
        <item h="1" m="1" x="2424"/>
        <item h="1" m="1" x="4348"/>
        <item h="1" m="1" x="4598"/>
        <item h="1" m="1" x="4118"/>
        <item h="1" m="1" x="2826"/>
        <item h="1" m="1" x="2796"/>
        <item h="1" m="1" x="1049"/>
        <item h="1" m="1" x="2190"/>
        <item h="1" m="1" x="4410"/>
        <item h="1" m="1" x="1563"/>
        <item h="1" m="1" x="2607"/>
        <item h="1" m="1" x="3751"/>
        <item h="1" m="1" x="2897"/>
        <item h="1" m="1" x="3078"/>
        <item h="1" m="1" x="1132"/>
        <item h="1" m="1" x="2485"/>
        <item h="1" m="1" x="4473"/>
        <item h="1" m="1" x="1873"/>
        <item h="1" m="1" x="2671"/>
        <item h="1" m="1" x="675"/>
        <item h="1" m="1" x="1413"/>
        <item h="1" m="1" x="3395"/>
        <item h="1" m="1" x="1190"/>
        <item h="1" m="1" x="2260"/>
        <item h="1" m="1" x="4525"/>
        <item h="1" m="1" x="1646"/>
        <item h="1" m="1" x="2721"/>
        <item h="1" m="1" x="1477"/>
        <item h="1" m="1" x="329"/>
        <item h="1" m="1" x="4318"/>
        <item h="1" m="1" x="2554"/>
        <item h="1" m="1" x="4591"/>
        <item h="1" m="1" x="1936"/>
        <item h="1" m="1" x="2789"/>
        <item h="1" m="1" x="747"/>
        <item h="1" m="1" x="1555"/>
        <item h="1" m="1" x="107"/>
        <item h="1" m="1" x="4371"/>
        <item h="1" m="1" x="4126"/>
        <item h="1" m="1" x="3068"/>
        <item h="1" m="1" x="1717"/>
        <item h="1" m="1" x="2847"/>
        <item h="1" m="1" x="1623"/>
        <item h="1" m="1" x="399"/>
        <item h="1" m="1" x="4433"/>
        <item h="1" m="1" x="4420"/>
        <item h="1" m="1" x="3144"/>
        <item h="1" m="1" x="1688"/>
        <item h="1" m="1" x="181"/>
        <item h="1" m="1" x="4488"/>
        <item h="1" m="1" x="4186"/>
        <item h="1" m="1" x="3219"/>
        <item h="1" m="1" x="3563"/>
        <item h="1" m="1" x="1439"/>
        <item h="1" m="1" x="2918"/>
        <item h="1" m="1" x="152"/>
        <item h="1" m="1" x="487"/>
        <item h="1" m="1" x="4546"/>
        <item h="1" m="1" x="4487"/>
        <item h="1" m="1" x="3285"/>
        <item h="1" m="1" x="3323"/>
        <item h="1" m="1" x="1504"/>
        <item h="1" m="1" x="2688"/>
        <item h="1" m="1" x="212"/>
        <item h="1" m="1" x="2070"/>
        <item h="1" m="1" x="3029"/>
        <item h="1" m="1" x="4273"/>
        <item h="1" m="1" x="3339"/>
        <item h="1" m="1" x="3640"/>
        <item h="1" m="1" x="1585"/>
        <item h="1" m="1" x="2981"/>
        <item h="1" m="1" x="265"/>
        <item h="1" m="1" x="2382"/>
        <item h="1" m="1" x="3096"/>
        <item h="1" m="1" x="1887"/>
        <item h="1" m="1" x="2749"/>
        <item h="1" m="1" x="337"/>
        <item h="1" m="1" x="2147"/>
        <item h="1" m="1" x="3177"/>
        <item h="1" m="1" x="1514"/>
        <item h="1" m="1" x="1940"/>
        <item h="1" m="1" x="868"/>
        <item h="1" m="1" x="109"/>
        <item h="1" m="1" x="3042"/>
        <item h="1" m="1" x="396"/>
        <item h="1" m="1" x="2454"/>
        <item h="1" m="1" x="3242"/>
        <item h="1" m="1" x="2000"/>
        <item h="1" m="1" x="638"/>
        <item h="1" m="1" x="175"/>
        <item h="1" m="1" x="4640"/>
        <item h="1" m="1" x="3550"/>
        <item h="1" m="1" x="2218"/>
        <item h="1" m="1" x="3308"/>
        <item h="1" m="1" x="1600"/>
        <item h="1" m="1" x="2053"/>
        <item h="1" m="1" x="931"/>
        <item h="1" m="1" x="231"/>
        <item h="1" m="1" x="4414"/>
        <item h="1" m="1" x="3620"/>
        <item h="1" m="1" x="1022"/>
        <item h="1" m="1" x="358"/>
        <item h="1" m="1" x="364"/>
        <item h="1" m="1" x="3752"/>
        <item h="1" m="1" x="1968"/>
        <item h="1" m="1" x="3208"/>
        <item h="1" m="1" x="672"/>
        <item h="1" m="1" x="2369"/>
        <item h="1" m="1" x="4110"/>
        <item h="1" m="1" x="1749"/>
        <item h="1" m="1" x="2319"/>
        <item h="1" m="1" x="3283"/>
        <item h="1" m="1" x="804"/>
        <item h="1" m="1" x="2660"/>
        <item h="1" m="1" x="4167"/>
        <item h="1" m="1" x="2389"/>
        <item h="1" m="1" x="1402"/>
        <item h="1" m="1" x="1128"/>
        <item h="1" m="1" x="3598"/>
        <item h="1" m="1" x="867"/>
        <item h="1" m="1" x="2947"/>
        <item h="1" m="1" x="4230"/>
        <item h="1" m="1" x="1819"/>
        <item h="1" m="1" x="2449"/>
        <item h="1" m="1" x="1181"/>
        <item h="1" m="1" x="1185"/>
        <item h="1" m="1" x="519"/>
        <item h="1" m="1" x="4004"/>
        <item h="1" m="1" x="4516"/>
        <item h="1" m="1" x="2716"/>
        <item h="1" m="1" x="2715"/>
        <item h="1" m="1" x="4315"/>
        <item h="1" m="1" x="2511"/>
        <item h="1" m="1" x="1470"/>
        <item h="1" m="1" x="1257"/>
        <item h="1" m="1" x="280"/>
        <item h="1" m="1" x="4072"/>
        <item h="1" m="1" x="4317"/>
        <item h="1" m="1" x="2784"/>
        <item h="1" m="1" x="1899"/>
        <item h="1" m="1" x="2571"/>
        <item h="1" m="1" x="1265"/>
        <item h="1" m="1" x="1325"/>
        <item h="1" m="1" x="597"/>
        <item h="1" m="1" x="4137"/>
        <item h="1" m="1" x="4593"/>
        <item h="1" m="1" x="2845"/>
        <item h="1" m="1" x="3424"/>
        <item h="1" m="1" x="1078"/>
        <item h="1" m="1" x="898"/>
        <item h="1" m="1" x="4193"/>
        <item h="1" m="1" x="4378"/>
        <item h="1" m="1" x="2919"/>
        <item h="1" m="1" x="3749"/>
        <item h="1" m="1" x="1153"/>
        <item h="1" m="1" x="3076"/>
        <item h="1" m="1" x="4485"/>
        <item h="1" m="1" x="673"/>
        <item h="1" m="1" x="4265"/>
        <item h="1" m="1" x="34"/>
        <item h="1" m="1" x="2971"/>
        <item h="1" m="1" x="4045"/>
        <item h="1" m="1" x="1215"/>
        <item h="1" m="1" x="2863"/>
        <item h="1" m="1" x="4542"/>
        <item h="1" m="1" x="2738"/>
        <item h="1" m="1" x="4449"/>
        <item h="1" m="1" x="3026"/>
        <item h="1" m="1" x="3808"/>
        <item h="1" m="1" x="1285"/>
        <item h="1" m="1" x="3168"/>
        <item h="1" m="1" x="4621"/>
        <item h="1" m="1" x="2551"/>
        <item h="1" m="1" x="2809"/>
        <item h="1" m="1" x="1397"/>
        <item h="1" m="1" x="1581"/>
        <item h="1" m="1" x="3473"/>
        <item h="1" m="1" x="46"/>
        <item h="1" m="1" x="1716"/>
        <item h="1" m="1" x="1649"/>
        <item h="1" m="1" x="1064"/>
        <item h="1" m="1" x="4453"/>
        <item h="1" m="1" x="1787"/>
        <item h="1" m="1" x="1774"/>
        <item h="1" m="1" x="1152"/>
        <item h="1" m="1" x="4569"/>
        <item h="1" m="1" x="483"/>
        <item h="1" m="1" x="3303"/>
        <item h="1" m="1" x="892"/>
        <item h="1" m="1" x="4646"/>
        <item h="1" m="1" x="4269"/>
        <item h="1" m="1" x="1601"/>
        <item h="1" m="1" x="3637"/>
        <item h="1" m="1" x="290"/>
        <item h="1" m="1" x="1226"/>
        <item h="1" m="1" x="71"/>
        <item h="1" m="1" x="557"/>
        <item h="1" m="1" x="3428"/>
        <item h="1" m="1" x="4552"/>
        <item h="1" m="1" x="1671"/>
        <item h="1" m="1" x="3379"/>
        <item h="1" m="1" x="354"/>
        <item h="1" m="1" x="2746"/>
        <item h="1" m="1" x="3197"/>
        <item h="1" m="1" x="318"/>
        <item h="1" m="1" x="3499"/>
        <item h="1" m="1" x="4345"/>
        <item h="1" m="1" x="1734"/>
        <item h="1" m="1" x="3711"/>
        <item h="1" m="1" x="425"/>
        <item h="1" m="1" x="3268"/>
        <item h="1" m="1" x="1929"/>
        <item h="1" m="1" x="4635"/>
        <item h="1" m="1" x="1795"/>
        <item h="1" m="1" x="3469"/>
        <item h="1" m="1" x="496"/>
        <item h="1" m="1" x="2825"/>
        <item h="1" m="1" x="3867"/>
        <item h="1" m="1" x="2214"/>
        <item h="1" m="1" x="2079"/>
        <item h="1" m="1" x="1598"/>
        <item h="1" m="1" x="799"/>
        <item h="1" m="1" x="3930"/>
        <item h="1" m="1" x="2518"/>
        <item h="1" m="1" x="2143"/>
        <item h="1" m="1" x="1361"/>
        <item h="1" m="1" x="865"/>
        <item h="1" m="1" x="707"/>
        <item h="1" m="1" x="3706"/>
        <item h="1" m="1" x="2910"/>
        <item h="1" m="1" x="4002"/>
        <item h="1" m="1" x="2294"/>
        <item h="1" m="1" x="2208"/>
        <item h="1" m="1" x="922"/>
        <item h="1" m="1" x="3770"/>
        <item h="1" m="1" x="4482"/>
        <item h="1" m="1" x="2505"/>
        <item h="1" m="1" x="1425"/>
        <item h="1" m="1" x="992"/>
        <item h="1" m="1" x="782"/>
        <item h="1" m="1" x="3823"/>
        <item h="1" x="2"/>
        <item h="1" m="1" x="141"/>
        <item h="1" m="1" x="4148"/>
        <item h="1" m="1" x="1747"/>
        <item h="1" m="1" x="1107"/>
        <item h="1" m="1" x="4541"/>
        <item h="1" m="1" x="3924"/>
        <item h="1" m="1" x="855"/>
        <item h="1" m="1" x="211"/>
        <item h="1" m="1" x="4217"/>
        <item h="1" m="1" x="2442"/>
        <item h="1" m="1" x="517"/>
        <item h="1" m="1" x="3996"/>
        <item h="1" m="1" x="2712"/>
        <item h="1" m="1" x="2107"/>
        <item h="1" m="1" x="4314"/>
        <item h="1" m="1" x="2512"/>
        <item h="1" m="1" x="1895"/>
        <item h="1" m="1" x="1260"/>
        <item h="1" m="1" x="3421"/>
        <item h="1" m="1" x="2791"/>
        <item h="1" m="1" x="2182"/>
        <item h="1" m="1" x="1558"/>
        <item h="1" m="1" x="352"/>
        <item h="1" m="1" x="3073"/>
        <item h="1" m="1" x="1966"/>
        <item h="1" m="1" x="1330"/>
        <item h="1" m="1" x="670"/>
        <item h="1" m="1" x="31"/>
        <item h="1" m="1" x="2254"/>
        <item h="1" m="1" x="433"/>
        <item h="1" m="1" x="4448"/>
        <item h="1" m="1" x="3806"/>
        <item h="1" m="1" x="743"/>
        <item h="1" m="1" x="100"/>
        <item h="1" m="1" x="2938"/>
        <item h="1" m="1" x="4508"/>
        <item h="1" m="1" x="3883"/>
        <item h="1" m="1" x="3241"/>
        <item h="1" m="1" x="2624"/>
        <item h="1" m="1" x="177"/>
        <item h="1" m="1" x="2995"/>
        <item h="1" m="1" x="2403"/>
        <item h="1" m="1" x="1785"/>
        <item h="1" m="1" x="3320"/>
        <item h="1" m="1" x="2685"/>
        <item h="1" m="1" x="888"/>
        <item h="1" m="1" x="2477"/>
        <item h="1" m="1" x="1853"/>
        <item h="1" m="1" x="1220"/>
        <item h="1" m="1" x="556"/>
        <item h="1" m="1" x="2743"/>
        <item h="1" m="1" x="2140"/>
        <item h="1" m="1" x="955"/>
        <item h="1" m="1" x="316"/>
        <item h="1" m="1" x="1928"/>
        <item h="1" m="1" x="1299"/>
        <item h="1" m="1" x="630"/>
        <item h="1" m="1" x="4108"/>
        <item h="1" m="1" x="923"/>
        <item h="1" m="1" x="2021"/>
        <item h="1" m="1" x="3621"/>
        <item h="1" m="1" x="583"/>
        <item h="1" m="1" x="1888"/>
        <item h="1" m="1" x="3458"/>
        <item h="1" m="1" x="424"/>
        <item h="1" m="1" x="3093"/>
        <item h="1" m="1" x="3300"/>
        <item h="1" m="1" x="4395"/>
        <item h="1" m="1" x="1381"/>
        <item h="1" m="1" x="2957"/>
        <item h="1" m="1" x="4566"/>
        <item h="1" m="1" x="1239"/>
        <item h="1" m="1" x="2804"/>
        <item h="1" m="1" x="3897"/>
        <item h="1" m="1" x="866"/>
        <item h="1" m="1" x="3591"/>
        <item h="1" m="1" x="20"/>
        <item h="1" m="1" x="1667"/>
        <item h="1" m="1" x="3238"/>
        <item h="1" m="1" x="4504"/>
        <item h="1" x="1"/>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27">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672">
      <pivotArea type="all" dataOnly="0" outline="0" fieldPosition="0"/>
    </format>
    <format dxfId="671">
      <pivotArea outline="0" collapsedLevelsAreSubtotals="1" fieldPosition="0"/>
    </format>
    <format dxfId="670">
      <pivotArea dataOnly="0" labelOnly="1" outline="0" axis="axisValues" fieldPosition="0"/>
    </format>
    <format dxfId="669">
      <pivotArea outline="0" collapsedLevelsAreSubtotals="1" fieldPosition="0">
        <references count="1">
          <reference field="4294967294" count="1" selected="0">
            <x v="2"/>
          </reference>
        </references>
      </pivotArea>
    </format>
    <format dxfId="668">
      <pivotArea dataOnly="0" labelOnly="1" outline="0" fieldPosition="0">
        <references count="1">
          <reference field="4294967294" count="1">
            <x v="2"/>
          </reference>
        </references>
      </pivotArea>
    </format>
    <format dxfId="667">
      <pivotArea outline="0" fieldPosition="0">
        <references count="1">
          <reference field="4294967294" count="1">
            <x v="3"/>
          </reference>
        </references>
      </pivotArea>
    </format>
    <format dxfId="666">
      <pivotArea outline="0" collapsedLevelsAreSubtotals="1" fieldPosition="0">
        <references count="1">
          <reference field="4294967294" count="2" selected="0">
            <x v="3"/>
            <x v="4"/>
          </reference>
        </references>
      </pivotArea>
    </format>
    <format dxfId="665">
      <pivotArea dataOnly="0" labelOnly="1" outline="0" fieldPosition="0">
        <references count="1">
          <reference field="4294967294" count="2">
            <x v="3"/>
            <x v="4"/>
          </reference>
        </references>
      </pivotArea>
    </format>
    <format dxfId="664">
      <pivotArea field="0" type="button" dataOnly="0" labelOnly="1" outline="0" axis="axisRow" fieldPosition="0"/>
    </format>
    <format dxfId="663">
      <pivotArea dataOnly="0" labelOnly="1" outline="0" fieldPosition="0">
        <references count="1">
          <reference field="4294967294" count="5">
            <x v="0"/>
            <x v="1"/>
            <x v="2"/>
            <x v="3"/>
            <x v="4"/>
          </reference>
        </references>
      </pivotArea>
    </format>
    <format dxfId="662">
      <pivotArea field="0" type="button" dataOnly="0" labelOnly="1" outline="0" axis="axisRow" fieldPosition="0"/>
    </format>
    <format dxfId="661">
      <pivotArea dataOnly="0" labelOnly="1" outline="0" fieldPosition="0">
        <references count="1">
          <reference field="4294967294" count="5">
            <x v="0"/>
            <x v="1"/>
            <x v="2"/>
            <x v="3"/>
            <x v="4"/>
          </reference>
        </references>
      </pivotArea>
    </format>
    <format dxfId="660">
      <pivotArea dataOnly="0" labelOnly="1" outline="0" fieldPosition="0">
        <references count="1">
          <reference field="21" count="0"/>
        </references>
      </pivotArea>
    </format>
    <format dxfId="659">
      <pivotArea field="21" type="button" dataOnly="0" labelOnly="1" outline="0" axis="axisPage" fieldPosition="0"/>
    </format>
    <format dxfId="658">
      <pivotArea collapsedLevelsAreSubtotals="1" fieldPosition="0">
        <references count="3">
          <reference field="0" count="1" selected="0">
            <x v="74"/>
          </reference>
          <reference field="1" count="1" selected="0">
            <x v="83"/>
          </reference>
          <reference field="3" count="1">
            <x v="90"/>
          </reference>
        </references>
      </pivotArea>
    </format>
    <format dxfId="657">
      <pivotArea collapsedLevelsAreSubtotals="1" fieldPosition="0">
        <references count="1">
          <reference field="0" count="1">
            <x v="100"/>
          </reference>
        </references>
      </pivotArea>
    </format>
    <format dxfId="656">
      <pivotArea collapsedLevelsAreSubtotals="1" fieldPosition="0">
        <references count="2">
          <reference field="0" count="1" selected="0">
            <x v="100"/>
          </reference>
          <reference field="1" count="1">
            <x v="56"/>
          </reference>
        </references>
      </pivotArea>
    </format>
    <format dxfId="655">
      <pivotArea collapsedLevelsAreSubtotals="1" fieldPosition="0">
        <references count="3">
          <reference field="0" count="1" selected="0">
            <x v="100"/>
          </reference>
          <reference field="1" count="1" selected="0">
            <x v="56"/>
          </reference>
          <reference field="3" count="1">
            <x v="199"/>
          </reference>
        </references>
      </pivotArea>
    </format>
    <format dxfId="654">
      <pivotArea collapsedLevelsAreSubtotals="1" fieldPosition="0">
        <references count="1">
          <reference field="0" count="1">
            <x v="119"/>
          </reference>
        </references>
      </pivotArea>
    </format>
    <format dxfId="653">
      <pivotArea collapsedLevelsAreSubtotals="1" fieldPosition="0">
        <references count="2">
          <reference field="0" count="1" selected="0">
            <x v="119"/>
          </reference>
          <reference field="1" count="1">
            <x v="141"/>
          </reference>
        </references>
      </pivotArea>
    </format>
    <format dxfId="652">
      <pivotArea collapsedLevelsAreSubtotals="1" fieldPosition="0">
        <references count="3">
          <reference field="0" count="1" selected="0">
            <x v="119"/>
          </reference>
          <reference field="1" count="1" selected="0">
            <x v="141"/>
          </reference>
          <reference field="3" count="1">
            <x v="58"/>
          </reference>
        </references>
      </pivotArea>
    </format>
    <format dxfId="651">
      <pivotArea collapsedLevelsAreSubtotals="1" fieldPosition="0">
        <references count="1">
          <reference field="0" count="1">
            <x v="128"/>
          </reference>
        </references>
      </pivotArea>
    </format>
    <format dxfId="650">
      <pivotArea collapsedLevelsAreSubtotals="1" fieldPosition="0">
        <references count="2">
          <reference field="0" count="1" selected="0">
            <x v="128"/>
          </reference>
          <reference field="1" count="1">
            <x v="38"/>
          </reference>
        </references>
      </pivotArea>
    </format>
    <format dxfId="649">
      <pivotArea collapsedLevelsAreSubtotals="1" fieldPosition="0">
        <references count="3">
          <reference field="0" count="1" selected="0">
            <x v="128"/>
          </reference>
          <reference field="1" count="1" selected="0">
            <x v="38"/>
          </reference>
          <reference field="3" count="1">
            <x v="75"/>
          </reference>
        </references>
      </pivotArea>
    </format>
    <format dxfId="648">
      <pivotArea collapsedLevelsAreSubtotals="1" fieldPosition="0">
        <references count="1">
          <reference field="0" count="1">
            <x v="134"/>
          </reference>
        </references>
      </pivotArea>
    </format>
    <format dxfId="647">
      <pivotArea collapsedLevelsAreSubtotals="1" fieldPosition="0">
        <references count="2">
          <reference field="0" count="1" selected="0">
            <x v="134"/>
          </reference>
          <reference field="1" count="1">
            <x v="87"/>
          </reference>
        </references>
      </pivotArea>
    </format>
    <format dxfId="646">
      <pivotArea collapsedLevelsAreSubtotals="1" fieldPosition="0">
        <references count="3">
          <reference field="0" count="1" selected="0">
            <x v="134"/>
          </reference>
          <reference field="1" count="1" selected="0">
            <x v="87"/>
          </reference>
          <reference field="3" count="1">
            <x v="57"/>
          </reference>
        </references>
      </pivotArea>
    </format>
    <format dxfId="645">
      <pivotArea collapsedLevelsAreSubtotals="1" fieldPosition="0">
        <references count="1">
          <reference field="0" count="1">
            <x v="135"/>
          </reference>
        </references>
      </pivotArea>
    </format>
    <format dxfId="644">
      <pivotArea collapsedLevelsAreSubtotals="1" fieldPosition="0">
        <references count="2">
          <reference field="0" count="1" selected="0">
            <x v="135"/>
          </reference>
          <reference field="1" count="1">
            <x v="63"/>
          </reference>
        </references>
      </pivotArea>
    </format>
    <format dxfId="643">
      <pivotArea collapsedLevelsAreSubtotals="1" fieldPosition="0">
        <references count="3">
          <reference field="0" count="1" selected="0">
            <x v="135"/>
          </reference>
          <reference field="1" count="1" selected="0">
            <x v="63"/>
          </reference>
          <reference field="3" count="1">
            <x v="116"/>
          </reference>
        </references>
      </pivotArea>
    </format>
    <format dxfId="642">
      <pivotArea collapsedLevelsAreSubtotals="1" fieldPosition="0">
        <references count="1">
          <reference field="0" count="1">
            <x v="138"/>
          </reference>
        </references>
      </pivotArea>
    </format>
    <format dxfId="641">
      <pivotArea collapsedLevelsAreSubtotals="1" fieldPosition="0">
        <references count="2">
          <reference field="0" count="1" selected="0">
            <x v="138"/>
          </reference>
          <reference field="1" count="1">
            <x v="69"/>
          </reference>
        </references>
      </pivotArea>
    </format>
    <format dxfId="640">
      <pivotArea collapsedLevelsAreSubtotals="1" fieldPosition="0">
        <references count="3">
          <reference field="0" count="1" selected="0">
            <x v="138"/>
          </reference>
          <reference field="1" count="1" selected="0">
            <x v="69"/>
          </reference>
          <reference field="3" count="1">
            <x v="198"/>
          </reference>
        </references>
      </pivotArea>
    </format>
    <format dxfId="639">
      <pivotArea collapsedLevelsAreSubtotals="1" fieldPosition="0">
        <references count="1">
          <reference field="0" count="1">
            <x v="142"/>
          </reference>
        </references>
      </pivotArea>
    </format>
    <format dxfId="638">
      <pivotArea collapsedLevelsAreSubtotals="1" fieldPosition="0">
        <references count="2">
          <reference field="0" count="1" selected="0">
            <x v="142"/>
          </reference>
          <reference field="1" count="1">
            <x v="164"/>
          </reference>
        </references>
      </pivotArea>
    </format>
    <format dxfId="637">
      <pivotArea collapsedLevelsAreSubtotals="1" fieldPosition="0">
        <references count="3">
          <reference field="0" count="1" selected="0">
            <x v="142"/>
          </reference>
          <reference field="1" count="1" selected="0">
            <x v="164"/>
          </reference>
          <reference field="3" count="1">
            <x v="126"/>
          </reference>
        </references>
      </pivotArea>
    </format>
    <format dxfId="636">
      <pivotArea collapsedLevelsAreSubtotals="1" fieldPosition="0">
        <references count="1">
          <reference field="0" count="1">
            <x v="143"/>
          </reference>
        </references>
      </pivotArea>
    </format>
    <format dxfId="635">
      <pivotArea collapsedLevelsAreSubtotals="1" fieldPosition="0">
        <references count="2">
          <reference field="0" count="1" selected="0">
            <x v="143"/>
          </reference>
          <reference field="1" count="1">
            <x v="145"/>
          </reference>
        </references>
      </pivotArea>
    </format>
    <format dxfId="634">
      <pivotArea collapsedLevelsAreSubtotals="1" fieldPosition="0">
        <references count="3">
          <reference field="0" count="1" selected="0">
            <x v="143"/>
          </reference>
          <reference field="1" count="1" selected="0">
            <x v="145"/>
          </reference>
          <reference field="3" count="1">
            <x v="183"/>
          </reference>
        </references>
      </pivotArea>
    </format>
    <format dxfId="633">
      <pivotArea collapsedLevelsAreSubtotals="1" fieldPosition="0">
        <references count="1">
          <reference field="0" count="1">
            <x v="144"/>
          </reference>
        </references>
      </pivotArea>
    </format>
    <format dxfId="632">
      <pivotArea collapsedLevelsAreSubtotals="1" fieldPosition="0">
        <references count="2">
          <reference field="0" count="1" selected="0">
            <x v="144"/>
          </reference>
          <reference field="1" count="1">
            <x v="82"/>
          </reference>
        </references>
      </pivotArea>
    </format>
    <format dxfId="631">
      <pivotArea collapsedLevelsAreSubtotals="1" fieldPosition="0">
        <references count="3">
          <reference field="0" count="1" selected="0">
            <x v="144"/>
          </reference>
          <reference field="1" count="1" selected="0">
            <x v="82"/>
          </reference>
          <reference field="3" count="1">
            <x v="36"/>
          </reference>
        </references>
      </pivotArea>
    </format>
    <format dxfId="630">
      <pivotArea collapsedLevelsAreSubtotals="1" fieldPosition="0">
        <references count="1">
          <reference field="0" count="1">
            <x v="147"/>
          </reference>
        </references>
      </pivotArea>
    </format>
    <format dxfId="629">
      <pivotArea collapsedLevelsAreSubtotals="1" fieldPosition="0">
        <references count="2">
          <reference field="0" count="1" selected="0">
            <x v="147"/>
          </reference>
          <reference field="1" count="1">
            <x v="134"/>
          </reference>
        </references>
      </pivotArea>
    </format>
    <format dxfId="628">
      <pivotArea collapsedLevelsAreSubtotals="1" fieldPosition="0">
        <references count="3">
          <reference field="0" count="1" selected="0">
            <x v="147"/>
          </reference>
          <reference field="1" count="1" selected="0">
            <x v="134"/>
          </reference>
          <reference field="3" count="1">
            <x v="178"/>
          </reference>
        </references>
      </pivotArea>
    </format>
    <format dxfId="627">
      <pivotArea collapsedLevelsAreSubtotals="1" fieldPosition="0">
        <references count="1">
          <reference field="0" count="1">
            <x v="149"/>
          </reference>
        </references>
      </pivotArea>
    </format>
    <format dxfId="626">
      <pivotArea collapsedLevelsAreSubtotals="1" fieldPosition="0">
        <references count="2">
          <reference field="0" count="1" selected="0">
            <x v="149"/>
          </reference>
          <reference field="1" count="1">
            <x v="130"/>
          </reference>
        </references>
      </pivotArea>
    </format>
    <format dxfId="625">
      <pivotArea collapsedLevelsAreSubtotals="1" fieldPosition="0">
        <references count="3">
          <reference field="0" count="1" selected="0">
            <x v="149"/>
          </reference>
          <reference field="1" count="1" selected="0">
            <x v="130"/>
          </reference>
          <reference field="3" count="1">
            <x v="96"/>
          </reference>
        </references>
      </pivotArea>
    </format>
    <format dxfId="624">
      <pivotArea collapsedLevelsAreSubtotals="1" fieldPosition="0">
        <references count="1">
          <reference field="0" count="1">
            <x v="158"/>
          </reference>
        </references>
      </pivotArea>
    </format>
    <format dxfId="623">
      <pivotArea collapsedLevelsAreSubtotals="1" fieldPosition="0">
        <references count="2">
          <reference field="0" count="1" selected="0">
            <x v="158"/>
          </reference>
          <reference field="1" count="1">
            <x v="166"/>
          </reference>
        </references>
      </pivotArea>
    </format>
    <format dxfId="622">
      <pivotArea collapsedLevelsAreSubtotals="1" fieldPosition="0">
        <references count="3">
          <reference field="0" count="1" selected="0">
            <x v="158"/>
          </reference>
          <reference field="1" count="1" selected="0">
            <x v="166"/>
          </reference>
          <reference field="3" count="1">
            <x v="53"/>
          </reference>
        </references>
      </pivotArea>
    </format>
    <format dxfId="621">
      <pivotArea collapsedLevelsAreSubtotals="1" fieldPosition="0">
        <references count="1">
          <reference field="0" count="1">
            <x v="161"/>
          </reference>
        </references>
      </pivotArea>
    </format>
    <format dxfId="620">
      <pivotArea collapsedLevelsAreSubtotals="1" fieldPosition="0">
        <references count="2">
          <reference field="0" count="1" selected="0">
            <x v="161"/>
          </reference>
          <reference field="1" count="1">
            <x v="48"/>
          </reference>
        </references>
      </pivotArea>
    </format>
    <format dxfId="619">
      <pivotArea collapsedLevelsAreSubtotals="1" fieldPosition="0">
        <references count="3">
          <reference field="0" count="1" selected="0">
            <x v="161"/>
          </reference>
          <reference field="1" count="1" selected="0">
            <x v="48"/>
          </reference>
          <reference field="3" count="1">
            <x v="97"/>
          </reference>
        </references>
      </pivotArea>
    </format>
    <format dxfId="618">
      <pivotArea collapsedLevelsAreSubtotals="1" fieldPosition="0">
        <references count="1">
          <reference field="0" count="1">
            <x v="167"/>
          </reference>
        </references>
      </pivotArea>
    </format>
    <format dxfId="617">
      <pivotArea collapsedLevelsAreSubtotals="1" fieldPosition="0">
        <references count="2">
          <reference field="0" count="1" selected="0">
            <x v="167"/>
          </reference>
          <reference field="1" count="1">
            <x v="132"/>
          </reference>
        </references>
      </pivotArea>
    </format>
    <format dxfId="616">
      <pivotArea collapsedLevelsAreSubtotals="1" fieldPosition="0">
        <references count="3">
          <reference field="0" count="1" selected="0">
            <x v="167"/>
          </reference>
          <reference field="1" count="1" selected="0">
            <x v="132"/>
          </reference>
          <reference field="3" count="1">
            <x v="188"/>
          </reference>
        </references>
      </pivotArea>
    </format>
    <format dxfId="615">
      <pivotArea collapsedLevelsAreSubtotals="1" fieldPosition="0">
        <references count="1">
          <reference field="0" count="1">
            <x v="168"/>
          </reference>
        </references>
      </pivotArea>
    </format>
    <format dxfId="614">
      <pivotArea collapsedLevelsAreSubtotals="1" fieldPosition="0">
        <references count="2">
          <reference field="0" count="1" selected="0">
            <x v="168"/>
          </reference>
          <reference field="1" count="1">
            <x v="102"/>
          </reference>
        </references>
      </pivotArea>
    </format>
    <format dxfId="613">
      <pivotArea collapsedLevelsAreSubtotals="1" fieldPosition="0">
        <references count="3">
          <reference field="0" count="1" selected="0">
            <x v="168"/>
          </reference>
          <reference field="1" count="1" selected="0">
            <x v="102"/>
          </reference>
          <reference field="3" count="1">
            <x v="151"/>
          </reference>
        </references>
      </pivotArea>
    </format>
    <format dxfId="612">
      <pivotArea collapsedLevelsAreSubtotals="1" fieldPosition="0">
        <references count="1">
          <reference field="0" count="1">
            <x v="169"/>
          </reference>
        </references>
      </pivotArea>
    </format>
    <format dxfId="611">
      <pivotArea collapsedLevelsAreSubtotals="1" fieldPosition="0">
        <references count="2">
          <reference field="0" count="1" selected="0">
            <x v="169"/>
          </reference>
          <reference field="1" count="1">
            <x v="21"/>
          </reference>
        </references>
      </pivotArea>
    </format>
    <format dxfId="610">
      <pivotArea collapsedLevelsAreSubtotals="1" fieldPosition="0">
        <references count="3">
          <reference field="0" count="1" selected="0">
            <x v="169"/>
          </reference>
          <reference field="1" count="1" selected="0">
            <x v="21"/>
          </reference>
          <reference field="3" count="1">
            <x v="192"/>
          </reference>
        </references>
      </pivotArea>
    </format>
    <format dxfId="609">
      <pivotArea collapsedLevelsAreSubtotals="1" fieldPosition="0">
        <references count="1">
          <reference field="0" count="1">
            <x v="171"/>
          </reference>
        </references>
      </pivotArea>
    </format>
    <format dxfId="608">
      <pivotArea collapsedLevelsAreSubtotals="1" fieldPosition="0">
        <references count="2">
          <reference field="0" count="1" selected="0">
            <x v="171"/>
          </reference>
          <reference field="1" count="1">
            <x v="136"/>
          </reference>
        </references>
      </pivotArea>
    </format>
    <format dxfId="607">
      <pivotArea collapsedLevelsAreSubtotals="1" fieldPosition="0">
        <references count="3">
          <reference field="0" count="1" selected="0">
            <x v="171"/>
          </reference>
          <reference field="1" count="1" selected="0">
            <x v="136"/>
          </reference>
          <reference field="3" count="1">
            <x v="129"/>
          </reference>
        </references>
      </pivotArea>
    </format>
    <format dxfId="606">
      <pivotArea collapsedLevelsAreSubtotals="1" fieldPosition="0">
        <references count="1">
          <reference field="0" count="1">
            <x v="172"/>
          </reference>
        </references>
      </pivotArea>
    </format>
    <format dxfId="605">
      <pivotArea collapsedLevelsAreSubtotals="1" fieldPosition="0">
        <references count="2">
          <reference field="0" count="1" selected="0">
            <x v="172"/>
          </reference>
          <reference field="1" count="1">
            <x v="170"/>
          </reference>
        </references>
      </pivotArea>
    </format>
    <format dxfId="604">
      <pivotArea collapsedLevelsAreSubtotals="1" fieldPosition="0">
        <references count="3">
          <reference field="0" count="1" selected="0">
            <x v="172"/>
          </reference>
          <reference field="1" count="1" selected="0">
            <x v="170"/>
          </reference>
          <reference field="3" count="1">
            <x v="153"/>
          </reference>
        </references>
      </pivotArea>
    </format>
    <format dxfId="603">
      <pivotArea collapsedLevelsAreSubtotals="1" fieldPosition="0">
        <references count="1">
          <reference field="0" count="1">
            <x v="173"/>
          </reference>
        </references>
      </pivotArea>
    </format>
    <format dxfId="602">
      <pivotArea collapsedLevelsAreSubtotals="1" fieldPosition="0">
        <references count="2">
          <reference field="0" count="1" selected="0">
            <x v="173"/>
          </reference>
          <reference field="1" count="1">
            <x v="54"/>
          </reference>
        </references>
      </pivotArea>
    </format>
    <format dxfId="601">
      <pivotArea collapsedLevelsAreSubtotals="1" fieldPosition="0">
        <references count="3">
          <reference field="0" count="1" selected="0">
            <x v="173"/>
          </reference>
          <reference field="1" count="1" selected="0">
            <x v="54"/>
          </reference>
          <reference field="3" count="1">
            <x v="145"/>
          </reference>
        </references>
      </pivotArea>
    </format>
    <format dxfId="600">
      <pivotArea collapsedLevelsAreSubtotals="1" fieldPosition="0">
        <references count="1">
          <reference field="0" count="1">
            <x v="174"/>
          </reference>
        </references>
      </pivotArea>
    </format>
    <format dxfId="599">
      <pivotArea collapsedLevelsAreSubtotals="1" fieldPosition="0">
        <references count="2">
          <reference field="0" count="1" selected="0">
            <x v="174"/>
          </reference>
          <reference field="1" count="1">
            <x v="64"/>
          </reference>
        </references>
      </pivotArea>
    </format>
    <format dxfId="598">
      <pivotArea collapsedLevelsAreSubtotals="1" fieldPosition="0">
        <references count="3">
          <reference field="0" count="1" selected="0">
            <x v="174"/>
          </reference>
          <reference field="1" count="1" selected="0">
            <x v="64"/>
          </reference>
          <reference field="3" count="1">
            <x v="141"/>
          </reference>
        </references>
      </pivotArea>
    </format>
    <format dxfId="597">
      <pivotArea collapsedLevelsAreSubtotals="1" fieldPosition="0">
        <references count="1">
          <reference field="0" count="1">
            <x v="175"/>
          </reference>
        </references>
      </pivotArea>
    </format>
    <format dxfId="596">
      <pivotArea collapsedLevelsAreSubtotals="1" fieldPosition="0">
        <references count="2">
          <reference field="0" count="1" selected="0">
            <x v="175"/>
          </reference>
          <reference field="1" count="1">
            <x v="91"/>
          </reference>
        </references>
      </pivotArea>
    </format>
    <format dxfId="595">
      <pivotArea collapsedLevelsAreSubtotals="1" fieldPosition="0">
        <references count="3">
          <reference field="0" count="1" selected="0">
            <x v="175"/>
          </reference>
          <reference field="1" count="1" selected="0">
            <x v="91"/>
          </reference>
          <reference field="3" count="1">
            <x v="141"/>
          </reference>
        </references>
      </pivotArea>
    </format>
    <format dxfId="594">
      <pivotArea collapsedLevelsAreSubtotals="1" fieldPosition="0">
        <references count="1">
          <reference field="0" count="1">
            <x v="176"/>
          </reference>
        </references>
      </pivotArea>
    </format>
    <format dxfId="593">
      <pivotArea collapsedLevelsAreSubtotals="1" fieldPosition="0">
        <references count="2">
          <reference field="0" count="1" selected="0">
            <x v="176"/>
          </reference>
          <reference field="1" count="1">
            <x v="169"/>
          </reference>
        </references>
      </pivotArea>
    </format>
    <format dxfId="592">
      <pivotArea collapsedLevelsAreSubtotals="1" fieldPosition="0">
        <references count="3">
          <reference field="0" count="1" selected="0">
            <x v="176"/>
          </reference>
          <reference field="1" count="1" selected="0">
            <x v="169"/>
          </reference>
          <reference field="3" count="1">
            <x v="141"/>
          </reference>
        </references>
      </pivotArea>
    </format>
    <format dxfId="591">
      <pivotArea collapsedLevelsAreSubtotals="1" fieldPosition="0">
        <references count="1">
          <reference field="0" count="1">
            <x v="177"/>
          </reference>
        </references>
      </pivotArea>
    </format>
    <format dxfId="590">
      <pivotArea collapsedLevelsAreSubtotals="1" fieldPosition="0">
        <references count="2">
          <reference field="0" count="1" selected="0">
            <x v="177"/>
          </reference>
          <reference field="1" count="1">
            <x v="120"/>
          </reference>
        </references>
      </pivotArea>
    </format>
    <format dxfId="589">
      <pivotArea collapsedLevelsAreSubtotals="1" fieldPosition="0">
        <references count="3">
          <reference field="0" count="1" selected="0">
            <x v="177"/>
          </reference>
          <reference field="1" count="1" selected="0">
            <x v="120"/>
          </reference>
          <reference field="3" count="1">
            <x v="149"/>
          </reference>
        </references>
      </pivotArea>
    </format>
    <format dxfId="588">
      <pivotArea collapsedLevelsAreSubtotals="1" fieldPosition="0">
        <references count="1">
          <reference field="0" count="1">
            <x v="178"/>
          </reference>
        </references>
      </pivotArea>
    </format>
    <format dxfId="587">
      <pivotArea collapsedLevelsAreSubtotals="1" fieldPosition="0">
        <references count="2">
          <reference field="0" count="1" selected="0">
            <x v="178"/>
          </reference>
          <reference field="1" count="1">
            <x v="8"/>
          </reference>
        </references>
      </pivotArea>
    </format>
    <format dxfId="586">
      <pivotArea collapsedLevelsAreSubtotals="1" fieldPosition="0">
        <references count="3">
          <reference field="0" count="1" selected="0">
            <x v="178"/>
          </reference>
          <reference field="1" count="1" selected="0">
            <x v="8"/>
          </reference>
          <reference field="3" count="1">
            <x v="141"/>
          </reference>
        </references>
      </pivotArea>
    </format>
    <format dxfId="585">
      <pivotArea collapsedLevelsAreSubtotals="1" fieldPosition="0">
        <references count="1">
          <reference field="0" count="1">
            <x v="179"/>
          </reference>
        </references>
      </pivotArea>
    </format>
    <format dxfId="584">
      <pivotArea collapsedLevelsAreSubtotals="1" fieldPosition="0">
        <references count="2">
          <reference field="0" count="1" selected="0">
            <x v="179"/>
          </reference>
          <reference field="1" count="1">
            <x v="94"/>
          </reference>
        </references>
      </pivotArea>
    </format>
    <format dxfId="583">
      <pivotArea collapsedLevelsAreSubtotals="1" fieldPosition="0">
        <references count="3">
          <reference field="0" count="1" selected="0">
            <x v="179"/>
          </reference>
          <reference field="1" count="1" selected="0">
            <x v="94"/>
          </reference>
          <reference field="3" count="1">
            <x v="141"/>
          </reference>
        </references>
      </pivotArea>
    </format>
    <format dxfId="582">
      <pivotArea collapsedLevelsAreSubtotals="1" fieldPosition="0">
        <references count="1">
          <reference field="0" count="1">
            <x v="180"/>
          </reference>
        </references>
      </pivotArea>
    </format>
    <format dxfId="581">
      <pivotArea collapsedLevelsAreSubtotals="1" fieldPosition="0">
        <references count="2">
          <reference field="0" count="1" selected="0">
            <x v="180"/>
          </reference>
          <reference field="1" count="1">
            <x v="111"/>
          </reference>
        </references>
      </pivotArea>
    </format>
    <format dxfId="580">
      <pivotArea collapsedLevelsAreSubtotals="1" fieldPosition="0">
        <references count="3">
          <reference field="0" count="1" selected="0">
            <x v="180"/>
          </reference>
          <reference field="1" count="1" selected="0">
            <x v="111"/>
          </reference>
          <reference field="3" count="1">
            <x v="114"/>
          </reference>
        </references>
      </pivotArea>
    </format>
    <format dxfId="579">
      <pivotArea collapsedLevelsAreSubtotals="1" fieldPosition="0">
        <references count="1">
          <reference field="0" count="1">
            <x v="181"/>
          </reference>
        </references>
      </pivotArea>
    </format>
    <format dxfId="578">
      <pivotArea collapsedLevelsAreSubtotals="1" fieldPosition="0">
        <references count="2">
          <reference field="0" count="1" selected="0">
            <x v="181"/>
          </reference>
          <reference field="1" count="1">
            <x v="53"/>
          </reference>
        </references>
      </pivotArea>
    </format>
    <format dxfId="577">
      <pivotArea collapsedLevelsAreSubtotals="1" fieldPosition="0">
        <references count="3">
          <reference field="0" count="1" selected="0">
            <x v="181"/>
          </reference>
          <reference field="1" count="1" selected="0">
            <x v="53"/>
          </reference>
          <reference field="3" count="1">
            <x v="140"/>
          </reference>
        </references>
      </pivotArea>
    </format>
    <format dxfId="576">
      <pivotArea collapsedLevelsAreSubtotals="1" fieldPosition="0">
        <references count="1">
          <reference field="0" count="1">
            <x v="182"/>
          </reference>
        </references>
      </pivotArea>
    </format>
    <format dxfId="575">
      <pivotArea collapsedLevelsAreSubtotals="1" fieldPosition="0">
        <references count="2">
          <reference field="0" count="1" selected="0">
            <x v="182"/>
          </reference>
          <reference field="1" count="1">
            <x v="55"/>
          </reference>
        </references>
      </pivotArea>
    </format>
    <format dxfId="574">
      <pivotArea collapsedLevelsAreSubtotals="1" fieldPosition="0">
        <references count="3">
          <reference field="0" count="1" selected="0">
            <x v="182"/>
          </reference>
          <reference field="1" count="1" selected="0">
            <x v="55"/>
          </reference>
          <reference field="3" count="1">
            <x v="147"/>
          </reference>
        </references>
      </pivotArea>
    </format>
    <format dxfId="573">
      <pivotArea collapsedLevelsAreSubtotals="1" fieldPosition="0">
        <references count="1">
          <reference field="0" count="1">
            <x v="183"/>
          </reference>
        </references>
      </pivotArea>
    </format>
    <format dxfId="572">
      <pivotArea collapsedLevelsAreSubtotals="1" fieldPosition="0">
        <references count="2">
          <reference field="0" count="1" selected="0">
            <x v="183"/>
          </reference>
          <reference field="1" count="1">
            <x v="93"/>
          </reference>
        </references>
      </pivotArea>
    </format>
    <format dxfId="571">
      <pivotArea collapsedLevelsAreSubtotals="1" fieldPosition="0">
        <references count="3">
          <reference field="0" count="1" selected="0">
            <x v="183"/>
          </reference>
          <reference field="1" count="1" selected="0">
            <x v="93"/>
          </reference>
          <reference field="3" count="1">
            <x v="139"/>
          </reference>
        </references>
      </pivotArea>
    </format>
    <format dxfId="570">
      <pivotArea collapsedLevelsAreSubtotals="1" fieldPosition="0">
        <references count="1">
          <reference field="0" count="1">
            <x v="184"/>
          </reference>
        </references>
      </pivotArea>
    </format>
    <format dxfId="569">
      <pivotArea collapsedLevelsAreSubtotals="1" fieldPosition="0">
        <references count="2">
          <reference field="0" count="1" selected="0">
            <x v="184"/>
          </reference>
          <reference field="1" count="1">
            <x v="60"/>
          </reference>
        </references>
      </pivotArea>
    </format>
    <format dxfId="568">
      <pivotArea collapsedLevelsAreSubtotals="1" fieldPosition="0">
        <references count="3">
          <reference field="0" count="1" selected="0">
            <x v="184"/>
          </reference>
          <reference field="1" count="1" selected="0">
            <x v="60"/>
          </reference>
          <reference field="3" count="1">
            <x v="146"/>
          </reference>
        </references>
      </pivotArea>
    </format>
    <format dxfId="567">
      <pivotArea collapsedLevelsAreSubtotals="1" fieldPosition="0">
        <references count="1">
          <reference field="0" count="1">
            <x v="188"/>
          </reference>
        </references>
      </pivotArea>
    </format>
    <format dxfId="566">
      <pivotArea collapsedLevelsAreSubtotals="1" fieldPosition="0">
        <references count="2">
          <reference field="0" count="1" selected="0">
            <x v="188"/>
          </reference>
          <reference field="1" count="1">
            <x v="113"/>
          </reference>
        </references>
      </pivotArea>
    </format>
    <format dxfId="565">
      <pivotArea collapsedLevelsAreSubtotals="1" fieldPosition="0">
        <references count="3">
          <reference field="0" count="1" selected="0">
            <x v="188"/>
          </reference>
          <reference field="1" count="1" selected="0">
            <x v="113"/>
          </reference>
          <reference field="3" count="1">
            <x v="136"/>
          </reference>
        </references>
      </pivotArea>
    </format>
    <format dxfId="564">
      <pivotArea collapsedLevelsAreSubtotals="1" fieldPosition="0">
        <references count="1">
          <reference field="0" count="1">
            <x v="189"/>
          </reference>
        </references>
      </pivotArea>
    </format>
    <format dxfId="563">
      <pivotArea collapsedLevelsAreSubtotals="1" fieldPosition="0">
        <references count="2">
          <reference field="0" count="1" selected="0">
            <x v="189"/>
          </reference>
          <reference field="1" count="1">
            <x v="4"/>
          </reference>
        </references>
      </pivotArea>
    </format>
    <format dxfId="562">
      <pivotArea collapsedLevelsAreSubtotals="1" fieldPosition="0">
        <references count="3">
          <reference field="0" count="1" selected="0">
            <x v="189"/>
          </reference>
          <reference field="1" count="1" selected="0">
            <x v="4"/>
          </reference>
          <reference field="3" count="1">
            <x v="110"/>
          </reference>
        </references>
      </pivotArea>
    </format>
    <format dxfId="561">
      <pivotArea collapsedLevelsAreSubtotals="1" fieldPosition="0">
        <references count="1">
          <reference field="0" count="1">
            <x v="190"/>
          </reference>
        </references>
      </pivotArea>
    </format>
    <format dxfId="560">
      <pivotArea collapsedLevelsAreSubtotals="1" fieldPosition="0">
        <references count="2">
          <reference field="0" count="1" selected="0">
            <x v="190"/>
          </reference>
          <reference field="1" count="1">
            <x v="49"/>
          </reference>
        </references>
      </pivotArea>
    </format>
    <format dxfId="559">
      <pivotArea collapsedLevelsAreSubtotals="1" fieldPosition="0">
        <references count="3">
          <reference field="0" count="1" selected="0">
            <x v="190"/>
          </reference>
          <reference field="1" count="1" selected="0">
            <x v="49"/>
          </reference>
          <reference field="3" count="1">
            <x v="72"/>
          </reference>
        </references>
      </pivotArea>
    </format>
    <format dxfId="558">
      <pivotArea collapsedLevelsAreSubtotals="1" fieldPosition="0">
        <references count="1">
          <reference field="0" count="1">
            <x v="191"/>
          </reference>
        </references>
      </pivotArea>
    </format>
    <format dxfId="557">
      <pivotArea collapsedLevelsAreSubtotals="1" fieldPosition="0">
        <references count="2">
          <reference field="0" count="1" selected="0">
            <x v="191"/>
          </reference>
          <reference field="1" count="1">
            <x v="154"/>
          </reference>
        </references>
      </pivotArea>
    </format>
    <format dxfId="556">
      <pivotArea collapsedLevelsAreSubtotals="1" fieldPosition="0">
        <references count="3">
          <reference field="0" count="1" selected="0">
            <x v="191"/>
          </reference>
          <reference field="1" count="1" selected="0">
            <x v="154"/>
          </reference>
          <reference field="3" count="1">
            <x v="115"/>
          </reference>
        </references>
      </pivotArea>
    </format>
    <format dxfId="555">
      <pivotArea collapsedLevelsAreSubtotals="1" fieldPosition="0">
        <references count="1">
          <reference field="0" count="1">
            <x v="192"/>
          </reference>
        </references>
      </pivotArea>
    </format>
    <format dxfId="554">
      <pivotArea collapsedLevelsAreSubtotals="1" fieldPosition="0">
        <references count="2">
          <reference field="0" count="1" selected="0">
            <x v="192"/>
          </reference>
          <reference field="1" count="1">
            <x v="112"/>
          </reference>
        </references>
      </pivotArea>
    </format>
    <format dxfId="553">
      <pivotArea collapsedLevelsAreSubtotals="1" fieldPosition="0">
        <references count="3">
          <reference field="0" count="1" selected="0">
            <x v="192"/>
          </reference>
          <reference field="1" count="1" selected="0">
            <x v="112"/>
          </reference>
          <reference field="3" count="1">
            <x v="103"/>
          </reference>
        </references>
      </pivotArea>
    </format>
    <format dxfId="552">
      <pivotArea collapsedLevelsAreSubtotals="1" fieldPosition="0">
        <references count="1">
          <reference field="0" count="1">
            <x v="193"/>
          </reference>
        </references>
      </pivotArea>
    </format>
    <format dxfId="551">
      <pivotArea collapsedLevelsAreSubtotals="1" fieldPosition="0">
        <references count="2">
          <reference field="0" count="1" selected="0">
            <x v="193"/>
          </reference>
          <reference field="1" count="1">
            <x v="148"/>
          </reference>
        </references>
      </pivotArea>
    </format>
    <format dxfId="550">
      <pivotArea collapsedLevelsAreSubtotals="1" fieldPosition="0">
        <references count="3">
          <reference field="0" count="1" selected="0">
            <x v="193"/>
          </reference>
          <reference field="1" count="1" selected="0">
            <x v="148"/>
          </reference>
          <reference field="3" count="1">
            <x v="106"/>
          </reference>
        </references>
      </pivotArea>
    </format>
    <format dxfId="549">
      <pivotArea collapsedLevelsAreSubtotals="1" fieldPosition="0">
        <references count="1">
          <reference field="0" count="1">
            <x v="194"/>
          </reference>
        </references>
      </pivotArea>
    </format>
    <format dxfId="548">
      <pivotArea collapsedLevelsAreSubtotals="1" fieldPosition="0">
        <references count="2">
          <reference field="0" count="1" selected="0">
            <x v="194"/>
          </reference>
          <reference field="1" count="1">
            <x v="138"/>
          </reference>
        </references>
      </pivotArea>
    </format>
    <format dxfId="547">
      <pivotArea collapsedLevelsAreSubtotals="1" fieldPosition="0">
        <references count="3">
          <reference field="0" count="1" selected="0">
            <x v="194"/>
          </reference>
          <reference field="1" count="1" selected="0">
            <x v="138"/>
          </reference>
          <reference field="3" count="1">
            <x v="137"/>
          </reference>
        </references>
      </pivotArea>
    </format>
    <format dxfId="546">
      <pivotArea collapsedLevelsAreSubtotals="1" fieldPosition="0">
        <references count="1">
          <reference field="0" count="1">
            <x v="195"/>
          </reference>
        </references>
      </pivotArea>
    </format>
    <format dxfId="545">
      <pivotArea collapsedLevelsAreSubtotals="1" fieldPosition="0">
        <references count="2">
          <reference field="0" count="1" selected="0">
            <x v="195"/>
          </reference>
          <reference field="1" count="1">
            <x v="71"/>
          </reference>
        </references>
      </pivotArea>
    </format>
    <format dxfId="544">
      <pivotArea collapsedLevelsAreSubtotals="1" fieldPosition="0">
        <references count="3">
          <reference field="0" count="1" selected="0">
            <x v="195"/>
          </reference>
          <reference field="1" count="1" selected="0">
            <x v="71"/>
          </reference>
          <reference field="3" count="1">
            <x v="111"/>
          </reference>
        </references>
      </pivotArea>
    </format>
    <format dxfId="543">
      <pivotArea collapsedLevelsAreSubtotals="1" fieldPosition="0">
        <references count="1">
          <reference field="0" count="1">
            <x v="198"/>
          </reference>
        </references>
      </pivotArea>
    </format>
    <format dxfId="542">
      <pivotArea collapsedLevelsAreSubtotals="1" fieldPosition="0">
        <references count="2">
          <reference field="0" count="1" selected="0">
            <x v="198"/>
          </reference>
          <reference field="1" count="1">
            <x v="68"/>
          </reference>
        </references>
      </pivotArea>
    </format>
    <format dxfId="541">
      <pivotArea collapsedLevelsAreSubtotals="1" fieldPosition="0">
        <references count="3">
          <reference field="0" count="1" selected="0">
            <x v="198"/>
          </reference>
          <reference field="1" count="1" selected="0">
            <x v="68"/>
          </reference>
          <reference field="3" count="1">
            <x v="179"/>
          </reference>
        </references>
      </pivotArea>
    </format>
    <format dxfId="540">
      <pivotArea collapsedLevelsAreSubtotals="1" fieldPosition="0">
        <references count="1">
          <reference field="0" count="1">
            <x v="199"/>
          </reference>
        </references>
      </pivotArea>
    </format>
    <format dxfId="539">
      <pivotArea collapsedLevelsAreSubtotals="1" fieldPosition="0">
        <references count="2">
          <reference field="0" count="1" selected="0">
            <x v="199"/>
          </reference>
          <reference field="1" count="1">
            <x v="1"/>
          </reference>
        </references>
      </pivotArea>
    </format>
    <format dxfId="538">
      <pivotArea collapsedLevelsAreSubtotals="1" fieldPosition="0">
        <references count="3">
          <reference field="0" count="1" selected="0">
            <x v="199"/>
          </reference>
          <reference field="1" count="1" selected="0">
            <x v="1"/>
          </reference>
          <reference field="3" count="1">
            <x v="66"/>
          </reference>
        </references>
      </pivotArea>
    </format>
    <format dxfId="537">
      <pivotArea collapsedLevelsAreSubtotals="1" fieldPosition="0">
        <references count="1">
          <reference field="0" count="1">
            <x v="201"/>
          </reference>
        </references>
      </pivotArea>
    </format>
    <format dxfId="536">
      <pivotArea collapsedLevelsAreSubtotals="1" fieldPosition="0">
        <references count="2">
          <reference field="0" count="1" selected="0">
            <x v="201"/>
          </reference>
          <reference field="1" count="1">
            <x v="114"/>
          </reference>
        </references>
      </pivotArea>
    </format>
    <format dxfId="535">
      <pivotArea collapsedLevelsAreSubtotals="1" fieldPosition="0">
        <references count="3">
          <reference field="0" count="1" selected="0">
            <x v="201"/>
          </reference>
          <reference field="1" count="1" selected="0">
            <x v="114"/>
          </reference>
          <reference field="3" count="1">
            <x v="176"/>
          </reference>
        </references>
      </pivotArea>
    </format>
    <format dxfId="534">
      <pivotArea collapsedLevelsAreSubtotals="1" fieldPosition="0">
        <references count="1">
          <reference field="0" count="1">
            <x v="202"/>
          </reference>
        </references>
      </pivotArea>
    </format>
    <format dxfId="533">
      <pivotArea collapsedLevelsAreSubtotals="1" fieldPosition="0">
        <references count="2">
          <reference field="0" count="1" selected="0">
            <x v="202"/>
          </reference>
          <reference field="1" count="1">
            <x v="70"/>
          </reference>
        </references>
      </pivotArea>
    </format>
    <format dxfId="532">
      <pivotArea collapsedLevelsAreSubtotals="1" fieldPosition="0">
        <references count="3">
          <reference field="0" count="1" selected="0">
            <x v="202"/>
          </reference>
          <reference field="1" count="1" selected="0">
            <x v="70"/>
          </reference>
          <reference field="3" count="1">
            <x v="104"/>
          </reference>
        </references>
      </pivotArea>
    </format>
    <format dxfId="531">
      <pivotArea collapsedLevelsAreSubtotals="1" fieldPosition="0">
        <references count="1">
          <reference field="0" count="1">
            <x v="204"/>
          </reference>
        </references>
      </pivotArea>
    </format>
    <format dxfId="530">
      <pivotArea collapsedLevelsAreSubtotals="1" fieldPosition="0">
        <references count="2">
          <reference field="0" count="1" selected="0">
            <x v="204"/>
          </reference>
          <reference field="1" count="1">
            <x v="160"/>
          </reference>
        </references>
      </pivotArea>
    </format>
    <format dxfId="529">
      <pivotArea collapsedLevelsAreSubtotals="1" fieldPosition="0">
        <references count="3">
          <reference field="0" count="1" selected="0">
            <x v="204"/>
          </reference>
          <reference field="1" count="1" selected="0">
            <x v="160"/>
          </reference>
          <reference field="3" count="1">
            <x v="95"/>
          </reference>
        </references>
      </pivotArea>
    </format>
    <format dxfId="528">
      <pivotArea collapsedLevelsAreSubtotals="1" fieldPosition="0">
        <references count="1">
          <reference field="0" count="1">
            <x v="205"/>
          </reference>
        </references>
      </pivotArea>
    </format>
    <format dxfId="527">
      <pivotArea collapsedLevelsAreSubtotals="1" fieldPosition="0">
        <references count="2">
          <reference field="0" count="1" selected="0">
            <x v="205"/>
          </reference>
          <reference field="1" count="1">
            <x v="158"/>
          </reference>
        </references>
      </pivotArea>
    </format>
    <format dxfId="526">
      <pivotArea collapsedLevelsAreSubtotals="1" fieldPosition="0">
        <references count="3">
          <reference field="0" count="1" selected="0">
            <x v="205"/>
          </reference>
          <reference field="1" count="1" selected="0">
            <x v="158"/>
          </reference>
          <reference field="3" count="1">
            <x v="34"/>
          </reference>
        </references>
      </pivotArea>
    </format>
    <format dxfId="525">
      <pivotArea collapsedLevelsAreSubtotals="1" fieldPosition="0">
        <references count="1">
          <reference field="0" count="1">
            <x v="207"/>
          </reference>
        </references>
      </pivotArea>
    </format>
    <format dxfId="524">
      <pivotArea collapsedLevelsAreSubtotals="1" fieldPosition="0">
        <references count="2">
          <reference field="0" count="1" selected="0">
            <x v="207"/>
          </reference>
          <reference field="1" count="1">
            <x v="157"/>
          </reference>
        </references>
      </pivotArea>
    </format>
    <format dxfId="523">
      <pivotArea collapsedLevelsAreSubtotals="1" fieldPosition="0">
        <references count="3">
          <reference field="0" count="1" selected="0">
            <x v="207"/>
          </reference>
          <reference field="1" count="1" selected="0">
            <x v="157"/>
          </reference>
          <reference field="3" count="1">
            <x v="184"/>
          </reference>
        </references>
      </pivotArea>
    </format>
    <format dxfId="522">
      <pivotArea collapsedLevelsAreSubtotals="1" fieldPosition="0">
        <references count="1">
          <reference field="0" count="1">
            <x v="209"/>
          </reference>
        </references>
      </pivotArea>
    </format>
    <format dxfId="521">
      <pivotArea collapsedLevelsAreSubtotals="1" fieldPosition="0">
        <references count="2">
          <reference field="0" count="1" selected="0">
            <x v="209"/>
          </reference>
          <reference field="1" count="1">
            <x v="155"/>
          </reference>
        </references>
      </pivotArea>
    </format>
    <format dxfId="520">
      <pivotArea collapsedLevelsAreSubtotals="1" fieldPosition="0">
        <references count="3">
          <reference field="0" count="1" selected="0">
            <x v="209"/>
          </reference>
          <reference field="1" count="1" selected="0">
            <x v="155"/>
          </reference>
          <reference field="3" count="1">
            <x v="120"/>
          </reference>
        </references>
      </pivotArea>
    </format>
    <format dxfId="519">
      <pivotArea collapsedLevelsAreSubtotals="1" fieldPosition="0">
        <references count="1">
          <reference field="0" count="1">
            <x v="210"/>
          </reference>
        </references>
      </pivotArea>
    </format>
    <format dxfId="518">
      <pivotArea collapsedLevelsAreSubtotals="1" fieldPosition="0">
        <references count="2">
          <reference field="0" count="1" selected="0">
            <x v="210"/>
          </reference>
          <reference field="1" count="1">
            <x v="61"/>
          </reference>
        </references>
      </pivotArea>
    </format>
    <format dxfId="517">
      <pivotArea collapsedLevelsAreSubtotals="1" fieldPosition="0">
        <references count="3">
          <reference field="0" count="1" selected="0">
            <x v="210"/>
          </reference>
          <reference field="1" count="1" selected="0">
            <x v="61"/>
          </reference>
          <reference field="3" count="1">
            <x v="167"/>
          </reference>
        </references>
      </pivotArea>
    </format>
    <format dxfId="516">
      <pivotArea collapsedLevelsAreSubtotals="1" fieldPosition="0">
        <references count="1">
          <reference field="0" count="1">
            <x v="211"/>
          </reference>
        </references>
      </pivotArea>
    </format>
    <format dxfId="515">
      <pivotArea collapsedLevelsAreSubtotals="1" fieldPosition="0">
        <references count="2">
          <reference field="0" count="1" selected="0">
            <x v="211"/>
          </reference>
          <reference field="1" count="1">
            <x v="10"/>
          </reference>
        </references>
      </pivotArea>
    </format>
    <format dxfId="514">
      <pivotArea collapsedLevelsAreSubtotals="1" fieldPosition="0">
        <references count="3">
          <reference field="0" count="1" selected="0">
            <x v="211"/>
          </reference>
          <reference field="1" count="1" selected="0">
            <x v="10"/>
          </reference>
          <reference field="3" count="1">
            <x v="200"/>
          </reference>
        </references>
      </pivotArea>
    </format>
    <format dxfId="513">
      <pivotArea collapsedLevelsAreSubtotals="1" fieldPosition="0">
        <references count="1">
          <reference field="0" count="1">
            <x v="212"/>
          </reference>
        </references>
      </pivotArea>
    </format>
    <format dxfId="512">
      <pivotArea collapsedLevelsAreSubtotals="1" fieldPosition="0">
        <references count="2">
          <reference field="0" count="1" selected="0">
            <x v="212"/>
          </reference>
          <reference field="1" count="1">
            <x v="50"/>
          </reference>
        </references>
      </pivotArea>
    </format>
    <format dxfId="511">
      <pivotArea collapsedLevelsAreSubtotals="1" fieldPosition="0">
        <references count="3">
          <reference field="0" count="1" selected="0">
            <x v="212"/>
          </reference>
          <reference field="1" count="1" selected="0">
            <x v="50"/>
          </reference>
          <reference field="3" count="1">
            <x v="70"/>
          </reference>
        </references>
      </pivotArea>
    </format>
    <format dxfId="510">
      <pivotArea collapsedLevelsAreSubtotals="1" fieldPosition="0">
        <references count="1">
          <reference field="0" count="1">
            <x v="213"/>
          </reference>
        </references>
      </pivotArea>
    </format>
    <format dxfId="509">
      <pivotArea collapsedLevelsAreSubtotals="1" fieldPosition="0">
        <references count="2">
          <reference field="0" count="1" selected="0">
            <x v="213"/>
          </reference>
          <reference field="1" count="1">
            <x v="29"/>
          </reference>
        </references>
      </pivotArea>
    </format>
    <format dxfId="508">
      <pivotArea collapsedLevelsAreSubtotals="1" fieldPosition="0">
        <references count="3">
          <reference field="0" count="1" selected="0">
            <x v="213"/>
          </reference>
          <reference field="1" count="1" selected="0">
            <x v="29"/>
          </reference>
          <reference field="3" count="1">
            <x v="138"/>
          </reference>
        </references>
      </pivotArea>
    </format>
    <format dxfId="507">
      <pivotArea collapsedLevelsAreSubtotals="1" fieldPosition="0">
        <references count="1">
          <reference field="0" count="1">
            <x v="214"/>
          </reference>
        </references>
      </pivotArea>
    </format>
    <format dxfId="506">
      <pivotArea collapsedLevelsAreSubtotals="1" fieldPosition="0">
        <references count="2">
          <reference field="0" count="1" selected="0">
            <x v="214"/>
          </reference>
          <reference field="1" count="1">
            <x v="40"/>
          </reference>
        </references>
      </pivotArea>
    </format>
    <format dxfId="505">
      <pivotArea collapsedLevelsAreSubtotals="1" fieldPosition="0">
        <references count="3">
          <reference field="0" count="1" selected="0">
            <x v="214"/>
          </reference>
          <reference field="1" count="1" selected="0">
            <x v="40"/>
          </reference>
          <reference field="3" count="1">
            <x v="156"/>
          </reference>
        </references>
      </pivotArea>
    </format>
    <format dxfId="504">
      <pivotArea collapsedLevelsAreSubtotals="1" fieldPosition="0">
        <references count="1">
          <reference field="0" count="1">
            <x v="215"/>
          </reference>
        </references>
      </pivotArea>
    </format>
    <format dxfId="503">
      <pivotArea collapsedLevelsAreSubtotals="1" fieldPosition="0">
        <references count="2">
          <reference field="0" count="1" selected="0">
            <x v="215"/>
          </reference>
          <reference field="1" count="1">
            <x v="75"/>
          </reference>
        </references>
      </pivotArea>
    </format>
    <format dxfId="502">
      <pivotArea collapsedLevelsAreSubtotals="1" fieldPosition="0">
        <references count="3">
          <reference field="0" count="1" selected="0">
            <x v="215"/>
          </reference>
          <reference field="1" count="1" selected="0">
            <x v="75"/>
          </reference>
          <reference field="3" count="1">
            <x v="175"/>
          </reference>
        </references>
      </pivotArea>
    </format>
    <format dxfId="501">
      <pivotArea collapsedLevelsAreSubtotals="1" fieldPosition="0">
        <references count="1">
          <reference field="0" count="1">
            <x v="216"/>
          </reference>
        </references>
      </pivotArea>
    </format>
    <format dxfId="500">
      <pivotArea collapsedLevelsAreSubtotals="1" fieldPosition="0">
        <references count="2">
          <reference field="0" count="1" selected="0">
            <x v="216"/>
          </reference>
          <reference field="1" count="1">
            <x v="86"/>
          </reference>
        </references>
      </pivotArea>
    </format>
    <format dxfId="499">
      <pivotArea collapsedLevelsAreSubtotals="1" fieldPosition="0">
        <references count="3">
          <reference field="0" count="1" selected="0">
            <x v="216"/>
          </reference>
          <reference field="1" count="1" selected="0">
            <x v="86"/>
          </reference>
          <reference field="3" count="1">
            <x v="41"/>
          </reference>
        </references>
      </pivotArea>
    </format>
    <format dxfId="498">
      <pivotArea collapsedLevelsAreSubtotals="1" fieldPosition="0">
        <references count="1">
          <reference field="0" count="1">
            <x v="217"/>
          </reference>
        </references>
      </pivotArea>
    </format>
    <format dxfId="497">
      <pivotArea collapsedLevelsAreSubtotals="1" fieldPosition="0">
        <references count="2">
          <reference field="0" count="1" selected="0">
            <x v="217"/>
          </reference>
          <reference field="1" count="1">
            <x v="72"/>
          </reference>
        </references>
      </pivotArea>
    </format>
    <format dxfId="496">
      <pivotArea collapsedLevelsAreSubtotals="1" fieldPosition="0">
        <references count="3">
          <reference field="0" count="1" selected="0">
            <x v="217"/>
          </reference>
          <reference field="1" count="1" selected="0">
            <x v="72"/>
          </reference>
          <reference field="3" count="1">
            <x v="23"/>
          </reference>
        </references>
      </pivotArea>
    </format>
    <format dxfId="495">
      <pivotArea collapsedLevelsAreSubtotals="1" fieldPosition="0">
        <references count="1">
          <reference field="0" count="1">
            <x v="218"/>
          </reference>
        </references>
      </pivotArea>
    </format>
    <format dxfId="494">
      <pivotArea collapsedLevelsAreSubtotals="1" fieldPosition="0">
        <references count="2">
          <reference field="0" count="1" selected="0">
            <x v="218"/>
          </reference>
          <reference field="1" count="1">
            <x v="33"/>
          </reference>
        </references>
      </pivotArea>
    </format>
    <format dxfId="493">
      <pivotArea collapsedLevelsAreSubtotals="1" fieldPosition="0">
        <references count="3">
          <reference field="0" count="1" selected="0">
            <x v="218"/>
          </reference>
          <reference field="1" count="1" selected="0">
            <x v="33"/>
          </reference>
          <reference field="3" count="1">
            <x v="193"/>
          </reference>
        </references>
      </pivotArea>
    </format>
    <format dxfId="492">
      <pivotArea collapsedLevelsAreSubtotals="1" fieldPosition="0">
        <references count="1">
          <reference field="0" count="1">
            <x v="219"/>
          </reference>
        </references>
      </pivotArea>
    </format>
    <format dxfId="491">
      <pivotArea collapsedLevelsAreSubtotals="1" fieldPosition="0">
        <references count="2">
          <reference field="0" count="1" selected="0">
            <x v="219"/>
          </reference>
          <reference field="1" count="1">
            <x v="58"/>
          </reference>
        </references>
      </pivotArea>
    </format>
    <format dxfId="490">
      <pivotArea collapsedLevelsAreSubtotals="1" fieldPosition="0">
        <references count="3">
          <reference field="0" count="1" selected="0">
            <x v="219"/>
          </reference>
          <reference field="1" count="1" selected="0">
            <x v="58"/>
          </reference>
          <reference field="3" count="1">
            <x v="197"/>
          </reference>
        </references>
      </pivotArea>
    </format>
    <format dxfId="489">
      <pivotArea collapsedLevelsAreSubtotals="1" fieldPosition="0">
        <references count="1">
          <reference field="0" count="1">
            <x v="220"/>
          </reference>
        </references>
      </pivotArea>
    </format>
    <format dxfId="488">
      <pivotArea collapsedLevelsAreSubtotals="1" fieldPosition="0">
        <references count="2">
          <reference field="0" count="1" selected="0">
            <x v="220"/>
          </reference>
          <reference field="1" count="1">
            <x v="153"/>
          </reference>
        </references>
      </pivotArea>
    </format>
    <format dxfId="487">
      <pivotArea collapsedLevelsAreSubtotals="1" fieldPosition="0">
        <references count="3">
          <reference field="0" count="1" selected="0">
            <x v="220"/>
          </reference>
          <reference field="1" count="1" selected="0">
            <x v="153"/>
          </reference>
          <reference field="3" count="1">
            <x v="5"/>
          </reference>
        </references>
      </pivotArea>
    </format>
    <format dxfId="486">
      <pivotArea collapsedLevelsAreSubtotals="1" fieldPosition="0">
        <references count="1">
          <reference field="0" count="1">
            <x v="221"/>
          </reference>
        </references>
      </pivotArea>
    </format>
    <format dxfId="485">
      <pivotArea collapsedLevelsAreSubtotals="1" fieldPosition="0">
        <references count="2">
          <reference field="0" count="1" selected="0">
            <x v="221"/>
          </reference>
          <reference field="1" count="1">
            <x v="116"/>
          </reference>
        </references>
      </pivotArea>
    </format>
    <format dxfId="484">
      <pivotArea collapsedLevelsAreSubtotals="1" fieldPosition="0">
        <references count="3">
          <reference field="0" count="1" selected="0">
            <x v="221"/>
          </reference>
          <reference field="1" count="1" selected="0">
            <x v="116"/>
          </reference>
          <reference field="3" count="1">
            <x v="155"/>
          </reference>
        </references>
      </pivotArea>
    </format>
    <format dxfId="483">
      <pivotArea collapsedLevelsAreSubtotals="1" fieldPosition="0">
        <references count="1">
          <reference field="0" count="1">
            <x v="222"/>
          </reference>
        </references>
      </pivotArea>
    </format>
    <format dxfId="482">
      <pivotArea collapsedLevelsAreSubtotals="1" fieldPosition="0">
        <references count="2">
          <reference field="0" count="1" selected="0">
            <x v="222"/>
          </reference>
          <reference field="1" count="1">
            <x v="97"/>
          </reference>
        </references>
      </pivotArea>
    </format>
    <format dxfId="481">
      <pivotArea collapsedLevelsAreSubtotals="1" fieldPosition="0">
        <references count="3">
          <reference field="0" count="1" selected="0">
            <x v="222"/>
          </reference>
          <reference field="1" count="1" selected="0">
            <x v="97"/>
          </reference>
          <reference field="3" count="1">
            <x v="152"/>
          </reference>
        </references>
      </pivotArea>
    </format>
    <format dxfId="480">
      <pivotArea outline="0" collapsedLevelsAreSubtotals="1" fieldPosition="0"/>
    </format>
    <format dxfId="479">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78">
      <pivotArea dataOnly="0" labelOnly="1" fieldPosition="0">
        <references count="1">
          <reference field="0" count="10">
            <x v="213"/>
            <x v="214"/>
            <x v="215"/>
            <x v="216"/>
            <x v="217"/>
            <x v="218"/>
            <x v="219"/>
            <x v="220"/>
            <x v="221"/>
            <x v="222"/>
          </reference>
        </references>
      </pivotArea>
    </format>
    <format dxfId="477">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76">
      <pivotArea dataOnly="0" labelOnly="1" fieldPosition="0">
        <references count="2">
          <reference field="0" count="1" selected="0">
            <x v="213"/>
          </reference>
          <reference field="1" count="10">
            <x v="29"/>
            <x v="33"/>
            <x v="40"/>
            <x v="58"/>
            <x v="72"/>
            <x v="75"/>
            <x v="86"/>
            <x v="97"/>
            <x v="116"/>
            <x v="153"/>
          </reference>
        </references>
      </pivotArea>
    </format>
    <format dxfId="475">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74">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73">
      <pivotArea outline="0" collapsedLevelsAreSubtotals="1" fieldPosition="0"/>
    </format>
    <format dxfId="472">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71">
      <pivotArea dataOnly="0" labelOnly="1" fieldPosition="0">
        <references count="1">
          <reference field="0" count="10">
            <x v="213"/>
            <x v="214"/>
            <x v="215"/>
            <x v="216"/>
            <x v="217"/>
            <x v="218"/>
            <x v="219"/>
            <x v="220"/>
            <x v="221"/>
            <x v="222"/>
          </reference>
        </references>
      </pivotArea>
    </format>
    <format dxfId="470">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69">
      <pivotArea dataOnly="0" labelOnly="1" fieldPosition="0">
        <references count="2">
          <reference field="0" count="1" selected="0">
            <x v="213"/>
          </reference>
          <reference field="1" count="10">
            <x v="29"/>
            <x v="33"/>
            <x v="40"/>
            <x v="58"/>
            <x v="72"/>
            <x v="75"/>
            <x v="86"/>
            <x v="97"/>
            <x v="116"/>
            <x v="153"/>
          </reference>
        </references>
      </pivotArea>
    </format>
    <format dxfId="468">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67">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66">
      <pivotArea field="0" type="button" dataOnly="0" labelOnly="1" outline="0" axis="axisRow" fieldPosition="0"/>
    </format>
    <format dxfId="465">
      <pivotArea dataOnly="0" labelOnly="1" outline="0" fieldPosition="0">
        <references count="1">
          <reference field="4294967294" count="5">
            <x v="0"/>
            <x v="1"/>
            <x v="2"/>
            <x v="3"/>
            <x v="4"/>
          </reference>
        </references>
      </pivotArea>
    </format>
    <format dxfId="464">
      <pivotArea field="0" type="button" dataOnly="0" labelOnly="1" outline="0" axis="axisRow" fieldPosition="0"/>
    </format>
    <format dxfId="463">
      <pivotArea dataOnly="0" labelOnly="1" outline="0" fieldPosition="0">
        <references count="1">
          <reference field="4294967294" count="5">
            <x v="0"/>
            <x v="1"/>
            <x v="2"/>
            <x v="3"/>
            <x v="4"/>
          </reference>
        </references>
      </pivotArea>
    </format>
    <format dxfId="462">
      <pivotArea field="21" type="button" dataOnly="0" labelOnly="1" outline="0" axis="axisPage" fieldPosition="0"/>
    </format>
    <format dxfId="461">
      <pivotArea dataOnly="0" labelOnly="1" outline="0" fieldPosition="0">
        <references count="1">
          <reference field="21" count="0"/>
        </references>
      </pivotArea>
    </format>
    <format dxfId="460">
      <pivotArea field="24" type="button" dataOnly="0" labelOnly="1" outline="0" axis="axisPage" fieldPosition="1"/>
    </format>
    <format dxfId="459">
      <pivotArea dataOnly="0" labelOnly="1" outline="0" fieldPosition="0">
        <references count="1">
          <reference field="24" count="0"/>
        </references>
      </pivotArea>
    </format>
    <format dxfId="458">
      <pivotArea field="21" type="button" dataOnly="0" labelOnly="1" outline="0" axis="axisPage" fieldPosition="0"/>
    </format>
    <format dxfId="457">
      <pivotArea dataOnly="0" labelOnly="1" outline="0" fieldPosition="0">
        <references count="1">
          <reference field="21" count="0"/>
        </references>
      </pivotArea>
    </format>
    <format dxfId="456">
      <pivotArea field="24" type="button" dataOnly="0" labelOnly="1" outline="0" axis="axisPage" fieldPosition="1"/>
    </format>
    <format dxfId="455">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454">
      <pivotArea outline="0" collapsedLevelsAreSubtotals="1" fieldPosition="0">
        <references count="1">
          <reference field="4294967294" count="3" selected="0">
            <x v="1"/>
            <x v="2"/>
            <x v="3"/>
          </reference>
        </references>
      </pivotArea>
    </format>
    <format dxfId="453">
      <pivotArea dataOnly="0" labelOnly="1" outline="0" fieldPosition="0">
        <references count="1">
          <reference field="24" count="0"/>
        </references>
      </pivotArea>
    </format>
    <format dxfId="452">
      <pivotArea dataOnly="0" labelOnly="1" outline="0" fieldPosition="0">
        <references count="1">
          <reference field="4294967294" count="3">
            <x v="1"/>
            <x v="2"/>
            <x v="3"/>
          </reference>
        </references>
      </pivotArea>
    </format>
    <format dxfId="451">
      <pivotArea outline="0" collapsedLevelsAreSubtotals="1" fieldPosition="0">
        <references count="1">
          <reference field="4294967294" count="1" selected="0">
            <x v="4"/>
          </reference>
        </references>
      </pivotArea>
    </format>
    <format dxfId="450">
      <pivotArea dataOnly="0" labelOnly="1" outline="0" fieldPosition="0">
        <references count="1">
          <reference field="4294967294" count="1">
            <x v="4"/>
          </reference>
        </references>
      </pivotArea>
    </format>
    <format dxfId="449">
      <pivotArea dataOnly="0" labelOnly="1" outline="0" fieldPosition="0">
        <references count="1">
          <reference field="21" count="0"/>
        </references>
      </pivotArea>
    </format>
    <format dxfId="448">
      <pivotArea field="0" type="button" dataOnly="0" labelOnly="1" outline="0" axis="axisRow" fieldPosition="0"/>
    </format>
    <format dxfId="447">
      <pivotArea dataOnly="0" labelOnly="1" outline="0" fieldPosition="0">
        <references count="1">
          <reference field="4294967294" count="5">
            <x v="0"/>
            <x v="1"/>
            <x v="2"/>
            <x v="3"/>
            <x v="4"/>
          </reference>
        </references>
      </pivotArea>
    </format>
    <format dxfId="446">
      <pivotArea field="0" type="button" dataOnly="0" labelOnly="1" outline="0" axis="axisRow" fieldPosition="0"/>
    </format>
    <format dxfId="445">
      <pivotArea dataOnly="0" labelOnly="1" outline="0" fieldPosition="0">
        <references count="1">
          <reference field="4294967294" count="5">
            <x v="0"/>
            <x v="1"/>
            <x v="2"/>
            <x v="3"/>
            <x v="4"/>
          </reference>
        </references>
      </pivotArea>
    </format>
    <format dxfId="444">
      <pivotArea field="0" type="button" dataOnly="0" labelOnly="1" outline="0" axis="axisRow" fieldPosition="0"/>
    </format>
    <format dxfId="443">
      <pivotArea dataOnly="0" labelOnly="1" outline="0" fieldPosition="0">
        <references count="1">
          <reference field="4294967294" count="5">
            <x v="0"/>
            <x v="1"/>
            <x v="2"/>
            <x v="3"/>
            <x v="4"/>
          </reference>
        </references>
      </pivotArea>
    </format>
    <format dxfId="442">
      <pivotArea outline="0" fieldPosition="0">
        <references count="1">
          <reference field="4294967294" count="1">
            <x v="0"/>
          </reference>
        </references>
      </pivotArea>
    </format>
    <format dxfId="441">
      <pivotArea type="all" dataOnly="0" outline="0" fieldPosition="0"/>
    </format>
    <format dxfId="440">
      <pivotArea type="all" dataOnly="0" outline="0" fieldPosition="0"/>
    </format>
    <format dxfId="439">
      <pivotArea outline="0" collapsedLevelsAreSubtotals="1" fieldPosition="0">
        <references count="1">
          <reference field="4294967294" count="1" selected="0">
            <x v="0"/>
          </reference>
        </references>
      </pivotArea>
    </format>
    <format dxfId="438">
      <pivotArea dataOnly="0" labelOnly="1" outline="0" fieldPosition="0">
        <references count="1">
          <reference field="24" count="0"/>
        </references>
      </pivotArea>
    </format>
    <format dxfId="437">
      <pivotArea dataOnly="0" labelOnly="1" outline="0" fieldPosition="0">
        <references count="1">
          <reference field="21" count="0"/>
        </references>
      </pivotArea>
    </format>
    <format dxfId="436">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4"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39"/>
        <item m="1" x="212"/>
        <item m="1" x="139"/>
        <item m="1" x="204"/>
        <item m="1" x="247"/>
        <item m="1" x="183"/>
        <item m="1" x="185"/>
        <item m="1" x="214"/>
        <item m="1" x="265"/>
        <item m="1" x="232"/>
        <item x="5"/>
        <item m="1" x="137"/>
        <item m="1" x="327"/>
        <item m="1" x="225"/>
        <item m="1" x="262"/>
        <item m="1" x="166"/>
        <item m="1" x="235"/>
        <item m="1" x="157"/>
        <item m="1" x="201"/>
        <item m="1" x="233"/>
        <item m="1" x="310"/>
        <item m="1" x="148"/>
        <item m="1" x="130"/>
        <item x="66"/>
        <item m="1" x="115"/>
        <item m="1" x="246"/>
        <item m="1" x="282"/>
        <item m="1" x="238"/>
        <item m="1" x="145"/>
        <item x="73"/>
        <item x="83"/>
        <item m="1" x="179"/>
        <item m="1" x="277"/>
        <item m="1" x="175"/>
        <item m="1" x="187"/>
        <item m="1" x="203"/>
        <item m="1" x="208"/>
        <item m="1" x="283"/>
        <item m="1" x="320"/>
        <item x="105"/>
        <item m="1" x="314"/>
        <item m="1" x="317"/>
        <item m="1" x="248"/>
        <item m="1" x="151"/>
        <item m="1" x="299"/>
        <item m="1" x="230"/>
        <item m="1" x="159"/>
        <item m="1" x="330"/>
        <item m="1" x="242"/>
        <item m="1" x="298"/>
        <item m="1" x="133"/>
        <item m="1" x="199"/>
        <item x="48"/>
        <item m="1" x="258"/>
        <item m="1" x="114"/>
        <item x="97"/>
        <item m="1" x="229"/>
        <item x="85"/>
        <item m="1" x="135"/>
        <item m="1" x="161"/>
        <item x="50"/>
        <item m="1" x="164"/>
        <item m="1" x="224"/>
        <item m="1" x="193"/>
        <item m="1" x="119"/>
        <item m="1" x="110"/>
        <item m="1" x="162"/>
        <item m="1" x="300"/>
        <item m="1" x="186"/>
        <item m="1" x="109"/>
        <item m="1" x="304"/>
        <item m="1" x="118"/>
        <item x="72"/>
        <item m="1" x="288"/>
        <item m="1" x="289"/>
        <item m="1" x="121"/>
        <item m="1" x="303"/>
        <item m="1" x="127"/>
        <item m="1" x="245"/>
        <item m="1" x="266"/>
        <item m="1" x="271"/>
        <item m="1" x="219"/>
        <item x="22"/>
        <item m="1" x="160"/>
        <item m="1" x="178"/>
        <item m="1" x="274"/>
        <item m="1" x="318"/>
        <item m="1" x="182"/>
        <item m="1" x="294"/>
        <item x="27"/>
        <item x="100"/>
        <item m="1" x="136"/>
        <item x="44"/>
        <item x="60"/>
        <item m="1" x="215"/>
        <item m="1" x="113"/>
        <item x="84"/>
        <item m="1" x="276"/>
        <item m="1" x="202"/>
        <item m="1" x="322"/>
        <item m="1" x="174"/>
        <item m="1" x="168"/>
        <item x="57"/>
        <item m="1" x="218"/>
        <item m="1" x="209"/>
        <item m="1" x="316"/>
        <item m="1" x="324"/>
        <item m="1" x="301"/>
        <item m="1" x="126"/>
        <item m="1" x="287"/>
        <item m="1" x="285"/>
        <item m="1" x="272"/>
        <item m="1" x="149"/>
        <item m="1" x="244"/>
        <item x="79"/>
        <item m="1" x="305"/>
        <item x="104"/>
        <item m="1" x="205"/>
        <item m="1" x="197"/>
        <item m="1" x="279"/>
        <item x="80"/>
        <item m="1" x="243"/>
        <item m="1" x="325"/>
        <item m="1" x="292"/>
        <item m="1" x="275"/>
        <item m="1" x="213"/>
        <item m="1" x="123"/>
        <item m="1" x="134"/>
        <item m="1" x="315"/>
        <item m="1" x="154"/>
        <item m="1" x="181"/>
        <item m="1" x="328"/>
        <item m="1" x="268"/>
        <item m="1" x="249"/>
        <item m="1" x="250"/>
        <item m="1" x="221"/>
        <item m="1" x="198"/>
        <item m="1" x="132"/>
        <item m="1" x="138"/>
        <item m="1" x="280"/>
        <item m="1" x="269"/>
        <item m="1" x="142"/>
        <item m="1" x="257"/>
        <item m="1" x="177"/>
        <item m="1" x="321"/>
        <item m="1" x="140"/>
        <item x="102"/>
        <item m="1" x="184"/>
        <item m="1" x="112"/>
        <item m="1" x="207"/>
        <item m="1" x="146"/>
        <item m="1" x="308"/>
        <item m="1" x="195"/>
        <item m="1" x="309"/>
        <item m="1" x="216"/>
        <item m="1" x="278"/>
        <item m="1" x="286"/>
        <item x="94"/>
        <item m="1" x="152"/>
        <item m="1" x="167"/>
        <item m="1" x="319"/>
        <item m="1" x="297"/>
        <item m="1" x="254"/>
        <item m="1" x="120"/>
        <item m="1" x="296"/>
        <item x="24"/>
        <item m="1" x="144"/>
        <item x="59"/>
        <item m="1" x="252"/>
        <item m="1" x="228"/>
        <item m="1" x="128"/>
        <item m="1" x="211"/>
        <item x="68"/>
        <item m="1" x="158"/>
        <item m="1" x="189"/>
        <item m="1" x="270"/>
        <item m="1" x="143"/>
        <item m="1" x="261"/>
        <item m="1" x="180"/>
        <item m="1" x="170"/>
        <item x="69"/>
        <item m="1" x="194"/>
        <item m="1" x="312"/>
        <item m="1" x="125"/>
        <item x="11"/>
        <item m="1" x="290"/>
        <item m="1" x="116"/>
        <item m="1" x="191"/>
        <item m="1" x="313"/>
        <item m="1" x="226"/>
        <item m="1" x="172"/>
        <item m="1" x="255"/>
        <item m="1" x="108"/>
        <item x="8"/>
        <item m="1" x="267"/>
        <item m="1" x="111"/>
        <item m="1" x="156"/>
        <item x="10"/>
        <item m="1" x="237"/>
        <item m="1" x="240"/>
        <item x="34"/>
        <item m="1" x="253"/>
        <item m="1" x="264"/>
        <item x="20"/>
        <item x="29"/>
        <item x="45"/>
        <item m="1" x="122"/>
        <item m="1" x="234"/>
        <item m="1" x="263"/>
        <item m="1" x="227"/>
        <item x="38"/>
        <item m="1" x="236"/>
        <item x="0"/>
        <item m="1" x="165"/>
        <item x="51"/>
        <item m="1" x="117"/>
        <item m="1" x="291"/>
        <item m="1" x="196"/>
        <item m="1" x="220"/>
        <item m="1" x="124"/>
        <item m="1" x="147"/>
        <item m="1" x="188"/>
        <item m="1" x="163"/>
        <item x="19"/>
        <item m="1" x="323"/>
        <item m="1" x="281"/>
        <item x="81"/>
        <item x="12"/>
        <item m="1" x="131"/>
        <item m="1" x="284"/>
        <item m="1" x="190"/>
        <item m="1" x="155"/>
        <item x="36"/>
        <item m="1" x="329"/>
        <item m="1" x="169"/>
        <item m="1" x="192"/>
        <item m="1" x="256"/>
        <item m="1" x="173"/>
        <item m="1" x="222"/>
        <item x="23"/>
        <item x="91"/>
        <item x="103"/>
        <item m="1" x="141"/>
        <item x="33"/>
        <item x="95"/>
        <item m="1" x="206"/>
        <item m="1" x="200"/>
        <item x="62"/>
        <item m="1" x="311"/>
        <item m="1" x="210"/>
        <item x="31"/>
        <item m="1" x="129"/>
        <item x="74"/>
        <item x="4"/>
        <item x="30"/>
        <item m="1" x="150"/>
        <item m="1" x="251"/>
        <item x="70"/>
        <item x="96"/>
        <item m="1" x="302"/>
        <item x="75"/>
        <item x="14"/>
        <item m="1" x="295"/>
        <item x="86"/>
        <item m="1" x="259"/>
        <item m="1" x="326"/>
        <item x="17"/>
        <item x="26"/>
        <item x="98"/>
        <item x="78"/>
        <item m="1" x="306"/>
        <item x="93"/>
        <item m="1" x="176"/>
        <item m="1" x="153"/>
        <item x="37"/>
        <item m="1" x="307"/>
        <item x="43"/>
        <item x="106"/>
        <item x="56"/>
        <item x="64"/>
        <item m="1" x="171"/>
        <item x="54"/>
        <item m="1" x="293"/>
        <item x="52"/>
        <item m="1" x="231"/>
        <item x="76"/>
        <item x="1"/>
        <item x="15"/>
        <item x="46"/>
        <item x="99"/>
        <item x="77"/>
        <item x="71"/>
        <item x="42"/>
        <item x="21"/>
        <item x="7"/>
        <item x="16"/>
        <item m="1" x="260"/>
        <item x="28"/>
        <item x="55"/>
        <item x="89"/>
        <item x="88"/>
        <item x="40"/>
        <item x="82"/>
        <item x="53"/>
        <item x="35"/>
        <item x="58"/>
        <item m="1" x="223"/>
        <item x="61"/>
        <item x="63"/>
        <item x="101"/>
        <item x="9"/>
        <item x="32"/>
        <item x="87"/>
        <item x="90"/>
        <item x="25"/>
        <item x="41"/>
        <item x="67"/>
        <item x="18"/>
        <item x="39"/>
        <item x="49"/>
        <item x="107"/>
        <item x="92"/>
        <item m="1" x="241"/>
        <item x="47"/>
        <item x="3"/>
        <item m="1" x="217"/>
        <item m="1" x="273"/>
        <item x="13"/>
        <item x="65"/>
      </items>
    </pivotField>
    <pivotField dataField="1" showAll="0" defaultSubtotal="0">
      <items count="4434">
        <item m="1" x="3906"/>
        <item m="1" x="813"/>
        <item m="1" x="3581"/>
        <item m="1" x="829"/>
        <item m="1" x="2830"/>
        <item m="1" x="455"/>
        <item m="1" x="2489"/>
        <item m="1" x="87"/>
        <item m="1" x="2136"/>
        <item m="1" x="4157"/>
        <item m="1" x="1794"/>
        <item m="1" x="3889"/>
        <item m="1" x="1699"/>
        <item m="1" x="475"/>
        <item m="1" x="1527"/>
        <item m="1" x="1758"/>
        <item m="1" x="2518"/>
        <item m="1" x="3885"/>
        <item m="1" x="3528"/>
        <item m="1" x="113"/>
        <item m="1" x="4143"/>
        <item m="1" x="1162"/>
        <item m="1" x="2812"/>
        <item m="1" x="2161"/>
        <item m="1" x="2882"/>
        <item m="1" x="788"/>
        <item m="1" x="3150"/>
        <item m="1" x="4179"/>
        <item m="1" x="774"/>
        <item m="1" x="1813"/>
        <item m="1" x="975"/>
        <item m="1" x="1622"/>
        <item m="1" x="2787"/>
        <item m="1" x="3809"/>
        <item m="1" x="386"/>
        <item m="1" x="1432"/>
        <item m="1" x="2439"/>
        <item m="1" x="3454"/>
        <item m="1" x="1717"/>
        <item m="1" x="37"/>
        <item m="1" x="1216"/>
        <item m="1" x="1090"/>
        <item m="1" x="2087"/>
        <item m="1" x="3073"/>
        <item m="1" x="2224"/>
        <item m="1" x="4110"/>
        <item m="1" x="291"/>
        <item m="1" x="795"/>
        <item m="1" x="4137"/>
        <item m="1" x="1073"/>
        <item m="1" x="1742"/>
        <item m="1" x="874"/>
        <item m="1" x="2963"/>
        <item m="1" x="1830"/>
        <item m="1" x="2320"/>
        <item m="1" x="2071"/>
        <item m="1" x="462"/>
        <item m="1" x="2805"/>
        <item m="1" x="677"/>
        <item m="1" x="4013"/>
        <item m="1" x="1905"/>
        <item m="1" x="3061"/>
        <item m="1" x="3044"/>
        <item m="1" x="3830"/>
        <item m="1" x="4095"/>
        <item m="1" x="3882"/>
        <item m="1" x="415"/>
        <item m="1" x="680"/>
        <item m="1" x="139"/>
        <item m="1" x="3122"/>
        <item m="1" x="1728"/>
        <item m="1" x="246"/>
        <item m="1" x="3244"/>
        <item m="1" x="1456"/>
        <item m="1" x="368"/>
        <item m="1" x="3373"/>
        <item m="1" x="1955"/>
        <item m="1" x="512"/>
        <item m="1" x="1720"/>
        <item m="1" x="2987"/>
        <item m="1" x="2089"/>
        <item m="1" x="2210"/>
        <item m="1" x="2462"/>
        <item m="1" x="766"/>
        <item m="1" x="3743"/>
        <item m="1" x="137"/>
        <item m="1" x="2330"/>
        <item m="1" x="883"/>
        <item m="1" x="2692"/>
        <item m="1" x="1028"/>
        <item m="1" x="3986"/>
        <item m="1" x="3790"/>
        <item m="1" x="2558"/>
        <item m="1" x="2969"/>
        <item m="1" x="1160"/>
        <item m="1" x="3474"/>
        <item m="1" x="4127"/>
        <item m="1" x="3219"/>
        <item m="1" x="2794"/>
        <item m="1" x="4230"/>
        <item m="1" x="1388"/>
        <item m="1" x="4351"/>
        <item m="1" x="2900"/>
        <item m="1" x="1415"/>
        <item m="1" x="61"/>
        <item m="1" x="4081"/>
        <item m="1" x="3043"/>
        <item m="1" x="1652"/>
        <item m="1" x="2283"/>
        <item m="1" x="1420"/>
        <item m="1" x="3815"/>
        <item m="1" x="827"/>
        <item m="1" x="3981"/>
        <item m="1" x="944"/>
        <item m="1" x="3934"/>
        <item m="1" x="1110"/>
        <item m="1" x="1100"/>
        <item m="1" x="431"/>
        <item m="1" x="2984"/>
        <item m="1" x="1225"/>
        <item m="1" x="1858"/>
        <item m="1" x="4180"/>
        <item m="1" x="3661"/>
        <item m="1" x="2726"/>
        <item m="1" x="2179"/>
        <item m="1" x="1334"/>
        <item m="1" x="4288"/>
        <item m="1" x="2105"/>
        <item m="1" x="4419"/>
        <item m="1" x="688"/>
        <item m="1" x="2962"/>
        <item m="1" x="1584"/>
        <item m="1" x="720"/>
        <item m="1" x="124"/>
        <item m="1" x="2827"/>
        <item m="1" x="3103"/>
        <item m="1" x="348"/>
        <item m="1" x="4026"/>
        <item m="1" x="3217"/>
        <item m="1" x="1831"/>
        <item m="1" x="3094"/>
        <item m="1" x="354"/>
        <item m="1" x="3350"/>
        <item m="1" x="2299"/>
        <item m="1" x="486"/>
        <item m="1" x="3599"/>
        <item m="1" x="2886"/>
        <item m="1" x="3490"/>
        <item m="1" x="3864"/>
        <item m="1" x="2060"/>
        <item m="1" x="620"/>
        <item m="1" x="3606"/>
        <item m="1" x="2186"/>
        <item m="1" x="742"/>
        <item m="1" x="4128"/>
        <item m="1" x="3894"/>
        <item m="1" x="863"/>
        <item m="1" x="3879"/>
        <item m="1" x="1115"/>
        <item m="1" x="3849"/>
        <item m="1" x="2428"/>
        <item m="1" x="452"/>
        <item m="1" x="1001"/>
        <item m="1" x="3967"/>
        <item m="1" x="2500"/>
        <item m="1" x="717"/>
        <item m="1" x="2652"/>
        <item m="1" x="1269"/>
        <item m="1" x="3741"/>
        <item m="1" x="4218"/>
        <item m="1" x="2778"/>
        <item m="1" x="1363"/>
        <item m="1" x="1504"/>
        <item m="1" x="2880"/>
        <item m="1" x="1997"/>
        <item m="1" x="549"/>
        <item m="1" x="2564"/>
        <item m="1" x="3547"/>
        <item m="1" x="1752"/>
        <item m="1" x="1861"/>
        <item m="1" x="2117"/>
        <item m="1" x="2242"/>
        <item m="1" x="1398"/>
        <item m="1" x="807"/>
        <item m="1" x="2487"/>
        <item m="1" x="3784"/>
        <item m="1" x="2363"/>
        <item m="1" x="915"/>
        <item m="1" x="2723"/>
        <item m="1" x="2828"/>
        <item m="1" x="4022"/>
        <item m="1" x="2588"/>
        <item m="1" x="1203"/>
        <item m="1" x="3511"/>
        <item m="1" x="3964"/>
        <item m="1" x="266"/>
        <item m="1" x="1424"/>
        <item m="1" x="3752"/>
        <item m="1" x="4394"/>
        <item m="1" x="2937"/>
        <item m="1" x="1429"/>
        <item m="1" x="3081"/>
        <item m="1" x="85"/>
        <item m="1" x="3504"/>
        <item m="1" x="211"/>
        <item m="1" x="3197"/>
        <item m="1" x="4224"/>
        <item m="1" x="1811"/>
        <item m="1" x="3826"/>
        <item m="1" x="331"/>
        <item m="1" x="466"/>
        <item m="1" x="2995"/>
        <item m="1" x="3604"/>
        <item m="1" x="3852"/>
        <item m="1" x="2038"/>
        <item m="1" x="1136"/>
        <item m="1" x="3919"/>
        <item m="1" x="719"/>
        <item m="1" x="3701"/>
        <item m="1" x="1376"/>
        <item m="1" x="2290"/>
        <item m="1" x="845"/>
        <item m="1" x="3828"/>
        <item m="1" x="3607"/>
        <item m="1" x="2030"/>
        <item m="1" x="177"/>
        <item m="1" x="2135"/>
        <item m="1" x="3946"/>
        <item m="1" x="1280"/>
        <item m="1" x="2526"/>
        <item m="1" x="259"/>
        <item m="1" x="1120"/>
        <item m="1" x="154"/>
        <item m="1" x="2512"/>
        <item m="1" x="3140"/>
        <item m="1" x="2387"/>
        <item m="1" x="3289"/>
        <item m="1" x="176"/>
        <item m="1" x="4045"/>
        <item m="1" x="1814"/>
        <item m="1" x="1864"/>
        <item m="1" x="390"/>
        <item m="1" x="3129"/>
        <item m="1" x="3397"/>
        <item m="1" x="1967"/>
        <item m="1" x="559"/>
        <item m="1" x="2100"/>
        <item m="1" x="3393"/>
        <item m="1" x="2765"/>
        <item m="1" x="2777"/>
        <item m="1" x="3892"/>
        <item m="1" x="1404"/>
        <item m="1" x="4156"/>
        <item m="1" x="895"/>
        <item m="1" x="2236"/>
        <item m="1" x="3890"/>
        <item m="1" x="948"/>
        <item m="1" x="4402"/>
        <item m="1" x="3823"/>
        <item m="1" x="4136"/>
        <item m="1" x="2686"/>
        <item m="1" x="750"/>
        <item m="1" x="1294"/>
        <item m="1" x="4258"/>
        <item m="1" x="3536"/>
        <item m="1" x="2809"/>
        <item m="1" x="1538"/>
        <item m="1" x="270"/>
        <item m="1" x="1019"/>
        <item m="1" x="1542"/>
        <item m="1" x="1656"/>
        <item m="1" x="3098"/>
        <item m="1" x="2644"/>
        <item m="1" x="3058"/>
        <item m="1" x="1663"/>
        <item m="1" x="1791"/>
        <item m="1" x="1724"/>
        <item m="1" x="1995"/>
        <item m="1" x="3939"/>
        <item m="1" x="3481"/>
        <item m="1" x="547"/>
        <item m="1" x="2124"/>
        <item m="1" x="2056"/>
        <item m="1" x="3546"/>
        <item m="1" x="2407"/>
        <item m="1" x="3212"/>
        <item m="1" x="3601"/>
        <item m="1" x="1062"/>
        <item m="1" x="2492"/>
        <item m="1" x="673"/>
        <item m="1" x="2184"/>
        <item m="1" x="735"/>
        <item m="1" x="2370"/>
        <item m="1" x="631"/>
        <item m="1" x="802"/>
        <item m="1" x="2311"/>
        <item m="1" x="3618"/>
        <item m="1" x="4278"/>
        <item m="1" x="858"/>
        <item m="1" x="2728"/>
        <item m="1" x="3032"/>
        <item m="1" x="4301"/>
        <item m="1" x="2422"/>
        <item m="1" x="3910"/>
        <item m="1" x="3118"/>
        <item m="1" x="3721"/>
        <item m="1" x="997"/>
        <item m="1" x="252"/>
        <item m="1" x="2475"/>
        <item m="1" x="3617"/>
        <item m="1" x="3962"/>
        <item m="1" x="556"/>
        <item m="1" x="384"/>
        <item m="1" x="3513"/>
        <item m="1" x="4020"/>
        <item m="1" x="1131"/>
        <item m="1" x="2587"/>
        <item m="1" x="4102"/>
        <item m="1" x="2351"/>
        <item m="1" x="1202"/>
        <item m="1" x="3369"/>
        <item m="1" x="2460"/>
        <item m="1" x="2391"/>
        <item m="1" x="1261"/>
        <item m="1" x="1320"/>
        <item m="1" x="4211"/>
        <item m="1" x="3757"/>
        <item m="1" x="481"/>
        <item m="1" x="1310"/>
        <item m="1" x="4370"/>
        <item m="1" x="2776"/>
        <item m="1" x="986"/>
        <item m="1" x="1817"/>
        <item m="1" x="2825"/>
        <item m="1" x="4142"/>
        <item m="1" x="4325"/>
        <item m="1" x="2956"/>
        <item m="1" x="1423"/>
        <item m="1" x="2875"/>
        <item m="1" x="2982"/>
        <item m="1" x="89"/>
        <item m="1" x="921"/>
        <item m="1" x="1562"/>
        <item m="1" x="1154"/>
        <item m="1" x="3191"/>
        <item m="1" x="3013"/>
        <item m="1" x="92"/>
        <item m="1" x="4382"/>
        <item m="1" x="1623"/>
        <item m="1" x="3117"/>
        <item m="1" x="1195"/>
        <item m="1" x="1685"/>
        <item m="1" x="3141"/>
        <item m="1" x="333"/>
        <item m="1" x="210"/>
        <item m="1" x="809"/>
        <item m="1" x="1741"/>
        <item m="1" x="3196"/>
        <item m="1" x="853"/>
        <item m="1" x="734"/>
        <item m="1" x="3259"/>
        <item m="1" x="329"/>
        <item m="1" x="1867"/>
        <item m="1" x="179"/>
        <item m="1" x="3324"/>
        <item m="1" x="3597"/>
        <item m="1" x="394"/>
        <item m="1" x="1138"/>
        <item m="1" x="2782"/>
        <item m="1" x="1970"/>
        <item m="1" x="3464"/>
        <item m="1" x="1003"/>
        <item m="1" x="1878"/>
        <item m="1" x="529"/>
        <item m="1" x="786"/>
        <item m="1" x="2393"/>
        <item m="1" x="2543"/>
        <item m="1" x="2198"/>
        <item m="1" x="2584"/>
        <item m="1" x="1378"/>
        <item m="1" x="439"/>
        <item m="1" x="2156"/>
        <item m="1" x="4098"/>
        <item m="1" x="1197"/>
        <item m="1" x="3407"/>
        <item m="1" x="2642"/>
        <item m="1" x="2115"/>
        <item m="1" x="4152"/>
        <item m="1" x="1775"/>
        <item m="1" x="2483"/>
        <item m="1" x="3459"/>
        <item m="1" x="1900"/>
        <item m="1" x="1306"/>
        <item m="1" x="2770"/>
        <item m="1" x="777"/>
        <item m="1" x="4271"/>
        <item m="1" x="2138"/>
        <item m="1" x="1353"/>
        <item m="1" x="380"/>
        <item m="1" x="4047"/>
        <item m="1" x="1417"/>
        <item m="1" x="2872"/>
        <item m="1" x="2011"/>
        <item m="1" x="4387"/>
        <item m="1" x="4286"/>
        <item m="1" x="1493"/>
        <item m="1" x="1168"/>
        <item m="1" x="2931"/>
        <item m="1" x="3443"/>
        <item m="1" x="3518"/>
        <item m="1" x="3774"/>
        <item m="1" x="2390"/>
        <item m="1" x="3493"/>
        <item m="1" x="3008"/>
        <item m="1" x="1693"/>
        <item m="1" x="3252"/>
        <item m="1" x="637"/>
        <item m="1" x="88"/>
        <item m="1" x="1620"/>
        <item m="1" x="370"/>
        <item m="1" x="3075"/>
        <item m="1" x="44"/>
        <item m="1" x="150"/>
        <item m="1" x="2745"/>
        <item m="1" x="2716"/>
        <item m="1" x="3023"/>
        <item m="1" x="205"/>
        <item m="1" x="2371"/>
        <item m="1" x="3192"/>
        <item m="1" x="3133"/>
        <item m="1" x="260"/>
        <item m="1" x="1805"/>
        <item m="1" x="564"/>
        <item m="1" x="1340"/>
        <item m="1" x="1021"/>
        <item m="1" x="1860"/>
        <item m="1" x="2996"/>
        <item m="1" x="3319"/>
        <item m="1" x="387"/>
        <item m="1" x="4318"/>
        <item m="1" x="75"/>
        <item m="1" x="3395"/>
        <item m="1" x="964"/>
        <item m="1" x="3398"/>
        <item m="1" x="392"/>
        <item m="1" x="4170"/>
        <item m="1" x="3462"/>
        <item m="1" x="526"/>
        <item m="1" x="4338"/>
        <item m="1" x="1472"/>
        <item m="1" x="2031"/>
        <item m="1" x="3770"/>
        <item m="1" x="1020"/>
        <item m="1" x="4103"/>
        <item m="1" x="3522"/>
        <item m="1" x="3449"/>
        <item m="1" x="2160"/>
        <item m="1" x="4159"/>
        <item m="1" x="4199"/>
        <item m="1" x="4019"/>
        <item m="1" x="3037"/>
        <item m="1" x="3758"/>
        <item m="1" x="930"/>
        <item m="1" x="1960"/>
        <item m="1" x="2343"/>
        <item m="1" x="814"/>
        <item m="1" x="2550"/>
        <item m="1" x="4408"/>
        <item m="1" x="3616"/>
        <item m="1" x="3785"/>
        <item m="1" x="2155"/>
        <item m="1" x="923"/>
        <item m="1" x="2522"/>
        <item m="1" x="4303"/>
        <item m="1" x="353"/>
        <item m="1" x="3880"/>
        <item m="1" x="738"/>
        <item m="1" x="133"/>
        <item m="1" x="859"/>
        <item m="1" x="1114"/>
        <item m="1" x="1167"/>
        <item m="1" x="754"/>
        <item m="1" x="2116"/>
        <item m="1" x="4075"/>
        <item m="1" x="2617"/>
        <item m="1" x="1159"/>
        <item m="1" x="3390"/>
        <item m="1" x="3251"/>
        <item m="1" x="2684"/>
        <item m="1" x="4197"/>
        <item m="1" x="1328"/>
        <item m="1" x="2218"/>
        <item m="1" x="2575"/>
        <item m="1" x="1024"/>
        <item m="1" x="4145"/>
        <item m="1" x="418"/>
        <item m="1" x="793"/>
        <item m="1" x="1397"/>
        <item m="1" x="1394"/>
        <item m="1" x="993"/>
        <item m="1" x="4363"/>
        <item m="1" x="522"/>
        <item m="1" x="3591"/>
        <item m="1" x="6"/>
        <item m="1" x="1795"/>
        <item m="1" x="2713"/>
        <item m="1" x="1213"/>
        <item m="1" x="1541"/>
        <item m="1" x="3158"/>
        <item m="1" x="3034"/>
        <item m="1" x="3198"/>
        <item m="1" x="586"/>
        <item m="1" x="1603"/>
        <item m="1" x="138"/>
        <item m="1" x="2158"/>
        <item m="1" x="107"/>
        <item m="1" x="1140"/>
        <item m="1" x="3120"/>
        <item m="1" x="3600"/>
        <item m="1" x="4034"/>
        <item m="1" x="3933"/>
        <item m="1" x="2028"/>
        <item m="1" x="1339"/>
        <item m="1" x="200"/>
        <item m="1" x="1762"/>
        <item m="1" x="2203"/>
        <item m="1" x="2405"/>
        <item m="1" x="2835"/>
        <item m="1" x="889"/>
        <item m="1" x="188"/>
        <item m="1" x="1611"/>
        <item m="1" x="2484"/>
        <item m="1" x="1790"/>
        <item m="1" x="836"/>
        <item m="1" x="783"/>
        <item m="1" x="2771"/>
        <item m="1" x="4315"/>
        <item m="1" x="4225"/>
        <item m="1" x="3294"/>
        <item m="1" x="2922"/>
        <item m="1" x="3148"/>
        <item m="1" x="3786"/>
        <item m="1" x="3998"/>
        <item m="1" x="1211"/>
        <item m="1" x="568"/>
        <item m="1" x="3492"/>
        <item m="1" x="854"/>
        <item m="1" x="1172"/>
        <item m="1" x="3019"/>
        <item m="1" x="1916"/>
        <item m="1" x="377"/>
        <item m="1" x="1632"/>
        <item m="1" x="3414"/>
        <item m="1" x="1291"/>
        <item m="1" x="3920"/>
        <item m="1" x="3550"/>
        <item m="1" x="4251"/>
        <item m="1" x="2628"/>
        <item m="1" x="3731"/>
        <item m="1" x="1029"/>
        <item m="1" x="3791"/>
        <item m="1" x="868"/>
        <item m="1" x="2052"/>
        <item m="1" x="4006"/>
        <item m="1" x="2163"/>
        <item m="1" x="4176"/>
        <item m="1" x="2247"/>
        <item m="1" x="1679"/>
        <item m="1" x="3059"/>
        <item m="1" x="2514"/>
        <item m="1" x="3523"/>
        <item m="1" x="1712"/>
        <item m="1" x="71"/>
        <item m="1" x="4041"/>
        <item m="1" x="592"/>
        <item m="1" x="1600"/>
        <item m="1" x="2379"/>
        <item m="1" x="3608"/>
        <item m="1" x="1688"/>
        <item m="1" x="2349"/>
        <item m="1" x="4426"/>
        <item m="1" x="1343"/>
        <item m="1" x="671"/>
        <item m="1" x="1721"/>
        <item m="1" x="2582"/>
        <item m="1" x="3174"/>
        <item m="1" x="759"/>
        <item m="1" x="3702"/>
        <item m="1" x="141"/>
        <item m="1" x="1782"/>
        <item m="1" x="365"/>
        <item m="1" x="3605"/>
        <item m="1" x="416"/>
        <item m="1" x="2804"/>
        <item m="1" x="3760"/>
        <item m="1" x="3303"/>
        <item m="1" x="867"/>
        <item m="1" x="771"/>
        <item m="1" x="3290"/>
        <item m="1" x="441"/>
        <item m="1" x="15"/>
        <item m="1" x="2034"/>
        <item m="1" x="2364"/>
        <item m="1" x="3016"/>
        <item m="1" x="641"/>
        <item m="1" x="228"/>
        <item m="1" x="4162"/>
        <item m="1" x="2012"/>
        <item m="1" x="1405"/>
        <item m="1" x="3502"/>
        <item m="1" x="3399"/>
        <item m="1" x="1046"/>
        <item m="1" x="1646"/>
        <item m="1" x="86"/>
        <item m="1" x="2421"/>
        <item m="1" x="325"/>
        <item m="1" x="2935"/>
        <item m="1" x="2824"/>
        <item m="1" x="3131"/>
        <item m="1" x="32"/>
        <item m="1" x="1411"/>
        <item m="1" x="784"/>
        <item m="1" x="2958"/>
        <item m="1" x="922"/>
        <item m="1" x="3274"/>
        <item m="1" x="3737"/>
        <item m="1" x="1809"/>
        <item m="1" x="3038"/>
        <item m="1" x="820"/>
        <item m="1" x="4343"/>
        <item m="1" x="2324"/>
        <item m="1" x="2571"/>
        <item m="1" x="3801"/>
        <item m="1" x="1036"/>
        <item m="1" x="4300"/>
        <item m="1" x="3076"/>
        <item m="1" x="875"/>
        <item m="1" x="1768"/>
        <item m="1" x="2377"/>
        <item m="1" x="1682"/>
        <item m="1" x="3096"/>
        <item m="1" x="1330"/>
        <item m="1" x="2070"/>
        <item m="1" x="70"/>
        <item m="1" x="2433"/>
        <item m="1" x="3782"/>
        <item m="1" x="3817"/>
        <item m="1" x="26"/>
        <item m="1" x="3929"/>
        <item m="1" x="1014"/>
        <item m="1" x="3425"/>
        <item m="1" x="2047"/>
        <item m="1" x="2496"/>
        <item m="1" x="2665"/>
        <item m="1" x="214"/>
        <item m="1" x="4125"/>
        <item m="1" x="1998"/>
        <item m="1" x="2736"/>
        <item m="1" x="926"/>
        <item m="1" x="570"/>
        <item m="1" x="1414"/>
        <item m="1" x="830"/>
        <item m="1" x="4043"/>
        <item m="1" x="2425"/>
        <item m="1" x="1148"/>
        <item m="1" x="2600"/>
        <item m="1" x="3899"/>
        <item m="1" x="2237"/>
        <item m="1" x="4122"/>
        <item m="1" x="3228"/>
        <item m="1" x="2763"/>
        <item m="1" x="2785"/>
        <item m="1" x="1011"/>
        <item m="1" x="1276"/>
        <item m="1" x="4320"/>
        <item m="1" x="3356"/>
        <item m="1" x="2720"/>
        <item m="1" x="1331"/>
        <item m="1" x="4147"/>
        <item m="1" x="4234"/>
        <item m="1" x="1318"/>
        <item m="1" x="1329"/>
        <item m="1" x="2658"/>
        <item m="1" x="2375"/>
        <item m="1" x="1119"/>
        <item m="1" x="1124"/>
        <item m="1" x="3360"/>
        <item m="1" x="3587"/>
        <item m="1" x="3896"/>
        <item m="1" x="3040"/>
        <item m="1" x="3151"/>
        <item m="1" x="3432"/>
        <item m="1" x="3936"/>
        <item m="1" x="2467"/>
        <item m="1" x="3662"/>
        <item m="1" x="3434"/>
        <item m="1" x="563"/>
        <item m="1" x="3537"/>
        <item m="1" x="3965"/>
        <item m="1" x="2076"/>
        <item m="1" x="2239"/>
        <item m="1" x="3561"/>
        <item m="1" x="2697"/>
        <item m="1" x="3835"/>
        <item m="1" x="2529"/>
        <item m="1" x="628"/>
        <item m="1" x="2505"/>
        <item m="1" x="1038"/>
        <item m="1" x="3806"/>
        <item m="1" x="2985"/>
        <item m="1" x="2074"/>
        <item m="1" x="4023"/>
        <item m="1" x="690"/>
        <item m="1" x="704"/>
        <item m="1" x="2197"/>
        <item m="1" x="1850"/>
        <item m="1" x="792"/>
        <item m="1" x="3668"/>
        <item m="1" x="2146"/>
        <item m="1" x="1135"/>
        <item m="1" x="753"/>
        <item m="1" x="3677"/>
        <item m="1" x="1981"/>
        <item m="1" x="2255"/>
        <item m="1" x="2556"/>
        <item m="1" x="4256"/>
        <item m="1" x="2174"/>
        <item m="1" x="2322"/>
        <item m="1" x="919"/>
        <item m="1" x="194"/>
        <item m="1" x="3797"/>
        <item m="1" x="1466"/>
        <item m="1" x="4068"/>
        <item m="1" x="872"/>
        <item m="1" x="946"/>
        <item m="1" x="2372"/>
        <item m="1" x="4009"/>
        <item m="1" x="610"/>
        <item m="1" x="3859"/>
        <item m="1" x="193"/>
        <item m="1" x="4177"/>
        <item m="1" x="591"/>
        <item m="1" x="924"/>
        <item m="1" x="400"/>
        <item m="1" x="519"/>
        <item m="1" x="3199"/>
        <item m="1" x="13"/>
        <item m="1" x="3927"/>
        <item m="1" x="1777"/>
        <item m="1" x="1183"/>
        <item m="1" x="1009"/>
        <item m="1" x="2527"/>
        <item m="1" x="2488"/>
        <item m="1" x="1359"/>
        <item m="1" x="3974"/>
        <item m="1" x="1091"/>
        <item m="1" x="383"/>
        <item m="1" x="1833"/>
        <item m="1" x="3109"/>
        <item m="1" x="3263"/>
        <item m="1" x="1873"/>
        <item m="1" x="2598"/>
        <item m="1" x="3479"/>
        <item m="1" x="4120"/>
        <item m="1" x="3916"/>
        <item m="1" x="253"/>
        <item m="1" x="1220"/>
        <item m="1" x="2663"/>
        <item m="1" x="4414"/>
        <item m="1" x="1583"/>
        <item m="1" x="1638"/>
        <item m="1" x="2733"/>
        <item m="1" x="2715"/>
        <item m="1" x="657"/>
        <item m="1" x="4231"/>
        <item m="1" x="2215"/>
        <item m="1" x="3408"/>
        <item m="1" x="3833"/>
        <item m="1" x="2786"/>
        <item m="1" x="206"/>
        <item m="1" x="3234"/>
        <item m="1" x="4282"/>
        <item m="1" x="159"/>
        <item m="1" x="304"/>
        <item m="1" x="1066"/>
        <item m="1" x="2795"/>
        <item m="1" x="4336"/>
        <item m="1" x="2508"/>
        <item m="1" x="535"/>
        <item m="1" x="1230"/>
        <item m="1" x="1440"/>
        <item m="1" x="1569"/>
        <item m="1" x="1846"/>
        <item m="1" x="440"/>
        <item m="1" x="876"/>
        <item m="1" x="4409"/>
        <item m="1" x="1427"/>
        <item m="1" x="1521"/>
        <item m="1" x="4183"/>
        <item m="1" x="2577"/>
        <item m="1" x="1121"/>
        <item m="1" x="550"/>
        <item m="1" x="3526"/>
        <item m="1" x="375"/>
        <item m="1" x="1578"/>
        <item m="1" x="2877"/>
        <item m="1" x="3035"/>
        <item m="1" x="1312"/>
        <item m="1" x="1439"/>
        <item m="1" x="108"/>
        <item m="1" x="1156"/>
        <item m="1" x="1639"/>
        <item m="1" x="1271"/>
        <item m="1" x="3092"/>
        <item m="1" x="4106"/>
        <item m="1" x="681"/>
        <item m="1" x="1054"/>
        <item m="1" x="1701"/>
        <item m="1" x="3156"/>
        <item m="1" x="1430"/>
        <item m="1" x="514"/>
        <item m="1" x="2507"/>
        <item m="1" x="219"/>
        <item m="1" x="886"/>
        <item m="1" x="3136"/>
        <item m="1" x="1757"/>
        <item m="1" x="2675"/>
        <item m="1" x="3264"/>
        <item m="1" x="3210"/>
        <item m="1" x="1262"/>
        <item m="1" x="287"/>
        <item m="1" x="2067"/>
        <item m="1" x="2506"/>
        <item m="1" x="3868"/>
        <item m="1" x="1585"/>
        <item m="1" x="115"/>
        <item m="1" x="636"/>
        <item m="1" x="343"/>
        <item m="1" x="499"/>
        <item m="1" x="1879"/>
        <item m="1" x="2586"/>
        <item m="1" x="1299"/>
        <item m="1" x="760"/>
        <item m="1" x="3341"/>
        <item m="1" x="2438"/>
        <item m="1" x="414"/>
        <item m="1" x="1978"/>
        <item m="1" x="823"/>
        <item m="1" x="1930"/>
        <item m="1" x="3624"/>
        <item m="1" x="1766"/>
        <item m="1" x="842"/>
        <item m="1" x="2801"/>
        <item m="1" x="1464"/>
        <item m="1" x="3477"/>
        <item m="1" x="240"/>
        <item m="1" x="544"/>
        <item m="1" x="2891"/>
        <item m="1" x="543"/>
        <item m="1" x="2051"/>
        <item m="1" x="3539"/>
        <item m="1" x="910"/>
        <item m="1" x="398"/>
        <item m="1" x="2673"/>
        <item m="1" x="1086"/>
        <item m="1" x="3569"/>
        <item m="1" x="3598"/>
        <item m="1" x="1123"/>
        <item m="1" x="2464"/>
        <item m="1" x="669"/>
        <item m="1" x="1923"/>
        <item m="1" x="970"/>
        <item m="1" x="2180"/>
        <item m="1" x="2307"/>
        <item m="1" x="4296"/>
        <item m="1" x="3651"/>
        <item m="1" x="3053"/>
        <item m="1" x="1977"/>
        <item m="1" x="731"/>
        <item m="1" x="502"/>
        <item m="1" x="4354"/>
        <item m="1" x="798"/>
        <item m="1" x="3261"/>
        <item m="1" x="2305"/>
        <item m="1" x="3451"/>
        <item m="1" x="3114"/>
        <item m="1" x="557"/>
        <item m="1" x="3777"/>
        <item m="1" x="1433"/>
        <item m="1" x="1882"/>
        <item m="1" x="2569"/>
        <item m="1" x="606"/>
        <item m="1" x="1633"/>
        <item m="1" x="3827"/>
        <item m="1" x="2187"/>
        <item m="1" x="3231"/>
        <item m="1" x="91"/>
        <item m="1" x="1589"/>
        <item m="1" x="1045"/>
        <item m="1" x="3764"/>
        <item m="1" x="1515"/>
        <item m="1" x="3820"/>
        <item m="1" x="1740"/>
        <item m="1" x="2949"/>
        <item m="1" x="46"/>
        <item m="1" x="3694"/>
        <item m="1" x="796"/>
        <item m="1" x="4386"/>
        <item m="1" x="186"/>
        <item m="1" x="2654"/>
        <item m="1" x="1799"/>
        <item m="1" x="103"/>
        <item m="1" x="1228"/>
        <item m="1" x="1065"/>
        <item m="1" x="105"/>
        <item m="1" x="1635"/>
        <item m="1" x="1540"/>
        <item m="1" x="3339"/>
        <item m="1" x="3087"/>
        <item m="1" x="313"/>
        <item m="1" x="4088"/>
        <item m="1" x="96"/>
        <item m="1" x="163"/>
        <item m="1" x="958"/>
        <item m="1" x="1599"/>
        <item m="1" x="1698"/>
        <item m="1" x="1772"/>
        <item m="1" x="152"/>
        <item m="1" x="279"/>
        <item m="1" x="3382"/>
        <item m="1" x="3622"/>
        <item m="1" x="1754"/>
        <item m="1" x="35"/>
        <item m="1" x="3209"/>
        <item m="1" x="280"/>
        <item m="1" x="322"/>
        <item m="1" x="4052"/>
        <item m="1" x="1689"/>
        <item m="1" x="1818"/>
        <item m="1" x="3924"/>
        <item m="1" x="3272"/>
        <item m="1" x="1696"/>
        <item m="1" x="337"/>
        <item m="1" x="408"/>
        <item m="1" x="3211"/>
        <item m="1" x="4298"/>
        <item m="1" x="3336"/>
        <item m="1" x="3532"/>
        <item m="1" x="2081"/>
        <item m="1" x="3070"/>
        <item m="1" x="407"/>
        <item m="1" x="1925"/>
        <item m="1" x="3025"/>
        <item m="1" x="3411"/>
        <item m="1" x="2310"/>
        <item m="1" x="271"/>
        <item m="1" x="476"/>
        <item m="1" x="4108"/>
        <item m="1" x="1285"/>
        <item m="1" x="2333"/>
        <item m="1" x="2504"/>
        <item m="1" x="571"/>
        <item m="1" x="1461"/>
        <item m="1" x="540"/>
        <item m="1" x="4403"/>
        <item m="1" x="4118"/>
        <item m="1" x="2048"/>
        <item m="1" x="674"/>
        <item m="1" x="3534"/>
        <item m="1" x="600"/>
        <item m="1" x="2965"/>
        <item m="1" x="2109"/>
        <item m="1" x="2702"/>
        <item m="1" x="1366"/>
        <item m="1" x="536"/>
        <item m="1" x="1088"/>
        <item m="1" x="2178"/>
        <item m="1" x="2032"/>
        <item m="1" x="3991"/>
        <item m="1" x="3648"/>
        <item m="1" x="477"/>
        <item m="1" x="727"/>
        <item m="1" x="846"/>
        <item m="1" x="1041"/>
        <item m="1" x="2229"/>
        <item m="1" x="3558"/>
        <item m="1" x="3331"/>
        <item m="1" x="3713"/>
        <item m="1" x="1448"/>
        <item m="1" x="396"/>
        <item m="1" x="957"/>
        <item m="1" x="2402"/>
        <item m="1" x="850"/>
        <item m="1" x="4104"/>
        <item m="1" x="99"/>
        <item m="1" x="2358"/>
        <item m="1" x="1332"/>
        <item m="1" x="3799"/>
        <item m="1" x="3839"/>
        <item m="1" x="2332"/>
        <item m="1" x="903"/>
        <item m="1" x="3529"/>
        <item m="1" x="4295"/>
        <item m="1" x="2414"/>
        <item m="1" x="4131"/>
        <item m="1" x="2660"/>
        <item m="1" x="992"/>
        <item m="1" x="1713"/>
        <item m="1" x="2468"/>
        <item m="1" x="3683"/>
        <item m="1" x="3954"/>
        <item m="1" x="2396"/>
        <item m="1" x="1826"/>
        <item m="1" x="1061"/>
        <item m="1" x="2534"/>
        <item m="1" x="2427"/>
        <item m="1" x="2254"/>
        <item m="1" x="2086"/>
        <item m="1" x="2497"/>
        <item m="1" x="639"/>
        <item m="1" x="3207"/>
        <item m="1" x="2580"/>
        <item m="1" x="4213"/>
        <item m="1" x="4094"/>
        <item m="1" x="2199"/>
        <item m="1" x="712"/>
        <item m="1" x="1194"/>
        <item m="1" x="3787"/>
        <item m="1" x="2637"/>
        <item m="1" x="2798"/>
        <item m="1" x="2454"/>
        <item m="1" x="425"/>
        <item m="1" x="4146"/>
        <item m="1" x="2020"/>
        <item m="1" x="2699"/>
        <item m="1" x="988"/>
        <item m="1" x="1733"/>
        <item m="1" x="1644"/>
        <item m="1" x="741"/>
        <item m="1" x="1303"/>
        <item m="1" x="3287"/>
        <item m="1" x="2335"/>
        <item m="1" x="2762"/>
        <item m="1" x="3371"/>
        <item m="1" x="4266"/>
        <item m="1" x="1436"/>
        <item m="1" x="3615"/>
        <item m="1" x="1352"/>
        <item m="1" x="132"/>
        <item m="1" x="2912"/>
        <item m="1" x="2119"/>
        <item m="1" x="2689"/>
        <item m="1" x="2331"/>
        <item m="1" x="308"/>
        <item m="1" x="1127"/>
        <item m="1" x="2868"/>
        <item m="1" x="2918"/>
        <item m="1" x="3972"/>
        <item m="1" x="1134"/>
        <item m="1" x="4380"/>
        <item m="1" x="4051"/>
        <item m="1" x="1491"/>
        <item m="1" x="3484"/>
        <item m="1" x="3153"/>
        <item m="1" x="2926"/>
        <item m="1" x="3072"/>
        <item m="1" x="1725"/>
        <item m="1" x="3003"/>
        <item m="1" x="1838"/>
        <item m="1" x="3940"/>
        <item m="1" x="80"/>
        <item m="1" x="2961"/>
        <item m="1" x="3299"/>
        <item m="1" x="2084"/>
        <item m="1" x="3185"/>
        <item m="1" x="841"/>
        <item m="1" x="1617"/>
        <item m="1" x="2990"/>
        <item m="1" x="4232"/>
        <item m="1" x="581"/>
        <item m="1" x="3302"/>
        <item m="1" x="2033"/>
        <item m="1" x="1892"/>
        <item m="1" x="3437"/>
        <item m="1" x="2412"/>
        <item m="1" x="2676"/>
        <item m="1" x="3975"/>
        <item m="1" x="3359"/>
        <item m="1" x="3577"/>
        <item m="1" x="1677"/>
        <item m="1" x="509"/>
        <item m="1" x="4204"/>
        <item m="1" x="434"/>
        <item m="1" x="882"/>
        <item m="1" x="3363"/>
        <item m="1" x="2219"/>
        <item m="1" x="201"/>
        <item m="1" x="3722"/>
        <item m="1" x="1744"/>
        <item m="1" x="1199"/>
        <item m="1" x="127"/>
        <item m="1" x="1735"/>
        <item m="1" x="3530"/>
        <item m="1" x="2365"/>
        <item m="1" x="3813"/>
        <item m="1" x="3370"/>
        <item m="1" x="3188"/>
        <item m="1" x="21"/>
        <item m="1" x="933"/>
        <item m="1" x="1514"/>
        <item m="1" x="2897"/>
        <item m="1" x="3496"/>
        <item m="1" x="3167"/>
        <item m="1" x="2272"/>
        <item m="1" x="1452"/>
        <item m="1" x="1803"/>
        <item m="1" x="3744"/>
        <item m="1" x="560"/>
        <item m="1" x="665"/>
        <item m="1" x="2072"/>
        <item m="1" x="3625"/>
        <item m="1" x="471"/>
        <item m="1" x="237"/>
        <item m="1" x="4417"/>
        <item m="1" x="3679"/>
        <item m="1" x="936"/>
        <item m="1" x="1856"/>
        <item m="1" x="3642"/>
        <item m="1" x="2321"/>
        <item m="1" x="625"/>
        <item m="1" x="2374"/>
        <item m="1" x="4016"/>
        <item m="1" x="510"/>
        <item m="1" x="3315"/>
        <item m="1" x="1518"/>
        <item m="1" x="409"/>
        <item m="1" x="1956"/>
        <item m="1" x="2635"/>
        <item m="1" x="2129"/>
        <item m="1" x="3620"/>
        <item m="1" x="381"/>
        <item m="1" x="4132"/>
        <item m="1" x="3714"/>
        <item m="1" x="2284"/>
        <item m="1" x="523"/>
        <item m="1" x="3515"/>
        <item m="1" x="687"/>
        <item m="1" x="1151"/>
        <item m="1" x="3388"/>
        <item m="1" x="1871"/>
        <item m="1" x="2193"/>
        <item m="1" x="4310"/>
        <item m="1" x="864"/>
        <item m="1" x="4071"/>
        <item m="1" x="458"/>
        <item m="1" x="2988"/>
        <item m="1" x="1565"/>
        <item m="1" x="3665"/>
        <item m="1" x="1431"/>
        <item m="1" x="4349"/>
        <item m="1" x="2347"/>
        <item m="1" x="3358"/>
        <item m="1" x="573"/>
        <item m="1" x="3524"/>
        <item m="1" x="4365"/>
        <item m="1" x="3997"/>
        <item m="1" x="857"/>
        <item m="1" x="2323"/>
        <item m="1" x="1252"/>
        <item m="1" x="3548"/>
        <item m="1" x="1889"/>
        <item m="1" x="2194"/>
        <item m="1" x="3203"/>
        <item m="1" x="1608"/>
        <item m="1" x="3729"/>
        <item m="1" x="17"/>
        <item m="1" x="623"/>
        <item m="1" x="1628"/>
        <item m="1" x="583"/>
        <item m="1" x="4244"/>
        <item m="1" x="4149"/>
        <item m="1" x="3794"/>
        <item m="1" x="3364"/>
        <item m="1" x="588"/>
        <item m="1" x="1951"/>
        <item m="1" x="2573"/>
        <item m="1" x="1594"/>
        <item m="1" x="4371"/>
        <item m="1" x="3631"/>
        <item m="1" x="871"/>
        <item m="1" x="3590"/>
        <item m="1" x="3254"/>
        <item m="1" x="1059"/>
        <item m="1" x="1750"/>
        <item m="1" x="1191"/>
        <item m="1" x="158"/>
        <item m="1" x="2646"/>
        <item m="1" x="3858"/>
        <item m="1" x="976"/>
        <item m="1" x="388"/>
        <item m="1" x="2630"/>
        <item m="1" x="2817"/>
        <item m="1" x="932"/>
        <item m="1" x="2810"/>
        <item m="1" x="1931"/>
        <item m="1" x="4144"/>
        <item m="1" x="1760"/>
        <item m="1" x="2740"/>
        <item m="1" x="180"/>
        <item m="1" x="3007"/>
        <item m="1" x="323"/>
        <item m="1" x="1206"/>
        <item m="1" x="3925"/>
        <item m="1" x="2939"/>
        <item m="1" x="2694"/>
        <item m="1" x="2252"/>
        <item m="1" x="1008"/>
        <item m="1" x="2913"/>
        <item m="1" x="772"/>
        <item m="1" x="3908"/>
        <item m="1" x="3654"/>
        <item m="1" x="4206"/>
        <item m="1" x="3811"/>
        <item m="1" x="1568"/>
        <item m="1" x="2486"/>
        <item m="1" x="2285"/>
        <item m="1" x="254"/>
        <item m="1" x="2418"/>
        <item m="1" x="3357"/>
        <item m="1" x="3767"/>
        <item m="1" x="49"/>
        <item m="1" x="1747"/>
        <item m="1" x="2759"/>
        <item m="1" x="4155"/>
        <item m="1" x="1087"/>
        <item m="1" x="3699"/>
        <item m="1" x="241"/>
        <item m="1" x="3465"/>
        <item m="1" x="4265"/>
        <item m="1" x="358"/>
        <item m="1" x="723"/>
        <item m="1" x="4182"/>
        <item m="1" x="2548"/>
        <item m="1" x="1613"/>
        <item m="1" x="1350"/>
        <item m="1" x="1737"/>
        <item m="1" x="2606"/>
        <item m="1" x="428"/>
        <item m="1" x="2080"/>
        <item m="1" x="1821"/>
        <item m="1" x="295"/>
        <item m="1" x="2975"/>
        <item m="1" x="1142"/>
        <item m="1" x="2881"/>
        <item m="1" x="3444"/>
        <item m="1" x="660"/>
        <item m="1" x="4236"/>
        <item m="1" x="4238"/>
        <item m="1" x="4314"/>
        <item m="1" x="1837"/>
        <item m="1" x="1239"/>
        <item m="1" x="294"/>
        <item m="1" x="2597"/>
        <item m="1" x="1309"/>
        <item m="1" x="1410"/>
        <item m="1" x="1670"/>
        <item m="1" x="3480"/>
        <item m="1" x="4115"/>
        <item m="1" x="1661"/>
        <item m="1" x="2315"/>
        <item m="1" x="594"/>
        <item m="1" x="1212"/>
        <item m="1" x="2923"/>
        <item m="1" x="4376"/>
        <item m="1" x="2661"/>
        <item m="1" x="2360"/>
        <item m="1" x="3897"/>
        <item m="1" x="3768"/>
        <item m="1" x="66"/>
        <item m="1" x="1487"/>
        <item m="1" x="4275"/>
        <item m="1" x="4167"/>
        <item m="1" x="1618"/>
        <item m="1" x="1070"/>
        <item m="1" x="2924"/>
        <item m="1" x="1093"/>
        <item m="1" x="604"/>
        <item m="1" x="4292"/>
        <item m="1" x="3829"/>
        <item m="1" x="1574"/>
        <item m="1" x="2821"/>
        <item m="1" x="3565"/>
        <item m="1" x="4239"/>
        <item m="1" x="2714"/>
        <item m="1" x="1552"/>
        <item m="1" x="1412"/>
        <item m="1" x="996"/>
        <item m="1" x="148"/>
        <item m="1" x="3074"/>
        <item m="1" x="4227"/>
        <item m="1" x="3162"/>
        <item m="1" x="2991"/>
        <item m="1" x="4312"/>
        <item m="1" x="2997"/>
        <item m="1" x="2775"/>
        <item m="1" x="324"/>
        <item m="1" x="4063"/>
        <item m="1" x="1434"/>
        <item m="1" x="2175"/>
        <item m="1" x="63"/>
        <item m="1" x="1610"/>
        <item m="1" x="4280"/>
        <item m="1" x="4172"/>
        <item m="1" x="762"/>
        <item m="1" x="3068"/>
        <item m="1" x="374"/>
        <item m="1" x="1077"/>
        <item m="1" x="1374"/>
        <item m="1" x="4361"/>
        <item m="1" x="1567"/>
        <item m="1" x="3551"/>
        <item m="1" x="145"/>
        <item m="1" x="1369"/>
        <item m="1" x="2258"/>
        <item m="1" x="2453"/>
        <item m="1" x="3895"/>
        <item m="1" x="1297"/>
        <item m="1" x="102"/>
        <item m="1" x="4334"/>
        <item m="1" x="2275"/>
        <item m="1" x="2755"/>
        <item m="1" x="3069"/>
        <item m="1" x="3132"/>
        <item m="1" x="3704"/>
        <item m="1" x="3540"/>
        <item m="1" x="1437"/>
        <item m="1" x="2905"/>
        <item m="1" x="1316"/>
        <item m="1" x="199"/>
        <item m="1" x="4422"/>
        <item m="1" x="2887"/>
        <item m="1" x="3135"/>
        <item m="1" x="3175"/>
        <item m="1" x="2925"/>
        <item m="1" x="4328"/>
        <item m="1" x="3036"/>
        <item m="1" x="3000"/>
        <item m="1" x="4269"/>
        <item m="1" x="3184"/>
        <item m="1" x="1765"/>
        <item m="1" x="1516"/>
        <item m="1" x="3126"/>
        <item m="1" x="1560"/>
        <item m="1" x="250"/>
        <item m="1" x="844"/>
        <item m="1" x="2482"/>
        <item m="1" x="4168"/>
        <item m="1" x="2950"/>
        <item m="1" x="4173"/>
        <item m="1" x="2953"/>
        <item m="1" x="1800"/>
        <item m="1" x="1919"/>
        <item m="1" x="3957"/>
        <item m="1" x="2143"/>
        <item m="1" x="4201"/>
        <item m="1" x="3531"/>
        <item m="1" x="1885"/>
        <item m="1" x="1706"/>
        <item m="1" x="2981"/>
        <item m="1" x="1384"/>
        <item m="1" x="2133"/>
        <item m="1" x="819"/>
        <item m="1" x="319"/>
        <item m="1" x="1806"/>
        <item m="1" x="446"/>
        <item m="1" x="1302"/>
        <item m="1" x="3011"/>
        <item m="1" x="3030"/>
        <item m="1" x="2682"/>
        <item m="1" x="51"/>
        <item m="1" x="1851"/>
        <item m="1" x="2130"/>
        <item m="1" x="106"/>
        <item m="1" x="134"/>
        <item m="1" x="4007"/>
        <item m="1" x="1987"/>
        <item m="1" x="81"/>
        <item m="1" x="1687"/>
        <item m="1" x="1553"/>
        <item m="1" x="376"/>
        <item m="1" x="959"/>
        <item m="1" x="909"/>
        <item m="1" x="2188"/>
        <item m="1" x="3090"/>
        <item m="1" x="1200"/>
        <item m="1" x="2069"/>
        <item m="1" x="1907"/>
        <item m="1" x="2420"/>
        <item m="1" x="2979"/>
        <item m="1" x="166"/>
        <item m="1" x="1634"/>
        <item m="1" x="955"/>
        <item m="1" x="4416"/>
        <item m="1" x="967"/>
        <item m="1" x="1486"/>
        <item m="1" x="3383"/>
        <item m="1" x="2846"/>
        <item m="1" x="4069"/>
        <item m="1" x="2002"/>
        <item m="1" x="3154"/>
        <item m="1" x="47"/>
        <item m="1" x="1957"/>
        <item m="1" x="977"/>
        <item m="1" x="950"/>
        <item m="1" x="1543"/>
        <item m="1" x="218"/>
        <item m="1" x="3574"/>
        <item m="1" x="2933"/>
        <item m="1" x="1825"/>
        <item m="1" x="347"/>
        <item m="1" x="3452"/>
        <item m="1" x="490"/>
        <item m="1" x="2306"/>
        <item m="1" x="156"/>
        <item m="1" x="2442"/>
        <item m="1" x="618"/>
        <item m="1" x="1551"/>
        <item m="1" x="579"/>
        <item m="1" x="4124"/>
        <item m="1" x="935"/>
        <item m="1" x="1034"/>
        <item m="1" x="338"/>
        <item m="1" x="3626"/>
        <item m="1" x="1040"/>
        <item m="1" x="553"/>
        <item m="1" x="2968"/>
        <item m="1" x="3886"/>
        <item m="1" x="208"/>
        <item m="1" x="2382"/>
        <item m="1" x="1221"/>
        <item m="1" x="2350"/>
        <item m="1" x="1097"/>
        <item m="1" x="42"/>
        <item m="1" x="3693"/>
        <item m="1" x="3947"/>
        <item m="1" x="3649"/>
        <item m="1" x="2930"/>
        <item m="1" x="340"/>
        <item m="1" x="2325"/>
        <item m="1" x="2559"/>
        <item m="1" x="3576"/>
        <item m="1" x="2126"/>
        <item m="1" x="1877"/>
        <item m="1" x="217"/>
        <item m="1" x="2707"/>
        <item m="1" x="1545"/>
        <item m="1" x="645"/>
        <item m="1" x="2287"/>
        <item m="1" x="2398"/>
        <item m="1" x="1482"/>
        <item m="1" x="2735"/>
        <item m="1" x="1994"/>
        <item m="1" x="2472"/>
        <item m="1" x="3508"/>
        <item m="1" x="3703"/>
        <item m="1" x="442"/>
        <item m="1" x="3486"/>
        <item m="1" x="605"/>
        <item m="1" x="3917"/>
        <item m="1" x="3656"/>
        <item m="1" x="3795"/>
        <item m="1" x="2677"/>
        <item m="1" x="546"/>
        <item m="1" x="2216"/>
        <item m="1" x="4357"/>
        <item m="1" x="1798"/>
        <item m="1" x="487"/>
        <item m="1" x="3472"/>
        <item m="1" x="2440"/>
        <item m="1" x="4189"/>
        <item m="1" x="288"/>
        <item m="1" x="3750"/>
        <item m="1" x="773"/>
        <item m="1" x="3121"/>
        <item m="1" x="3970"/>
        <item m="1" x="101"/>
        <item m="1" x="3542"/>
        <item m="1" x="2279"/>
        <item m="1" x="1095"/>
        <item m="1" x="654"/>
        <item m="1" x="3427"/>
        <item m="1" x="1083"/>
        <item m="1" x="984"/>
        <item m="1" x="262"/>
        <item m="1" x="3751"/>
        <item m="1" x="1986"/>
        <item m="1" x="2751"/>
        <item m="1" x="3772"/>
        <item m="1" x="670"/>
        <item m="1" x="3056"/>
        <item m="1" x="833"/>
        <item m="1" x="4216"/>
        <item m="1" x="4031"/>
        <item m="1" x="3804"/>
        <item m="1" x="542"/>
        <item m="1" x="2334"/>
        <item m="1" x="1703"/>
        <item m="1" x="1950"/>
        <item m="1" x="1137"/>
        <item m="1" x="2738"/>
        <item m="1" x="708"/>
        <item m="1" x="756"/>
        <item m="1" x="3816"/>
        <item m="1" x="3775"/>
        <item m="1" x="3186"/>
        <item m="1" x="2986"/>
        <item m="1" x="2593"/>
        <item m="1" x="877"/>
        <item m="1" x="525"/>
        <item m="1" x="2027"/>
        <item m="1" x="2035"/>
        <item m="1" x="1857"/>
        <item m="1" x="3005"/>
        <item m="1" x="1949"/>
        <item m="1" x="4112"/>
        <item m="1" x="2041"/>
        <item m="1" x="2853"/>
        <item m="1" x="4322"/>
        <item m="1" x="2394"/>
        <item m="1" x="2251"/>
        <item m="1" x="3337"/>
        <item m="1" x="1207"/>
        <item m="1" x="3455"/>
        <item m="1" x="2748"/>
        <item m="1" x="3497"/>
        <item m="1" x="3881"/>
        <item m="1" x="1937"/>
        <item m="1" x="2656"/>
        <item m="1" x="757"/>
        <item m="1" x="4133"/>
        <item m="1" x="1658"/>
        <item m="1" x="3874"/>
        <item m="1" x="4100"/>
        <item m="1" x="2373"/>
        <item m="1" x="2532"/>
        <item m="1" x="538"/>
        <item m="1" x="2451"/>
        <item m="1" x="3384"/>
        <item m="1" x="1272"/>
        <item m="1" x="335"/>
        <item m="1" x="3942"/>
        <item m="1" x="3400"/>
        <item m="1" x="4367"/>
        <item m="1" x="961"/>
        <item m="1" x="2712"/>
        <item m="1" x="356"/>
        <item m="1" x="2025"/>
        <item m="1" x="1035"/>
        <item m="1" x="281"/>
        <item m="1" x="1163"/>
        <item m="1" x="59"/>
        <item m="1" x="31"/>
        <item m="1" x="3311"/>
        <item m="1" x="1421"/>
        <item m="1" x="1913"/>
        <item m="1" x="1647"/>
        <item m="1" x="2043"/>
        <item m="1" x="1881"/>
        <item m="1" x="3995"/>
        <item m="1" x="1235"/>
        <item m="1" x="1607"/>
        <item m="1" x="2781"/>
        <item m="1" x="2466"/>
        <item m="1" x="3447"/>
        <item m="1" x="2094"/>
        <item m="1" x="1106"/>
        <item m="1" x="1368"/>
        <item m="1" x="3762"/>
        <item m="1" x="4277"/>
        <item m="1" x="326"/>
        <item m="1" x="397"/>
        <item m="1" x="1496"/>
        <item m="1" x="2302"/>
        <item m="1" x="3866"/>
        <item m="1" x="4066"/>
        <item m="1" x="1697"/>
        <item m="1" x="1783"/>
        <item m="1" x="2831"/>
        <item m="1" x="3698"/>
        <item m="1" x="1166"/>
        <item m="1" x="1731"/>
        <item m="1" x="366"/>
        <item m="1" x="4330"/>
        <item m="1" x="2960"/>
        <item m="1" x="157"/>
        <item m="1" x="1963"/>
        <item m="1" x="2082"/>
        <item m="1" x="2611"/>
        <item m="1" x="506"/>
        <item m="1" x="3500"/>
        <item m="1" x="54"/>
        <item m="1" x="3488"/>
        <item m="1" x="1477"/>
        <item m="1" x="767"/>
        <item m="1" x="1082"/>
        <item m="1" x="4148"/>
        <item m="1" x="2884"/>
        <item m="1" x="147"/>
        <item m="1" x="1234"/>
        <item m="1" x="4406"/>
        <item m="1" x="258"/>
        <item m="1" x="531"/>
        <item m="1" x="2679"/>
        <item m="1" x="3026"/>
        <item m="1" x="1382"/>
        <item m="1" x="213"/>
        <item m="1" x="1512"/>
        <item m="1" x="4093"/>
        <item m="1" x="3101"/>
        <item m="1" x="3780"/>
        <item m="1" x="4061"/>
        <item m="1" x="4344"/>
        <item m="1" x="1141"/>
        <item m="1" x="2016"/>
        <item m="1" x="1000"/>
        <item m="1" x="45"/>
        <item m="1" x="565"/>
        <item m="1" x="1796"/>
        <item m="1" x="4012"/>
        <item m="1" x="1576"/>
        <item m="1" x="4059"/>
        <item m="1" x="3482"/>
        <item m="1" x="548"/>
        <item m="1" x="4246"/>
        <item m="1" x="3077"/>
        <item m="1" x="3258"/>
        <item m="1" x="1069"/>
        <item m="1" x="3831"/>
        <item m="1" x="2208"/>
        <item m="1" x="3422"/>
        <item m="1" x="4404"/>
        <item m="1" x="3682"/>
        <item m="1" x="39"/>
        <item m="1" x="527"/>
        <item m="1" x="3012"/>
        <item m="1" x="3256"/>
        <item m="1" x="3807"/>
        <item m="1" x="3343"/>
        <item m="1" x="4359"/>
        <item m="1" x="2557"/>
        <item m="1" x="2262"/>
        <item m="1" x="2864"/>
        <item m="1" x="1196"/>
        <item m="1" x="3125"/>
        <item m="1" x="2999"/>
        <item m="1" x="4395"/>
        <item m="1" x="190"/>
        <item m="1" x="27"/>
        <item m="1" x="2338"/>
        <item m="1" x="1694"/>
        <item m="1" x="1820"/>
        <item m="1" x="4119"/>
        <item m="1" x="3478"/>
        <item m="1" x="143"/>
        <item m="1" x="4356"/>
        <item m="1" x="511"/>
        <item m="1" x="3756"/>
        <item m="1" x="1367"/>
        <item m="1" x="3215"/>
        <item m="1" x="3149"/>
        <item m="1" x="713"/>
        <item m="1" x="4326"/>
        <item m="1" x="2668"/>
        <item m="1" x="2455"/>
        <item m="1" x="521"/>
        <item m="1" x="1643"/>
        <item m="1" x="890"/>
        <item m="1" x="77"/>
        <item m="1" x="1999"/>
        <item m="1" x="2680"/>
        <item m="1" x="2664"/>
        <item m="1" x="4431"/>
        <item m="1" x="1683"/>
        <item m="1" x="4283"/>
        <item m="1" x="341"/>
        <item m="1" x="1268"/>
        <item m="1" x="2007"/>
        <item m="1" x="3134"/>
        <item m="1" x="1532"/>
        <item m="1" x="273"/>
        <item m="1" x="1771"/>
        <item m="1" x="1626"/>
        <item m="1" x="2297"/>
        <item m="1" x="1495"/>
        <item m="1" x="2710"/>
        <item m="1" x="971"/>
        <item m="1" x="282"/>
        <item m="1" x="3475"/>
        <item m="1" x="69"/>
        <item m="1" x="3658"/>
        <item m="1" x="1755"/>
        <item m="1" x="3269"/>
        <item m="1" x="4046"/>
        <item m="1" x="3009"/>
        <item m="1" x="1595"/>
        <item m="1" x="1102"/>
        <item m="1" x="1067"/>
        <item m="1" x="2792"/>
        <item m="1" x="1483"/>
        <item m="1" x="336"/>
        <item m="1" x="3948"/>
        <item m="1" x="2533"/>
        <item m="1" x="1475"/>
        <item m="1" x="1051"/>
        <item m="1" x="3050"/>
        <item m="1" x="743"/>
        <item m="1" x="3639"/>
        <item m="1" x="1282"/>
        <item m="1" x="2766"/>
        <item m="1" x="1324"/>
        <item m="1" x="4360"/>
        <item m="1" x="3335"/>
        <item m="1" x="3516"/>
        <item m="1" x="1654"/>
        <item m="1" x="4105"/>
        <item m="1" x="3368"/>
        <item m="1" x="404"/>
        <item m="1" x="678"/>
        <item m="1" x="2336"/>
        <item m="1" x="3116"/>
        <item m="1" x="711"/>
        <item m="1" x="1924"/>
        <item m="1" x="1012"/>
        <item m="1" x="3623"/>
        <item m="1" x="277"/>
        <item m="1" x="2811"/>
        <item m="1" x="1714"/>
        <item m="1" x="615"/>
        <item m="1" x="473"/>
        <item m="1" x="1048"/>
        <item m="1" x="3684"/>
        <item m="1" x="3727"/>
        <item m="1" x="405"/>
        <item m="1" x="1982"/>
        <item m="1" x="1533"/>
        <item m="1" x="768"/>
        <item m="1" x="207"/>
        <item m="1" x="1379"/>
        <item m="1" x="3332"/>
        <item m="1" x="865"/>
        <item m="1" x="1092"/>
        <item m="1" x="2501"/>
        <item m="1" x="178"/>
        <item m="1" x="2779"/>
        <item m="1" x="3052"/>
        <item m="1" x="2376"/>
        <item m="1" x="4307"/>
        <item m="1" x="3745"/>
        <item m="1" x="2253"/>
        <item m="1" x="2844"/>
        <item m="1" x="2223"/>
        <item m="1" x="2045"/>
        <item m="1" x="3958"/>
        <item m="1" x="4200"/>
        <item m="1" x="4087"/>
        <item m="1" x="831"/>
        <item m="1" x="2366"/>
        <item m="1" x="2618"/>
        <item m="1" x="1010"/>
        <item m="1" x="3533"/>
        <item m="1" x="684"/>
        <item m="1" x="3805"/>
        <item m="1" x="1125"/>
        <item m="1" x="3123"/>
        <item m="1" x="78"/>
        <item m="1" x="1044"/>
        <item m="1" x="3415"/>
        <item m="1" x="3814"/>
        <item m="1" x="1161"/>
        <item m="1" x="758"/>
        <item m="1" x="2108"/>
        <item m="1" x="184"/>
        <item m="1" x="931"/>
        <item m="1" x="1946"/>
        <item m="1" x="3592"/>
        <item m="1" x="884"/>
        <item m="1" x="4355"/>
        <item m="1" x="3278"/>
        <item m="1" x="3594"/>
        <item m="1" x="4432"/>
        <item m="1" x="2493"/>
        <item m="1" x="2388"/>
        <item m="1" x="1478"/>
        <item m="1" x="4129"/>
        <item m="1" x="65"/>
        <item m="1" x="3304"/>
        <item m="1" x="4057"/>
        <item m="1" x="2266"/>
        <item m="1" x="3681"/>
        <item m="1" x="1385"/>
        <item m="1" x="1263"/>
        <item m="1" x="3267"/>
        <item m="1" x="953"/>
        <item m="1" x="1469"/>
        <item m="1" x="3645"/>
        <item m="1" x="2137"/>
        <item m="1" x="900"/>
        <item m="1" x="1774"/>
        <item m="1" x="344"/>
        <item m="1" x="3875"/>
        <item m="1" x="1605"/>
        <item m="1" x="1335"/>
        <item m="1" x="2560"/>
        <item m="1" x="2750"/>
        <item m="1" x="2691"/>
        <item m="1" x="518"/>
        <item m="1" x="3873"/>
        <item m="1" x="691"/>
        <item m="1" x="451"/>
        <item m="1" x="3470"/>
        <item m="1" x="797"/>
        <item m="1" x="1640"/>
        <item m="1" x="2523"/>
        <item m="1" x="1784"/>
        <item m="1" x="2263"/>
        <item m="1" x="4263"/>
        <item m="1" x="4178"/>
        <item m="1" x="1823"/>
        <item m="1" x="301"/>
        <item m="1" x="3836"/>
        <item m="1" x="1257"/>
        <item m="1" x="3291"/>
        <item m="1" x="3949"/>
        <item m="1" x="2806"/>
        <item m="1" x="1085"/>
        <item m="1" x="2822"/>
        <item m="1" x="3239"/>
        <item m="1" x="2249"/>
        <item m="1" x="3419"/>
        <item m="1" x="1716"/>
        <item m="1" x="1179"/>
        <item m="1" x="785"/>
        <item m="1" x="2075"/>
        <item m="1" x="1032"/>
        <item m="1" x="4029"/>
        <item m="1" x="4017"/>
        <item m="1" x="3888"/>
        <item m="1" x="1602"/>
        <item m="1" x="1746"/>
        <item m="1" x="1655"/>
        <item m="1" x="1488"/>
        <item m="1" x="420"/>
        <item m="1" x="808"/>
        <item m="1" x="2485"/>
        <item m="1" x="2620"/>
        <item m="1" x="3320"/>
        <item m="1" x="1525"/>
        <item m="1" x="293"/>
        <item m="1" x="2196"/>
        <item m="1" x="1244"/>
        <item m="1" x="2120"/>
        <item m="1" x="1058"/>
        <item m="1" x="2465"/>
        <item m="1" x="2090"/>
        <item m="1" x="1052"/>
        <item m="1" x="3431"/>
        <item m="1" x="1935"/>
        <item m="1" x="3171"/>
        <item m="1" x="3489"/>
        <item m="1" x="2609"/>
        <item m="1" x="1547"/>
        <item m="1" x="694"/>
        <item m="1" x="626"/>
        <item m="1" x="1497"/>
        <item m="1" x="2535"/>
        <item m="1" x="843"/>
        <item m="1" x="1218"/>
        <item m="1" x="2019"/>
        <item m="1" x="1869"/>
        <item m="1" x="2176"/>
        <item m="1" x="682"/>
        <item m="1" x="2230"/>
        <item m="1" x="1934"/>
        <item m="1" x="1776"/>
        <item m="1" x="2291"/>
        <item m="1" x="507"/>
        <item m="1" x="2459"/>
        <item m="1" x="4123"/>
        <item m="1" x="4171"/>
        <item m="1" x="2688"/>
        <item m="1" x="3435"/>
        <item m="1" x="1254"/>
        <item m="1" x="2220"/>
        <item m="1" x="3930"/>
        <item m="1" x="2399"/>
        <item m="1" x="2607"/>
        <item m="1" x="4073"/>
        <item m="1" x="203"/>
        <item m="1" x="2238"/>
        <item m="1" x="1278"/>
        <item m="1" x="421"/>
        <item m="1" x="508"/>
        <item m="1" x="3911"/>
        <item m="1" x="2476"/>
        <item m="1" x="2340"/>
        <item m="1" x="2209"/>
        <item m="1" x="1076"/>
        <item m="1" x="3904"/>
        <item m="1" x="3042"/>
        <item m="1" x="144"/>
        <item m="1" x="4369"/>
        <item m="1" x="491"/>
        <item m="1" x="4056"/>
        <item m="1" x="1169"/>
        <item m="1" x="920"/>
        <item m="1" x="2270"/>
        <item m="1" x="3944"/>
        <item m="1" x="3247"/>
        <item m="1" x="2757"/>
        <item m="1" x="229"/>
        <item m="1" x="3549"/>
        <item m="1" x="686"/>
        <item m="1" x="183"/>
        <item m="1" x="1013"/>
        <item m="1" x="2145"/>
        <item m="1" x="4004"/>
        <item m="1" x="4078"/>
        <item m="1" x="1827"/>
        <item m="1" x="1727"/>
        <item m="1" x="2871"/>
        <item m="1" x="3394"/>
        <item m="1" x="2690"/>
        <item m="1" x="590"/>
        <item m="1" x="3525"/>
        <item m="1" x="2317"/>
        <item m="1" x="3010"/>
        <item m="1" x="3314"/>
        <item m="1" x="3110"/>
        <item m="1" x="2793"/>
        <item m="1" x="2820"/>
        <item m="1" x="4391"/>
        <item m="1" x="524"/>
        <item m="1" x="67"/>
        <item m="1" x="3792"/>
        <item m="1" x="111"/>
        <item m="1" x="2625"/>
        <item m="1" x="3753"/>
        <item m="1" x="3176"/>
        <item m="1" x="2341"/>
        <item m="1" x="2803"/>
        <item m="1" x="2572"/>
        <item m="1" x="1874"/>
        <item m="1" x="3235"/>
        <item m="1" x="4038"/>
        <item m="1" x="484"/>
        <item m="1" x="3673"/>
        <item m="1" x="3160"/>
        <item m="1" x="2381"/>
        <item m="1" x="1530"/>
        <item m="1" x="3078"/>
        <item m="1" x="4090"/>
        <item m="1" x="1126"/>
        <item m="1" x="2511"/>
        <item m="1" x="2836"/>
        <item m="1" x="2601"/>
        <item m="1" x="4121"/>
        <item m="1" x="4109"/>
        <item m="1" x="838"/>
        <item m="1" x="1792"/>
        <item m="1" x="1911"/>
        <item m="1" x="3006"/>
        <item m="1" x="4287"/>
        <item m="1" x="109"/>
        <item m="1" x="3204"/>
        <item m="1" x="1922"/>
        <item m="1" x="2852"/>
        <item m="1" x="3246"/>
        <item m="1" x="14"/>
        <item m="1" x="2641"/>
        <item m="1" x="1563"/>
        <item m="1" x="1959"/>
        <item m="1" x="3168"/>
        <item m="1" x="114"/>
        <item m="1" x="3245"/>
        <item m="1" x="2061"/>
        <item m="1" x="2874"/>
        <item m="1" x="1356"/>
        <item m="1" x="3473"/>
        <item m="1" x="3602"/>
        <item m="1" x="940"/>
        <item m="1" x="1627"/>
        <item m="1" x="1455"/>
        <item m="1" x="1528"/>
        <item m="1" x="3039"/>
        <item m="1" x="3555"/>
        <item m="1" x="2725"/>
        <item m="1" x="460"/>
        <item m="1" x="3255"/>
        <item m="1" x="121"/>
        <item m="1" x="2444"/>
        <item m="1" x="962"/>
        <item m="1" x="1441"/>
        <item m="1" x="3409"/>
        <item m="1" x="1854"/>
        <item m="1" x="2551"/>
        <item m="1" x="1165"/>
        <item m="1" x="2938"/>
        <item m="1" x="1265"/>
        <item m="1" x="160"/>
        <item m="1" x="624"/>
        <item m="1" x="492"/>
        <item m="1" x="2920"/>
        <item m="1" x="3446"/>
        <item m="1" x="1591"/>
        <item m="1" x="41"/>
        <item m="1" x="943"/>
        <item m="1" x="1523"/>
        <item m="1" x="839"/>
        <item m="1" x="3330"/>
        <item m="1" x="2799"/>
        <item m="1" x="2708"/>
        <item m="1" x="2623"/>
        <item m="1" x="1078"/>
        <item m="1" x="2131"/>
        <item m="1" x="268"/>
        <item m="1" x="824"/>
        <item m="1" x="1030"/>
        <item m="1" x="2554"/>
        <item m="1" x="2946"/>
        <item m="1" x="385"/>
        <item m="1" x="419"/>
        <item m="1" x="2227"/>
        <item m="1" x="4220"/>
        <item m="1" x="3778"/>
        <item m="1" x="744"/>
        <item m="1" x="1111"/>
        <item m="1" x="4346"/>
        <item m="1" x="1570"/>
        <item m="1" x="3049"/>
        <item m="1" x="1917"/>
        <item m="1" x="1321"/>
        <item m="1" x="4321"/>
        <item m="1" x="1460"/>
        <item m="1" x="1205"/>
        <item m="1" x="2839"/>
        <item m="1" x="697"/>
        <item m="1" x="3719"/>
        <item m="1" x="79"/>
        <item m="1" x="2205"/>
        <item m="1" x="1972"/>
        <item m="1" x="3403"/>
        <item m="1" x="4184"/>
        <item m="1" x="4"/>
        <item m="1" x="1904"/>
        <item m="1" x="649"/>
        <item m="1" x="4306"/>
        <item m="1" x="2162"/>
        <item m="1" x="2791"/>
        <item m="1" x="1616"/>
        <item m="1" x="3652"/>
        <item m="1" x="470"/>
        <item m="1" x="3853"/>
        <item m="1" x="4284"/>
        <item m="1" x="1550"/>
        <item m="1" x="3680"/>
        <item m="1" x="3071"/>
        <item m="1" x="3345"/>
        <item m="1" x="3711"/>
        <item m="1" x="2110"/>
        <item m="1" x="803"/>
        <item m="1" x="2928"/>
        <item m="1" x="4113"/>
        <item m="1" x="769"/>
        <item m="1" x="1079"/>
        <item m="1" x="1157"/>
        <item m="1" x="151"/>
        <item m="1" x="24"/>
        <item m="1" x="274"/>
        <item m="1" x="4385"/>
        <item m="1" x="4054"/>
        <item m="1" x="1893"/>
        <item m="1" x="2845"/>
        <item m="1" x="1400"/>
        <item m="1" x="4030"/>
        <item m="1" x="3351"/>
        <item m="1" x="2278"/>
        <item m="1" x="191"/>
        <item m="1" x="2761"/>
        <item m="1" x="170"/>
        <item m="1" x="4348"/>
        <item m="1" x="2936"/>
        <item m="1" x="848"/>
        <item m="1" x="2687"/>
        <item m="1" x="3755"/>
        <item m="1" x="1214"/>
        <item m="1" x="2678"/>
        <item m="1" x="57"/>
        <item m="1" x="3143"/>
        <item m="1" x="692"/>
        <item m="1" x="3669"/>
        <item m="1" x="1781"/>
        <item m="1" x="2545"/>
        <item m="1" x="2231"/>
        <item m="1" x="2746"/>
        <item m="1" x="1453"/>
        <item m="1" x="3647"/>
        <item m="1" x="2068"/>
        <item m="1" x="745"/>
        <item m="1" x="1510"/>
        <item m="1" x="68"/>
        <item m="1" x="4413"/>
        <item m="1" x="4040"/>
        <item m="1" x="2638"/>
        <item m="1" x="306"/>
        <item m="1" x="2649"/>
        <item m="1" x="4427"/>
        <item m="1" x="482"/>
        <item m="1" x="2907"/>
        <item m="1" x="2260"/>
        <item m="1" x="1264"/>
        <item m="1" x="3759"/>
        <item m="1" x="2345"/>
        <item m="1" x="4252"/>
        <item m="1" x="1748"/>
        <item m="1" x="3189"/>
        <item m="1" x="2741"/>
        <item m="1" x="2568"/>
        <item m="1" x="1150"/>
        <item m="1" x="2189"/>
        <item m="1" x="2546"/>
        <item m="1" x="1511"/>
        <item m="1" x="4341"/>
        <item m="1" x="3429"/>
        <item m="1" x="4410"/>
        <item m="1" x="4237"/>
        <item m="1" x="1756"/>
        <item m="1" x="3695"/>
        <item m="1" x="3869"/>
        <item m="1" x="3208"/>
        <item m="1" x="622"/>
        <item m="1" x="849"/>
        <item m="1" x="2605"/>
        <item m="1" x="3956"/>
        <item m="1" x="2919"/>
        <item m="1" x="1535"/>
        <item m="1" x="1300"/>
        <item m="1" x="122"/>
        <item m="1" x="361"/>
        <item m="1" x="898"/>
        <item m="1" x="1745"/>
        <item m="1" x="1722"/>
        <item m="1" x="284"/>
        <item m="1" x="2894"/>
        <item m="1" x="50"/>
        <item m="1" x="4308"/>
        <item m="1" x="4423"/>
        <item m="1" x="230"/>
        <item m="1" x="2980"/>
        <item m="1" x="2406"/>
        <item m="1" x="2833"/>
        <item m="1" x="1187"/>
        <item m="1" x="4257"/>
        <item m="1" x="296"/>
        <item m="1" x="1824"/>
        <item m="1" x="3346"/>
        <item m="1" x="663"/>
        <item m="1" x="3802"/>
        <item m="1" x="1789"/>
        <item m="1" x="3781"/>
        <item m="1" x="1227"/>
        <item m="1" x="825"/>
        <item m="1" x="1507"/>
        <item m="1" x="584"/>
        <item m="1" x="2784"/>
        <item m="1" x="1953"/>
        <item m="1" x="3902"/>
        <item m="1" x="1479"/>
        <item m="1" x="3779"/>
        <item m="1" x="3283"/>
        <item m="1" x="2903"/>
        <item m="1" x="423"/>
        <item m="1" x="233"/>
        <item m="1" x="443"/>
        <item m="1" x="3629"/>
        <item m="1" x="545"/>
        <item m="1" x="3960"/>
        <item m="1" x="990"/>
        <item m="1" x="2629"/>
        <item m="1" x="3705"/>
        <item m="1" x="2103"/>
        <item m="1" x="352"/>
        <item m="1" x="4290"/>
        <item m="1" x="2655"/>
        <item m="1" x="4192"/>
        <item m="1" x="635"/>
        <item m="1" x="870"/>
        <item m="1" x="2344"/>
        <item m="1" x="3584"/>
        <item m="1" x="700"/>
        <item m="1" x="3318"/>
        <item m="1" x="4140"/>
        <item m="1" x="2966"/>
        <item m="1" x="2206"/>
        <item m="1" x="3333"/>
        <item m="1" x="1289"/>
        <item m="1" x="905"/>
        <item m="1" x="1393"/>
        <item m="1" x="3361"/>
        <item m="1" x="1988"/>
        <item m="1" x="656"/>
        <item m="1" x="155"/>
        <item m="1" x="3298"/>
        <item m="1" x="4008"/>
        <item m="1" x="3392"/>
        <item m="1" x="3959"/>
        <item m="1" x="632"/>
        <item m="1" x="4055"/>
        <item m="1" x="3355"/>
        <item m="1" x="4337"/>
        <item m="1" x="911"/>
        <item m="1" x="2743"/>
        <item m="1" x="3953"/>
        <item m="1" x="1043"/>
        <item m="1" x="2631"/>
        <item m="1" x="3458"/>
        <item m="1" x="4072"/>
        <item m="1" x="149"/>
        <item m="1" x="676"/>
        <item m="1" x="4024"/>
        <item m="1" x="1596"/>
        <item m="1" x="433"/>
        <item m="1" x="1107"/>
        <item m="1" x="1598"/>
        <item m="1" x="1918"/>
        <item m="1" x="4255"/>
        <item m="1" x="2383"/>
        <item m="1" x="495"/>
        <item m="1" x="3643"/>
        <item m="1" x="1426"/>
        <item m="1" x="3963"/>
        <item m="1" x="2941"/>
        <item m="1" x="1580"/>
        <item m="1" x="3559"/>
        <item m="1" x="861"/>
        <item m="1" x="4381"/>
        <item m="1" x="980"/>
        <item m="1" x="1370"/>
        <item m="1" x="3824"/>
        <item m="1" x="1033"/>
        <item m="1" x="4196"/>
        <item m="1" x="1984"/>
        <item m="1" x="406"/>
        <item m="1" x="2308"/>
        <item m="1" x="3240"/>
        <item m="1" x="3438"/>
        <item m="1" x="3022"/>
        <item m="1" x="2085"/>
        <item m="1" x="3165"/>
        <item m="1" x="2816"/>
        <item m="1" x="2989"/>
        <item m="1" x="3041"/>
        <item m="1" x="3450"/>
        <item m="1" x="2232"/>
        <item m="1" x="956"/>
        <item m="1" x="321"/>
        <item m="1" x="4039"/>
        <item m="1" x="1650"/>
        <item m="1" x="1932"/>
        <item m="1" x="2621"/>
        <item m="1" x="503"/>
        <item m="1" x="2168"/>
        <item m="1" x="3342"/>
        <item m="1" x="1921"/>
        <item m="1" x="2277"/>
        <item m="1" x="2760"/>
        <item m="1" x="18"/>
        <item m="1" x="775"/>
        <item m="1" x="3720"/>
        <item m="1" x="2066"/>
        <item m="1" x="2352"/>
        <item m="1" x="3106"/>
        <item m="1" x="1399"/>
        <item m="1" x="644"/>
        <item m="1" x="2594"/>
        <item m="1" x="2017"/>
        <item m="1" x="2327"/>
        <item m="1" x="1413"/>
        <item m="1" x="173"/>
        <item m="1" x="1236"/>
        <item m="1" x="805"/>
        <item m="1" x="4207"/>
        <item m="1" x="1887"/>
        <item m="1" x="3973"/>
        <item m="1" x="2944"/>
        <item m="1" x="1704"/>
        <item m="1" x="555"/>
        <item m="1" x="1290"/>
        <item m="1" x="3512"/>
        <item m="1" x="1342"/>
        <item m="1" x="2869"/>
        <item m="1" x="972"/>
        <item m="1" x="2640"/>
        <item m="1" x="1147"/>
        <item m="1" x="249"/>
        <item m="1" x="2316"/>
        <item m="1" x="2004"/>
        <item m="1" x="1897"/>
        <item m="1" x="3520"/>
        <item m="1" x="580"/>
        <item m="1" x="128"/>
        <item m="1" x="1715"/>
        <item m="1" x="965"/>
        <item m="1" x="776"/>
        <item m="1" x="576"/>
        <item m="1" x="359"/>
        <item m="1" x="3706"/>
        <item m="1" x="4388"/>
        <item m="1" x="1293"/>
        <item m="1" x="3225"/>
        <item m="1" x="2495"/>
        <item m="1" x="2993"/>
        <item m="1" x="4185"/>
        <item m="1" x="488"/>
        <item m="1" x="3789"/>
        <item m="1" x="2095"/>
        <item m="1" x="1364"/>
        <item m="1" x="1996"/>
        <item m="1" x="1346"/>
        <item m="1" x="607"/>
        <item m="1" x="224"/>
        <item m="1" x="2093"/>
        <item m="1" x="1498"/>
        <item m="1" x="1942"/>
        <item m="1" x="1539"/>
        <item m="1" x="869"/>
        <item m="1" x="1973"/>
        <item m="1" x="1734"/>
        <item m="1" x="3441"/>
        <item m="1" x="1671"/>
        <item m="1" x="239"/>
        <item m="1" x="500"/>
        <item m="1" x="1383"/>
        <item m="1" x="4086"/>
        <item m="1" x="3232"/>
        <item m="1" x="4335"/>
        <item m="1" x="448"/>
        <item m="1" x="2337"/>
        <item m="1" x="1915"/>
        <item m="1" x="1695"/>
        <item m="1" x="1556"/>
        <item m="1" x="2561"/>
        <item m="1" x="3440"/>
        <item m="1" x="2671"/>
        <item m="1" x="4270"/>
        <item m="1" x="2502"/>
        <item m="1" x="655"/>
        <item m="1" x="1788"/>
        <item m="1" x="1673"/>
        <item m="1" x="2858"/>
        <item m="1" x="3850"/>
        <item m="1" x="1192"/>
        <item m="1" x="2657"/>
        <item m="1" x="1845"/>
        <item m="1" x="40"/>
        <item m="1" x="667"/>
        <item m="1" x="3860"/>
        <item m="1" x="483"/>
        <item m="1" x="2202"/>
        <item m="1" x="4373"/>
        <item m="1" x="968"/>
        <item m="1" x="3242"/>
        <item m="1" x="3709"/>
        <item m="1" x="3378"/>
        <item m="1" x="3293"/>
        <item m="1" x="683"/>
        <item m="1" x="1614"/>
        <item m="1" x="2267"/>
        <item m="1" x="2104"/>
        <item m="1" x="3912"/>
        <item m="1" x="3961"/>
        <item m="1" x="3688"/>
        <item m="1" x="938"/>
        <item m="1" x="187"/>
        <item m="1" x="318"/>
        <item m="1" x="4368"/>
        <item m="1" x="316"/>
        <item m="1" x="3865"/>
        <item m="1" x="4150"/>
        <item m="1" x="2190"/>
        <item m="1" x="162"/>
        <item m="1" x="2037"/>
        <item m="1" x="1985"/>
        <item m="1" x="3107"/>
        <item m="1" x="3028"/>
        <item m="1" x="2036"/>
        <item m="1" x="4032"/>
        <item m="1" x="90"/>
        <item m="1" x="1360"/>
        <item m="1" x="1323"/>
        <item m="1" x="2441"/>
        <item m="1" x="816"/>
        <item m="1" x="2449"/>
        <item m="1" x="4210"/>
        <item m="1" x="2590"/>
        <item m="1" x="1604"/>
        <item m="1" x="3769"/>
        <item m="1" x="1391"/>
        <item m="1" x="231"/>
        <item m="1" x="3935"/>
        <item m="1" x="480"/>
        <item m="1" x="1968"/>
        <item m="1" x="222"/>
        <item m="1" x="3312"/>
        <item m="1" x="25"/>
        <item m="1" x="3017"/>
        <item m="1" x="2829"/>
        <item m="1" x="3521"/>
        <item m="1" x="2705"/>
        <item m="1" x="3674"/>
        <item m="1" x="1641"/>
        <item m="1" x="3099"/>
        <item m="1" x="1026"/>
        <item m="1" x="2099"/>
        <item m="1" x="2885"/>
        <item m="1" x="2309"/>
        <item m="1" x="1004"/>
        <item m="1" x="2703"/>
        <item m="1" x="472"/>
        <item m="1" x="4331"/>
        <item m="1" x="2415"/>
        <item m="1" x="2044"/>
        <item m="1" x="2645"/>
        <item m="1" x="4217"/>
        <item m="1" x="2896"/>
        <item m="1" x="3102"/>
        <item m="1" x="3612"/>
        <item m="1" x="283"/>
        <item m="1" x="1386"/>
        <item m="1" x="437"/>
        <item m="1" x="2515"/>
        <item m="1" x="1865"/>
        <item m="1" x="3837"/>
        <item m="1" x="1914"/>
        <item m="1" x="3380"/>
        <item m="1" x="1666"/>
        <item m="1" x="2280"/>
        <item m="1" x="3280"/>
        <item m="1" x="3803"/>
        <item m="1" x="1648"/>
        <item m="1" x="3421"/>
        <item m="1" x="1317"/>
        <item m="1" x="2024"/>
        <item m="1" x="2356"/>
        <item m="1" x="810"/>
        <item m="1" x="2201"/>
        <item m="1" x="2553"/>
        <item m="1" x="1232"/>
        <item m="1" x="3300"/>
        <item m="1" x="3401"/>
        <item m="1" x="1428"/>
        <item m="1" x="3582"/>
        <item m="1" x="937"/>
        <item m="1" x="55"/>
        <item m="1" x="4058"/>
        <item m="1" x="2457"/>
        <item m="1" x="3276"/>
        <item m="1" x="2783"/>
        <item m="1" x="2698"/>
        <item m="1" x="3984"/>
        <item m="1" x="1587"/>
        <item m="1" x="328"/>
        <item m="1" x="2204"/>
        <item m="1" x="2295"/>
        <item m="1" x="1112"/>
        <item m="1" x="3732"/>
        <item m="1" x="469"/>
        <item m="1" x="1709"/>
        <item m="1" x="3194"/>
        <item m="1" x="3884"/>
        <item m="1" x="4281"/>
        <item m="1" x="1146"/>
        <item m="1" x="2977"/>
        <item m="1" x="789"/>
        <item m="1" x="36"/>
        <item m="1" x="3650"/>
        <item m="1" x="2706"/>
        <item m="1" x="812"/>
        <item m="1" x="1976"/>
        <item m="1" x="3563"/>
        <item m="1" x="1377"/>
        <item m="1" x="2112"/>
        <item m="1" x="3725"/>
        <item m="1" x="4299"/>
        <item m="1" x="1991"/>
        <item m="1" x="3726"/>
        <item m="1" x="765"/>
        <item m="1" x="2273"/>
        <item m="1" x="4042"/>
        <item m="1" x="748"/>
        <item m="1" x="2164"/>
        <item m="1" x="3001"/>
        <item m="1" x="4077"/>
        <item m="1" x="4096"/>
        <item m="1" x="1390"/>
        <item m="1" x="2005"/>
        <item m="1" x="118"/>
        <item m="1" x="3905"/>
        <item m="1" x="1739"/>
        <item m="1" x="662"/>
        <item m="1" x="2647"/>
        <item m="1" x="974"/>
        <item m="1" x="1577"/>
        <item m="1" x="3027"/>
        <item m="1" x="1681"/>
        <item m="1" x="1313"/>
        <item m="1" x="2463"/>
        <item m="1" x="175"/>
        <item m="1" x="315"/>
        <item m="1" x="763"/>
        <item m="1" x="539"/>
        <item m="1" x="4313"/>
        <item m="1" x="2683"/>
        <item m="1" x="4345"/>
        <item m="1" x="497"/>
        <item m="1" x="3091"/>
        <item m="1" x="3748"/>
        <item m="1" x="5"/>
        <item m="1" x="3564"/>
        <item m="1" x="3931"/>
        <item m="1" x="1178"/>
        <item m="1" x="1286"/>
        <item m="1" x="3847"/>
        <item m="1" x="1445"/>
        <item m="1" x="82"/>
        <item m="1" x="851"/>
        <item m="1" x="1449"/>
        <item m="1" x="3909"/>
        <item m="1" x="3689"/>
        <item m="1" x="1053"/>
        <item m="1" x="837"/>
        <item m="1" x="3079"/>
        <item m="1" x="2581"/>
        <item m="1" x="2392"/>
        <item m="1" x="3031"/>
        <item m="1" x="1557"/>
        <item m="1" x="3979"/>
        <item m="1" x="2813"/>
        <item m="1" x="212"/>
        <item m="1" x="1301"/>
        <item m="1" x="232"/>
        <item m="1" x="2057"/>
        <item m="1" x="3544"/>
        <item m="1" x="1250"/>
        <item m="1" x="1729"/>
        <item m="1" x="4407"/>
        <item m="1" x="2901"/>
        <item m="1" x="1182"/>
        <item m="1" x="350"/>
        <item m="1" x="174"/>
        <item m="1" x="4161"/>
        <item m="1" x="391"/>
        <item m="1" x="2947"/>
        <item m="1" x="2221"/>
        <item m="1" x="860"/>
        <item m="1" x="612"/>
        <item m="1" x="907"/>
        <item m="1" x="1508"/>
        <item m="1" x="1241"/>
        <item m="1" x="4428"/>
        <item m="1" x="2610"/>
        <item m="1" x="794"/>
        <item m="1" x="2602"/>
        <item m="1" x="1081"/>
        <item m="1" x="804"/>
        <item m="1" x="3821"/>
        <item m="1" x="2228"/>
        <item m="1" x="3205"/>
        <item m="1" x="2632"/>
        <item m="1" x="1402"/>
        <item m="1" x="2870"/>
        <item m="1" x="2123"/>
        <item m="1" x="28"/>
        <item m="1" x="3891"/>
        <item m="1" x="3420"/>
        <item m="1" x="1609"/>
        <item m="1" x="4195"/>
        <item m="1" x="3535"/>
        <item m="1" x="689"/>
        <item m="1" x="3553"/>
        <item m="1" x="3063"/>
        <item m="1" x="721"/>
        <item m="1" x="1371"/>
        <item m="1" x="278"/>
        <item m="1" x="2235"/>
        <item m="1" x="3227"/>
        <item m="1" x="234"/>
        <item m="1" x="48"/>
        <item m="1" x="38"/>
        <item m="1" x="3161"/>
        <item m="1" x="2591"/>
        <item m="1" x="4389"/>
        <item m="1" x="2978"/>
        <item m="1" x="2040"/>
        <item m="1" x="2669"/>
        <item m="1" x="220"/>
        <item m="1" x="3417"/>
        <item m="1" x="1184"/>
        <item m="1" x="3349"/>
        <item m="1" x="161"/>
        <item m="1" x="3229"/>
        <item m="1" x="1822"/>
        <item m="1" x="1395"/>
        <item m="1" x="3593"/>
        <item m="1" x="2889"/>
        <item m="1" x="4153"/>
        <item m="1" x="3992"/>
        <item m="1" x="3646"/>
        <item m="1" x="1579"/>
        <item m="1" x="4267"/>
        <item m="1" x="73"/>
        <item m="1" x="1103"/>
        <item m="1" x="3301"/>
        <item m="1" x="3898"/>
        <item m="1" x="3800"/>
        <item m="1" x="2878"/>
        <item m="1" x="10"/>
        <item m="1" x="4083"/>
        <item m="1" x="1660"/>
        <item m="1" x="3279"/>
        <item m="1" x="1155"/>
        <item m="1" x="2265"/>
        <item m="1" x="3926"/>
        <item m="1" x="1224"/>
        <item m="1" x="1908"/>
        <item m="1" x="2672"/>
        <item m="1" x="2863"/>
        <item m="1" x="181"/>
        <item m="1" x="72"/>
        <item m="1" x="2165"/>
        <item m="1" x="4262"/>
        <item m="1" x="847"/>
        <item m="1" x="2098"/>
        <item m="1" x="2183"/>
        <item m="1" x="4160"/>
        <item m="1" x="985"/>
        <item m="1" x="349"/>
        <item m="1" x="83"/>
        <item m="1" x="4048"/>
        <item m="1" x="987"/>
        <item m="1" x="3733"/>
        <item m="1" x="1980"/>
        <item m="1" x="537"/>
        <item m="1" x="1940"/>
        <item m="1" x="2704"/>
        <item m="1" x="3062"/>
        <item m="1" x="3746"/>
        <item m="1" x="3691"/>
        <item m="1" x="3517"/>
        <item m="1" x="2469"/>
        <item m="1" x="1256"/>
        <item m="1" x="2749"/>
        <item m="1" x="1886"/>
        <item m="1" x="2450"/>
        <item m="1" x="806"/>
        <item m="1" x="1287"/>
        <item m="1" x="1222"/>
        <item m="1" x="2768"/>
        <item m="1" x="3667"/>
        <item m="1" x="1145"/>
        <item m="1" x="140"/>
        <item m="1" x="1561"/>
        <item m="1" x="1499"/>
        <item m="1" x="1593"/>
        <item m="1" x="1223"/>
        <item m="1" x="995"/>
        <item m="1" x="2139"/>
        <item m="1" x="1894"/>
        <item m="1" x="4107"/>
        <item m="1" x="3436"/>
        <item m="1" x="4062"/>
        <item m="1" x="3918"/>
        <item m="1" x="364"/>
        <item m="1" x="1764"/>
        <item m="1" x="3124"/>
        <item m="1" x="2739"/>
        <item m="1" x="2296"/>
        <item m="1" x="1492"/>
        <item m="1" x="520"/>
        <item m="1" x="3851"/>
        <item m="1" x="2018"/>
        <item m="1" x="3020"/>
        <item m="1" x="1672"/>
        <item m="1" x="4390"/>
        <item m="1" x="1015"/>
        <item m="1" x="1920"/>
        <item m="1" x="4126"/>
        <item m="1" x="1071"/>
        <item m="1" x="2528"/>
        <item m="1" x="429"/>
        <item m="1" x="2578"/>
        <item m="1" x="981"/>
        <item m="1" x="2717"/>
        <item m="1" x="4396"/>
        <item m="1" x="2477"/>
        <item m="1" x="3366"/>
        <item m="1" x="908"/>
        <item m="1" x="3344"/>
        <item m="1" x="3236"/>
        <item m="1" x="2525"/>
        <item m="1" x="1520"/>
        <item m="1" x="3200"/>
        <item m="1" x="467"/>
        <item m="1" x="3634"/>
        <item m="1" x="3193"/>
        <item m="1" x="891"/>
        <item m="1" x="4053"/>
        <item m="1" x="2908"/>
        <item m="1" x="84"/>
        <item m="1" x="2613"/>
        <item m="1" x="1365"/>
        <item m="1" x="1080"/>
        <item m="1" x="724"/>
        <item m="1" x="2603"/>
        <item m="1" x="2516"/>
        <item m="1" x="3410"/>
        <item m="1" x="463"/>
        <item m="1" x="1906"/>
        <item m="1" x="3921"/>
        <item m="1" x="3365"/>
        <item m="1" x="2378"/>
        <item m="1" x="945"/>
        <item m="1" x="3978"/>
        <item m="1" x="3950"/>
        <item m="1" x="285"/>
        <item m="1" x="1443"/>
        <item m="1" x="3856"/>
        <item m="1" x="1180"/>
        <item m="1" x="3685"/>
        <item m="1" x="2303"/>
        <item m="1" x="4134"/>
        <item m="1" x="2001"/>
        <item m="1" x="501"/>
        <item m="1" x="1308"/>
        <item m="1" x="2952"/>
        <item m="1" x="2718"/>
        <item m="1" x="2233"/>
        <item m="1" x="709"/>
        <item m="1" x="4309"/>
        <item m="1" x="4291"/>
        <item m="1" x="2417"/>
        <item m="1" x="587"/>
        <item m="1" x="3"/>
        <item m="1" x="3499"/>
        <item m="1" x="3717"/>
        <item m="1" x="2256"/>
        <item m="1" x="2583"/>
        <item m="1" x="2452"/>
        <item m="1" x="52"/>
        <item m="1" x="4163"/>
        <item m="1" x="2595"/>
        <item m="1" x="317"/>
        <item m="1" x="4165"/>
        <item m="1" x="2312"/>
        <item m="1" x="2873"/>
        <item m="1" x="2443"/>
        <item m="1" x="1505"/>
        <item m="1" x="215"/>
        <item m="1" x="1625"/>
        <item m="1" x="4085"/>
        <item m="1" x="4117"/>
        <item m="1" x="2859"/>
        <item m="1" x="251"/>
        <item m="1" x="1418"/>
        <item m="1" x="800"/>
        <item m="1" x="2838"/>
        <item m="1" x="3735"/>
        <item m="1" x="4358"/>
        <item m="1" x="4116"/>
        <item m="1" x="1572"/>
        <item m="1" x="3322"/>
        <item m="1" x="3510"/>
        <item m="1" x="29"/>
        <item m="1" x="3671"/>
        <item m="1" x="2865"/>
        <item m="1" x="2773"/>
        <item m="1" x="3413"/>
        <item m="1" x="1116"/>
        <item m="1" x="2313"/>
        <item m="1" x="1281"/>
        <item m="1" x="2579"/>
        <item m="1" x="2604"/>
        <item m="1" x="2945"/>
        <item m="1" x="371"/>
        <item m="1" x="1442"/>
        <item m="1" x="4276"/>
        <item m="1" x="2643"/>
        <item m="1" x="3843"/>
        <item m="1" x="973"/>
        <item m="1" x="3572"/>
        <item m="1" x="4383"/>
        <item m="1" x="840"/>
        <item m="1" x="4240"/>
        <item m="1" x="4319"/>
        <item m="1" x="1629"/>
        <item m="1" x="1872"/>
        <item m="1" x="3788"/>
        <item m="1" x="2059"/>
        <item m="1" x="569"/>
        <item m="1" x="2666"/>
        <item m="1" x="1662"/>
        <item m="1" x="2294"/>
        <item m="1" x="2091"/>
        <item m="1" x="3309"/>
        <item m="1" x="3723"/>
        <item m="1" x="693"/>
        <item m="1" x="2434"/>
        <item m="1" x="314"/>
        <item m="1" x="1494"/>
        <item m="1" x="2458"/>
        <item m="1" x="2815"/>
        <item m="1" x="866"/>
        <item m="1" x="426"/>
        <item m="1" x="125"/>
        <item m="1" x="619"/>
        <item m="1" x="2021"/>
        <item m="1" x="873"/>
        <item m="1" x="880"/>
        <item m="1" x="3883"/>
        <item m="1" x="3321"/>
        <item m="1" x="3575"/>
        <item m="1" x="3374"/>
        <item m="1" x="1240"/>
        <item m="1" x="3560"/>
        <item m="1" x="989"/>
        <item m="1" x="2934"/>
        <item m="1" x="100"/>
        <item m="1" x="3317"/>
        <item m="1" x="1958"/>
        <item m="1" x="3505"/>
        <item m="1" x="2369"/>
        <item m="1" x="244"/>
        <item m="1" x="4268"/>
        <item m="1" x="4028"/>
        <item m="1" x="1786"/>
        <item m="1" x="4324"/>
        <item m="1" x="3201"/>
        <item m="1" x="2298"/>
        <item m="1" x="648"/>
        <item m="1" x="3844"/>
        <item m="1" x="53"/>
        <item m="1" x="3641"/>
        <item m="1" x="2973"/>
        <item m="1" x="2711"/>
        <item m="1" x="2353"/>
        <item m="1" x="3281"/>
        <item m="1" x="1173"/>
        <item m="1" x="1338"/>
        <item m="1" x="2850"/>
        <item m="1" x="1859"/>
        <item m="1" x="3819"/>
        <item m="1" x="1174"/>
        <item m="1" x="3237"/>
        <item m="1" x="715"/>
        <item m="1" x="2752"/>
        <item m="1" x="4316"/>
        <item m="1" x="2157"/>
        <item m="1" x="3983"/>
        <item m="1" x="2906"/>
        <item m="1" x="1226"/>
        <item m="1" x="2547"/>
        <item m="1" x="1573"/>
        <item m="1" x="3372"/>
        <item m="1" x="2531"/>
        <item m="1" x="934"/>
        <item m="1" x="4169"/>
        <item m="1" x="4374"/>
        <item m="1" x="311"/>
        <item m="1" x="2029"/>
        <item m="1" x="255"/>
        <item m="1" x="3825"/>
        <item m="1" x="1454"/>
        <item m="1" x="1834"/>
        <item m="1" x="650"/>
        <item m="1" x="1489"/>
        <item m="1" x="3810"/>
        <item m="1" x="4400"/>
        <item m="1" x="3142"/>
        <item m="1" x="2685"/>
        <item m="1" x="3494"/>
        <item m="1" x="2435"/>
        <item m="1" x="2121"/>
        <item m="1" x="372"/>
        <item m="1" x="3460"/>
        <item m="1" x="1098"/>
        <item m="1" x="1847"/>
        <item m="1" x="2890"/>
        <item m="1" x="2167"/>
        <item m="1" x="779"/>
        <item m="1" x="718"/>
        <item m="1" x="275"/>
        <item m="1" x="3213"/>
        <item m="1" x="221"/>
        <item m="1" x="1481"/>
        <item m="1" x="3433"/>
        <item m="1" x="104"/>
        <item m="1" x="582"/>
        <item m="1" x="2107"/>
        <item m="1" x="949"/>
        <item m="1" x="4259"/>
        <item m="1" x="299"/>
        <item m="1" x="3932"/>
        <item m="1" x="3571"/>
        <item m="1" x="746"/>
        <item m="1" x="309"/>
        <item m="1" x="373"/>
        <item m="1" x="601"/>
        <item m="1" x="3579"/>
        <item m="1" x="2899"/>
        <item m="1" x="1751"/>
        <item m="1" x="4253"/>
        <item m="1" x="3985"/>
        <item m="1" x="1637"/>
        <item m="1" x="3937"/>
        <item m="1" x="478"/>
        <item m="1" x="749"/>
        <item m="1" x="3273"/>
        <item m="1" x="401"/>
        <item m="1" x="1025"/>
        <item m="1" x="1055"/>
        <item m="1" x="2633"/>
        <item m="1" x="1566"/>
        <item m="1" x="1094"/>
        <item m="1" x="378"/>
        <item m="1" x="339"/>
        <item m="1" x="1708"/>
        <item m="1" x="2940"/>
        <item m="1" x="3250"/>
        <item m="1" x="4214"/>
        <item m="1" x="3485"/>
        <item m="1" x="732"/>
        <item m="1" x="4398"/>
        <item m="1" x="2911"/>
        <item m="1" x="2342"/>
        <item m="1" x="2257"/>
        <item m="1" x="1804"/>
        <item m="1" x="1209"/>
        <item m="1" x="1832"/>
        <item m="1" x="4203"/>
        <item m="1" x="1555"/>
        <item m="1" x="722"/>
        <item m="1" x="1253"/>
        <item m="1" x="2758"/>
        <item m="1" x="362"/>
        <item m="1" x="2994"/>
        <item m="1" x="978"/>
        <item m="1" x="1315"/>
        <item m="1" x="172"/>
        <item m="1" x="1726"/>
        <item m="1" x="1381"/>
        <item m="1" x="3428"/>
        <item m="1" x="3989"/>
        <item m="1" x="2288"/>
        <item m="1" x="2281"/>
        <item m="1" x="3047"/>
        <item m="1" x="3157"/>
        <item m="1" x="913"/>
        <item m="1" x="289"/>
        <item m="1" x="3396"/>
        <item m="1" x="4254"/>
        <item m="1" x="2271"/>
        <item m="1" x="4175"/>
        <item m="1" x="1944"/>
        <item m="1" x="828"/>
        <item m="1" x="3004"/>
        <item m="1" x="4304"/>
        <item m="1" x="2780"/>
        <item m="1" x="1419"/>
        <item m="1" x="3327"/>
        <item m="1" x="4190"/>
        <item m="1" x="1554"/>
        <item m="1" x="653"/>
        <item m="1" x="1108"/>
        <item m="1" x="422"/>
        <item m="1" x="1929"/>
        <item m="1" x="464"/>
        <item m="1" x="2264"/>
        <item m="1" x="1763"/>
        <item m="1" x="3678"/>
        <item m="1" x="4279"/>
        <item m="1" x="790"/>
        <item m="1" x="3170"/>
        <item m="1" x="2732"/>
        <item m="1" x="1711"/>
        <item m="1" x="2615"/>
        <item m="1" x="4393"/>
        <item m="1" x="1779"/>
        <item m="1" x="3169"/>
        <item m="1" x="1870"/>
        <item m="1" x="112"/>
        <item m="1" x="1354"/>
        <item m="1" x="2565"/>
        <item m="1" x="801"/>
        <item m="1" x="1974"/>
        <item m="1" x="34"/>
        <item m="1" x="2159"/>
        <item m="1" x="3060"/>
        <item m="1" x="2000"/>
        <item m="1" x="1862"/>
        <item m="1" x="2470"/>
        <item m="1" x="2046"/>
        <item m="1" x="1753"/>
        <item m="1" x="3988"/>
        <item m="1" x="1896"/>
        <item m="1" x="1467"/>
        <item m="1" x="3580"/>
        <item m="1" x="1909"/>
        <item m="1" x="267"/>
        <item m="1" x="3841"/>
        <item m="1" x="782"/>
        <item m="1" x="4074"/>
        <item m="1" x="3715"/>
        <item m="1" x="4193"/>
        <item m="1" x="3707"/>
        <item m="1" x="1305"/>
        <item m="1" x="3832"/>
        <item m="1" x="3471"/>
        <item m="1" x="3340"/>
        <item m="1" x="131"/>
        <item m="1" x="454"/>
        <item m="1" x="3796"/>
        <item m="1" x="2841"/>
        <item m="1" x="1407"/>
        <item m="1" x="2888"/>
        <item m="1" x="2274"/>
        <item m="1" x="633"/>
        <item m="1" x="1249"/>
        <item m="1" x="3083"/>
        <item m="1" x="94"/>
        <item m="1" x="1181"/>
        <item m="1" x="2173"/>
        <item m="1" x="1785"/>
        <item m="1" x="2169"/>
        <item m="1" x="120"/>
        <item m="1" x="3113"/>
        <item m="1" x="815"/>
        <item m="1" x="887"/>
        <item m="1" x="1749"/>
        <item m="1" x="3206"/>
        <item m="1" x="2240"/>
        <item m="1" x="1517"/>
        <item m="1" x="939"/>
        <item m="1" x="8"/>
        <item m="1" x="3619"/>
        <item m="1" x="701"/>
        <item m="1" x="2026"/>
        <item m="1" x="2622"/>
        <item m="1" x="3763"/>
        <item m="1" x="1546"/>
        <item m="1" x="1037"/>
        <item m="1" x="2049"/>
        <item m="1" x="1519"/>
        <item m="1" x="1344"/>
        <item m="1" x="2774"/>
        <item m="1" x="2170"/>
        <item m="1" x="1351"/>
        <item m="1" x="12"/>
        <item m="1" x="1447"/>
        <item m="1" x="927"/>
        <item m="1" x="1691"/>
        <item m="1" x="1463"/>
        <item m="1" x="834"/>
        <item m="1" x="3541"/>
        <item m="1" x="2241"/>
        <item m="1" x="747"/>
        <item m="1" x="2015"/>
        <item m="1" x="2211"/>
        <item m="1" x="3163"/>
        <item m="1" x="360"/>
        <item m="1" x="2917"/>
        <item m="1" x="1979"/>
        <item m="1" x="2898"/>
        <item m="1" x="1665"/>
        <item m="1" x="2192"/>
        <item m="1" x="1002"/>
        <item m="1" x="1730"/>
        <item m="1" x="2540"/>
        <item m="1" x="1233"/>
        <item m="1" x="2339"/>
        <item m="1" x="4415"/>
        <item m="1" x="1630"/>
        <item m="1" x="2695"/>
        <item m="1" x="2832"/>
        <item m="1" x="1251"/>
        <item m="1" x="3663"/>
        <item m="1" x="611"/>
        <item m="1" x="1738"/>
        <item m="1" x="963"/>
        <item m="1" x="3014"/>
        <item m="1" x="2764"/>
        <item m="1" x="4084"/>
        <item m="1" x="4425"/>
        <item m="1" x="3670"/>
        <item m="1" x="1089"/>
        <item m="1" x="489"/>
        <item m="1" x="1237"/>
        <item m="1" x="2478"/>
        <item m="1" x="2851"/>
        <item m="1" x="22"/>
        <item m="1" x="3182"/>
        <item m="1" x="3224"/>
        <item m="1" x="1787"/>
        <item m="1" x="2696"/>
        <item m="1" x="2843"/>
        <item m="1" x="2054"/>
        <item m="1" x="2118"/>
        <item m="1" x="2902"/>
        <item m="1" x="3002"/>
        <item m="1" x="994"/>
        <item m="1" x="4082"/>
        <item m="1" x="1531"/>
        <item m="1" x="116"/>
        <item m="1" x="1031"/>
        <item m="1" x="1459"/>
        <item m="1" x="893"/>
        <item m="1" x="479"/>
        <item m="1" x="1575"/>
        <item m="1" x="4208"/>
        <item m="1" x="3080"/>
        <item m="1" x="192"/>
        <item m="1" x="23"/>
        <item m="1" x="4226"/>
        <item m="1" x="3353"/>
        <item m="1" x="4222"/>
        <item m="1" x="1457"/>
        <item m="1" x="2053"/>
        <item m="1" x="1992"/>
        <item m="1" x="2140"/>
        <item m="1" x="3568"/>
        <item m="1" x="4392"/>
        <item m="1" x="2883"/>
        <item m="1" x="1462"/>
        <item m="1" x="3527"/>
        <item m="1" x="227"/>
        <item m="1" x="3877"/>
        <item m="1" x="2744"/>
        <item m="1" x="3226"/>
        <item m="1" x="1819"/>
        <item m="1" x="290"/>
        <item m="1" x="598"/>
        <item m="1" x="3270"/>
        <item m="1" x="142"/>
        <item m="1" x="736"/>
        <item m="1" x="4089"/>
        <item m="1" x="706"/>
        <item m="1" x="2430"/>
        <item m="1" x="302"/>
        <item m="1" x="3111"/>
        <item m="1" x="2348"/>
        <item m="1" x="1314"/>
        <item m="1" x="3557"/>
        <item m="1" x="3406"/>
        <item m="1" x="4050"/>
        <item m="1" x="146"/>
        <item m="1" x="3710"/>
        <item m="1" x="3181"/>
        <item m="1" x="4364"/>
        <item m="1" x="4273"/>
        <item m="1" x="4011"/>
        <item m="1" x="799"/>
        <item m="1" x="1674"/>
        <item m="1" x="1208"/>
        <item m="1" x="3566"/>
        <item m="1" x="1952"/>
        <item m="1" x="1451"/>
        <item m="1" x="982"/>
        <item m="1" x="2796"/>
        <item m="1" x="2368"/>
        <item m="1" x="3018"/>
        <item m="1" x="652"/>
        <item m="1" x="1357"/>
        <item m="1" x="345"/>
        <item m="1" x="3627"/>
        <item m="1" x="2134"/>
        <item m="1" x="3666"/>
        <item m="1" x="3664"/>
        <item m="1" x="1668"/>
        <item m="1" x="1548"/>
        <item m="1" x="3057"/>
        <item m="1" x="1259"/>
        <item m="1" x="2860"/>
        <item m="1" x="1718"/>
        <item m="1" x="202"/>
        <item m="1" x="3144"/>
        <item m="1" x="1883"/>
        <item m="1" x="1056"/>
        <item m="1" x="2147"/>
        <item m="1" x="2524"/>
        <item m="1" x="2318"/>
        <item m="1" x="2639"/>
        <item m="1" x="4243"/>
        <item m="1" x="3867"/>
        <item m="1" x="621"/>
        <item m="1" x="1888"/>
        <item m="1" x="1571"/>
        <item m="1" x="2246"/>
        <item m="1" x="2840"/>
        <item m="1" x="1153"/>
        <item m="1" x="2127"/>
        <item m="1" x="2541"/>
        <item m="1" x="3138"/>
        <item m="1" x="3976"/>
        <item m="1" x="3659"/>
        <item m="1" x="1659"/>
        <item m="1" x="3907"/>
        <item m="1" x="2384"/>
        <item m="1" x="4014"/>
        <item m="1" x="3105"/>
        <item m="1" x="3857"/>
        <item m="1" x="2261"/>
        <item m="1" x="2700"/>
        <item m="1" x="4186"/>
        <item m="1" x="2722"/>
        <item m="1" x="1669"/>
        <item m="1" x="614"/>
        <item m="1" x="4412"/>
        <item m="1" x="1113"/>
        <item m="1" x="243"/>
        <item m="1" x="126"/>
        <item m="1" x="918"/>
        <item m="1" x="1719"/>
        <item m="1" x="3913"/>
        <item m="1" x="739"/>
        <item m="1" x="2446"/>
        <item m="1" x="647"/>
        <item m="1" x="3130"/>
        <item m="1" x="3054"/>
        <item m="1" x="2419"/>
        <item m="1" x="2409"/>
        <item m="1" x="640"/>
        <item m="1" x="2667"/>
        <item m="1" x="3216"/>
        <item m="1" x="4005"/>
        <item m="1" x="2876"/>
        <item m="1" x="2538"/>
        <item m="1" x="413"/>
        <item m="1" x="1945"/>
        <item m="1" x="3914"/>
        <item m="1" x="1743"/>
        <item m="1" x="892"/>
        <item m="1" x="1341"/>
        <item m="1" x="4097"/>
        <item m="1" x="577"/>
        <item m="1" x="1355"/>
        <item m="1" x="459"/>
        <item m="1" x="327"/>
        <item m="1" x="1275"/>
        <item m="1" x="1158"/>
        <item m="1" x="2599"/>
        <item m="1" x="1732"/>
        <item m="1" x="2730"/>
        <item m="1" x="3430"/>
        <item m="1" x="3313"/>
        <item m="1" x="4260"/>
        <item m="1" x="3773"/>
        <item m="1" x="3742"/>
        <item m="1" x="3543"/>
        <item m="1" x="2808"/>
        <item m="1" x="98"/>
        <item m="1" x="3348"/>
        <item m="1" x="2481"/>
        <item m="1" x="2456"/>
        <item m="1" x="737"/>
        <item m="1" x="4433"/>
        <item m="1" x="1736"/>
        <item m="1" x="3064"/>
        <item m="1" x="1863"/>
        <item m="1" x="2636"/>
        <item m="1" x="781"/>
        <item m="1" x="1948"/>
        <item m="1" x="1133"/>
        <item m="1" x="969"/>
        <item m="1" x="2248"/>
        <item m="1" x="2555"/>
        <item m="1" x="496"/>
        <item m="1" x="3765"/>
        <item m="1" x="2659"/>
        <item m="1" x="3046"/>
        <item m="1" x="1484"/>
        <item m="1" x="2063"/>
        <item m="1" x="4305"/>
        <item m="1" x="3854"/>
        <item m="1" x="1017"/>
        <item m="1" x="881"/>
        <item m="1" x="4249"/>
        <item m="1" x="1621"/>
        <item m="1" x="4327"/>
        <item m="1" x="702"/>
        <item m="1" x="1217"/>
        <item m="1" x="2592"/>
        <item m="1" x="3412"/>
        <item m="1" x="1891"/>
        <item m="1" x="954"/>
        <item m="1" x="1962"/>
        <item m="1" x="2013"/>
        <item m="1" x="436"/>
        <item m="1" x="1099"/>
        <item m="1" x="1403"/>
        <item m="1" x="3761"/>
        <item m="1" x="2362"/>
        <item m="1" x="1246"/>
        <item m="1" x="2510"/>
        <item m="1" x="2967"/>
        <item m="1" x="699"/>
        <item m="1" x="263"/>
        <item m="1" x="1152"/>
        <item m="1" x="272"/>
        <item m="1" x="1260"/>
        <item m="1" x="4114"/>
        <item m="1" x="453"/>
        <item m="1" x="1392"/>
        <item m="1" x="1866"/>
        <item m="1" x="552"/>
        <item m="1" x="1242"/>
        <item m="1" x="821"/>
        <item m="1" x="424"/>
        <item m="1" x="2566"/>
        <item m="1" x="2214"/>
        <item m="1" x="1582"/>
        <item m="1" x="363"/>
        <item m="1" x="2096"/>
        <item m="1" x="1938"/>
        <item m="1" x="1812"/>
        <item m="1" x="43"/>
        <item m="1" x="3439"/>
        <item m="1" x="2243"/>
        <item m="1" x="2807"/>
        <item m="1" x="1215"/>
        <item m="1" x="1372"/>
        <item m="1" x="3506"/>
        <item m="1" x="572"/>
        <item m="1" x="1023"/>
        <item m="1" x="4002"/>
        <item m="1" x="4060"/>
        <item m="1" x="171"/>
        <item m="1" x="2416"/>
        <item m="1" x="2549"/>
        <item m="1" x="4323"/>
        <item m="1" x="4378"/>
        <item m="1" x="56"/>
        <item m="1" x="1509"/>
        <item m="1" x="3848"/>
        <item m="1" x="3265"/>
        <item m="1" x="3943"/>
        <item m="1" x="1283"/>
        <item m="1" x="3308"/>
        <item m="1" x="3872"/>
        <item m="1" x="3367"/>
        <item m="1" x="2088"/>
        <item m="1" x="2734"/>
        <item m="1" x="599"/>
        <item m="1" x="1700"/>
        <item m="1" x="3326"/>
        <item m="1" x="1408"/>
        <item m="1" x="787"/>
        <item m="1" x="3297"/>
        <item m="1" x="3818"/>
        <item m="1" x="778"/>
        <item m="1" x="1702"/>
        <item m="1" x="862"/>
        <item m="1" x="2892"/>
        <item m="1" x="2567"/>
        <item m="1" x="2355"/>
        <item m="1" x="3483"/>
        <item m="1" x="1273"/>
        <item m="1" x="4174"/>
        <item m="1" x="818"/>
        <item m="1" x="450"/>
        <item m="1" x="3491"/>
        <item m="1" x="1588"/>
        <item m="1" x="3603"/>
        <item m="1" x="1458"/>
        <item m="1" x="3573"/>
        <item m="1" x="1961"/>
        <item m="1" x="2106"/>
        <item m="1" x="1401"/>
        <item m="1" x="3305"/>
        <item m="1" x="2932"/>
        <item m="1" x="1849"/>
        <item m="1" x="811"/>
        <item m="1" x="3771"/>
        <item m="1" x="3583"/>
        <item m="1" x="3922"/>
        <item m="1" x="1939"/>
        <item m="1" x="3945"/>
        <item m="1" x="646"/>
        <item m="1" x="2097"/>
        <item m="1" x="3152"/>
        <item m="1" x="1117"/>
        <item m="1" x="2964"/>
        <item m="1" x="3675"/>
        <item m="1" x="33"/>
        <item m="1" x="2276"/>
        <item m="1" x="651"/>
        <item m="1" x="3159"/>
        <item m="1" x="1990"/>
        <item m="1" x="515"/>
        <item m="1" x="3749"/>
        <item m="1" x="2914"/>
        <item m="1" x="3855"/>
        <item m="1" x="2747"/>
        <item m="1" x="2445"/>
        <item m="1" x="3286"/>
        <item m="1" x="2729"/>
        <item m="1" x="608"/>
        <item m="1" x="3405"/>
        <item m="1" x="2282"/>
        <item m="1" x="2154"/>
        <item m="1" x="3692"/>
        <item m="1" x="2195"/>
        <item m="1" x="551"/>
        <item m="1" x="791"/>
        <item m="1" x="4362"/>
        <item m="1" x="3469"/>
        <item m="1" x="3687"/>
        <item m="1" x="726"/>
        <item m="1" x="1149"/>
        <item m="1" x="4242"/>
        <item m="1" x="449"/>
        <item m="1" x="2319"/>
        <item m="1" x="999"/>
        <item m="1" x="2769"/>
        <item m="1" x="3630"/>
        <item m="1" x="3051"/>
        <item m="1" x="1852"/>
        <item m="1" x="894"/>
        <item m="1" x="1502"/>
        <item m="1" x="1274"/>
        <item m="1" x="3021"/>
        <item m="1" x="3260"/>
        <item m="1" x="705"/>
        <item m="1" x="2432"/>
        <item m="1" x="1723"/>
        <item m="1" x="3487"/>
        <item m="1" x="1104"/>
        <item m="1" x="2461"/>
        <item m="1" x="1678"/>
        <item m="1" x="1337"/>
        <item m="1" x="1936"/>
        <item m="1" x="658"/>
        <item m="1" x="2207"/>
        <item m="1" x="4138"/>
        <item m="1" x="2756"/>
        <item m="1" x="1780"/>
        <item m="1" x="2536"/>
        <item m="1" x="4405"/>
        <item m="1" x="4000"/>
        <item m="1" x="3812"/>
        <item m="1" x="2596"/>
        <item m="1" x="3519"/>
        <item m="1" x="2542"/>
        <item m="1" x="3173"/>
        <item m="1" x="1615"/>
        <item m="1" x="3310"/>
        <item m="1" x="3108"/>
        <item m="1" x="4247"/>
        <item m="1" x="1816"/>
        <item m="1" x="1005"/>
        <item m="1" x="2904"/>
        <item m="1" x="2225"/>
        <item m="1" x="2927"/>
        <item m="1" x="1890"/>
        <item m="1" x="395"/>
        <item m="1" x="899"/>
        <item m="1" x="4079"/>
        <item m="1" x="2268"/>
        <item m="1" x="1636"/>
        <item m="1" x="901"/>
        <item m="1" x="1022"/>
        <item m="1" x="1060"/>
        <item m="1" x="1074"/>
        <item m="1" x="885"/>
        <item m="1" x="2250"/>
        <item m="1" x="4035"/>
        <item m="1" x="2447"/>
        <item m="1" x="1927"/>
        <item m="1" x="2854"/>
        <item m="1" x="3783"/>
        <item m="1" x="4044"/>
        <item m="1" x="1975"/>
        <item m="1" x="1176"/>
        <item m="1" x="3453"/>
        <item m="1" x="3466"/>
        <item m="1" x="261"/>
        <item m="1" x="2563"/>
        <item m="1" x="286"/>
        <item m="1" x="3115"/>
        <item m="1" x="558"/>
        <item m="1" x="1761"/>
        <item m="1" x="4001"/>
        <item m="1" x="3376"/>
        <item m="1" x="3893"/>
        <item m="1" x="2259"/>
        <item m="1" x="1933"/>
        <item m="1" x="3284"/>
        <item m="1" x="3306"/>
        <item m="1" x="456"/>
        <item m="1" x="3969"/>
        <item m="1" x="1801"/>
        <item m="1" x="2424"/>
        <item m="1" x="3296"/>
        <item m="1" x="3588"/>
        <item m="1" x="574"/>
        <item m="1" x="1664"/>
        <item m="1" x="3776"/>
        <item m="1" x="3990"/>
        <item m="1" x="1810"/>
        <item m="1" x="659"/>
        <item m="1" x="393"/>
        <item m="1" x="20"/>
        <item m="1" x="403"/>
        <item m="1" x="1327"/>
        <item m="1" x="4333"/>
        <item m="1" x="3214"/>
        <item m="1" x="1042"/>
        <item m="1" x="1129"/>
        <item m="1" x="2948"/>
        <item m="1" x="2171"/>
        <item m="1" x="1707"/>
        <item m="1" x="3610"/>
        <item m="1" x="3585"/>
        <item m="1" x="1105"/>
        <item m="1" x="928"/>
        <item m="1" x="3846"/>
        <item m="1" x="2971"/>
        <item m="1" x="3900"/>
        <item m="1" x="461"/>
        <item m="1" x="3657"/>
        <item m="1" x="438"/>
        <item m="1" x="3545"/>
        <item m="1" x="60"/>
        <item m="1" x="3146"/>
        <item m="1" x="1642"/>
        <item m="1" x="904"/>
        <item m="1" x="4377"/>
        <item m="1" x="3285"/>
        <item m="1" x="3640"/>
        <item m="1" x="4191"/>
        <item m="1" x="2055"/>
        <item m="1" x="2300"/>
        <item m="1" x="1322"/>
        <item m="1" x="2269"/>
        <item m="1" x="4221"/>
        <item m="1" x="1047"/>
        <item m="1" x="2326"/>
        <item m="1" x="1941"/>
        <item m="1" x="1853"/>
        <item m="1" x="2818"/>
        <item m="1" x="402"/>
        <item m="1" x="225"/>
        <item m="1" x="4101"/>
        <item m="1" x="4353"/>
        <item m="1" x="1928"/>
        <item m="1" x="698"/>
        <item m="1" x="1361"/>
        <item m="1" x="856"/>
        <item m="1" x="3556"/>
        <item m="1" x="585"/>
        <item m="1" x="1536"/>
        <item m="1" x="1296"/>
        <item m="1" x="4311"/>
        <item m="1" x="135"/>
        <item m="1" x="1311"/>
        <item m="1" x="1903"/>
        <item m="1" x="4209"/>
        <item m="1" x="764"/>
        <item m="1" x="4070"/>
        <item m="1" x="733"/>
        <item m="1" x="493"/>
        <item m="1" x="947"/>
        <item m="1" x="1189"/>
        <item m="1" x="3644"/>
        <item m="1" x="3468"/>
        <item m="1" x="3381"/>
        <item m="1" x="3218"/>
        <item m="1" x="3385"/>
        <item m="1" x="770"/>
        <item m="1" x="2674"/>
        <item m="1" x="1793"/>
        <item m="1" x="3586"/>
        <item m="1" x="2837"/>
        <item m="1" x="169"/>
        <item m="1" x="245"/>
        <item m="1" x="3712"/>
        <item m="1" x="3609"/>
        <item m="1" x="832"/>
        <item m="1" x="2480"/>
        <item m="1" x="1898"/>
        <item m="1" x="1177"/>
        <item m="1" x="330"/>
        <item m="1" x="1868"/>
        <item m="1" x="11"/>
        <item m="1" x="2576"/>
        <item m="1" x="1130"/>
        <item m="1" x="533"/>
        <item m="1" x="1815"/>
        <item m="1" x="485"/>
        <item m="1" x="3660"/>
        <item m="1" x="3329"/>
        <item m="1" x="4339"/>
        <item m="1" x="1409"/>
        <item m="1" x="3183"/>
        <item m="1" x="4033"/>
        <item m="1" x="2724"/>
        <item m="1" x="297"/>
        <item m="1" x="4091"/>
        <item m="1" x="595"/>
        <item m="1" x="3222"/>
        <item m="1" x="817"/>
        <item m="1" x="1901"/>
        <item m="1" x="2619"/>
        <item m="1" x="4352"/>
        <item m="1" x="3172"/>
        <item m="1" x="93"/>
        <item m="1" x="1895"/>
        <item m="1" x="264"/>
        <item m="1" x="2144"/>
        <item m="1" x="2634"/>
        <item m="1" x="3903"/>
        <item m="1" x="2797"/>
        <item m="1" x="300"/>
        <item m="1" x="1943"/>
        <item m="1" x="410"/>
        <item m="1" x="4080"/>
        <item m="1" x="2357"/>
        <item m="1" x="4219"/>
        <item m="1" x="357"/>
        <item m="1" x="4141"/>
        <item m="1" x="2955"/>
        <item m="1" x="2473"/>
        <item m="1" x="3538"/>
        <item m="1" x="3379"/>
        <item m="1" x="2226"/>
        <item m="1" x="3423"/>
        <item m="1" x="4379"/>
        <item m="1" x="2895"/>
        <item m="1" x="730"/>
        <item m="1" x="740"/>
        <item m="1" x="19"/>
        <item m="1" x="1465"/>
        <item m="1" x="1841"/>
        <item m="1" x="1592"/>
        <item m="1" x="3048"/>
        <item m="1" x="276"/>
        <item m="1" x="1143"/>
        <item m="1" x="4010"/>
        <item m="1" x="465"/>
        <item m="1" x="566"/>
        <item m="1" x="3567"/>
        <item m="1" x="3086"/>
        <item m="1" x="561"/>
        <item m="1" x="609"/>
        <item m="1" x="942"/>
        <item m="1" x="1435"/>
        <item m="1" x="4420"/>
        <item m="1" x="1358"/>
        <item m="1" x="2857"/>
        <item m="1" x="672"/>
        <item m="1" x="1500"/>
        <item m="1" x="2132"/>
        <item m="1" x="3307"/>
        <item m="1" x="3842"/>
        <item m="1" x="664"/>
        <item m="1" x="3676"/>
        <item m="1" x="725"/>
        <item m="1" x="4025"/>
        <item m="1" x="4293"/>
        <item m="1" x="2693"/>
        <item m="1" x="4187"/>
        <item m="1" x="3495"/>
        <item m="1" x="3377"/>
        <item m="1" x="2814"/>
        <item m="1" x="1348"/>
        <item m="1" x="3238"/>
        <item m="1" x="2114"/>
        <item m="1" x="1619"/>
        <item m="1" x="2423"/>
        <item m="1" x="248"/>
        <item m="1" x="634"/>
        <item x="1"/>
        <item m="1" x="1529"/>
        <item m="1" x="4397"/>
        <item m="1" x="3507"/>
        <item m="1" x="3155"/>
        <item m="1" x="878"/>
        <item m="1" x="1954"/>
        <item m="1" x="2014"/>
        <item m="1" x="95"/>
        <item m="1" x="1902"/>
        <item m="1" x="189"/>
        <item m="1" x="4264"/>
        <item m="1" x="597"/>
        <item m="1" x="3845"/>
        <item m="1" x="2128"/>
        <item m="1" x="1319"/>
        <item m="1" x="3887"/>
        <item m="1" x="3653"/>
        <item m="1" x="3966"/>
        <item m="1" x="2286"/>
        <item m="1" x="2974"/>
        <item m="1" x="1064"/>
        <item m="1" x="1549"/>
        <item m="1" x="389"/>
        <item m="1" x="567"/>
        <item m="1" x="4027"/>
        <item m="1" x="3323"/>
        <item m="1" x="2400"/>
        <item m="1" x="1109"/>
        <item m="1" x="3977"/>
        <item m="1" x="2314"/>
        <item m="1" x="983"/>
        <item m="1" x="1304"/>
        <item m="1" x="2490"/>
        <item m="1" x="3082"/>
        <item m="1" x="679"/>
        <item m="1" x="1075"/>
        <item m="1" x="1480"/>
        <item m="1" x="3362"/>
        <item m="1" x="1229"/>
        <item m="1" x="3275"/>
        <item m="1" x="3257"/>
        <item m="1" x="2367"/>
        <item m="1" x="1450"/>
        <item m="1" x="1534"/>
        <item m="1" x="1326"/>
        <item m="1" x="2653"/>
        <item m="1" x="2819"/>
        <item m="1" x="2185"/>
        <item m="1" x="1039"/>
        <item m="1" x="209"/>
        <item m="1" x="2772"/>
        <item m="1" x="2062"/>
        <item m="1" x="2077"/>
        <item m="1" x="3268"/>
        <item m="1" x="430"/>
        <item m="1" x="1506"/>
        <item m="1" x="1773"/>
        <item m="1" x="2191"/>
        <item m="1" x="3145"/>
        <item m="1" x="1680"/>
        <item m="1" x="3793"/>
        <item m="1" x="1601"/>
        <item m="1" x="998"/>
        <item m="1" x="1444"/>
        <item m="1" x="1675"/>
        <item m="1" x="3747"/>
        <item m="1" x="2009"/>
        <item m="1" x="979"/>
        <item m="1" x="2834"/>
        <item m="1" x="1624"/>
        <item m="1" x="3838"/>
        <item m="1" x="4274"/>
        <item m="1" x="2479"/>
        <item m="1" x="716"/>
        <item m="1" x="2289"/>
        <item m="1" x="1844"/>
        <item m="1" x="3448"/>
        <item m="1" x="1049"/>
        <item m="1" x="117"/>
        <item m="1" x="3738"/>
        <item m="1" x="685"/>
        <item m="1" x="2058"/>
        <item m="1" x="76"/>
        <item m="1" x="2570"/>
        <item m="1" x="4429"/>
        <item m="1" x="1880"/>
        <item m="1" x="2509"/>
        <item m="1" x="578"/>
        <item m="1" x="914"/>
        <item m="1" x="3595"/>
        <item m="1" x="1513"/>
        <item m="1" x="1690"/>
        <item m="1" x="1362"/>
        <item m="1" x="2513"/>
        <item m="1" x="4347"/>
        <item m="1" x="2111"/>
        <item m="1" x="751"/>
        <item m="1" x="1649"/>
        <item m="1" x="3347"/>
        <item m="1" x="265"/>
        <item m="1" x="136"/>
        <item m="1" x="1807"/>
        <item m="1" x="1848"/>
        <item m="1" x="1298"/>
        <item m="1" x="2064"/>
        <item m="1" x="1828"/>
        <item m="1" x="528"/>
        <item m="1" x="1842"/>
        <item m="1" x="3951"/>
        <item m="1" x="1522"/>
        <item m="1" x="3024"/>
        <item m="1" x="4223"/>
        <item m="1" x="3614"/>
        <item m="1" x="2998"/>
        <item m="1" x="1307"/>
        <item m="1" x="1501"/>
        <item m="1" x="1375"/>
        <item m="1" x="2413"/>
        <item m="1" x="3178"/>
        <item m="1" x="505"/>
        <item m="1" x="2222"/>
        <item m="1" x="1969"/>
        <item m="1" x="1667"/>
        <item m="1" x="1983"/>
        <item m="1" x="4261"/>
        <item m="1" x="2848"/>
        <item m="1" x="1063"/>
        <item m="1" x="3127"/>
        <item m="1" x="2701"/>
        <item m="1" x="3870"/>
        <item m="1" x="4329"/>
        <item m="1" x="3968"/>
        <item m="1" x="4198"/>
        <item m="1" x="1855"/>
        <item m="1" x="1692"/>
        <item m="1" x="2539"/>
        <item m="1" x="3389"/>
        <item m="1" x="2544"/>
        <item m="1" x="2499"/>
        <item m="1" x="3739"/>
        <item m="1" x="1204"/>
        <item m="1" x="1198"/>
        <item m="1" x="2494"/>
        <item m="1" x="3354"/>
        <item m="1" x="1325"/>
        <item m="1" x="4037"/>
        <item m="1" x="2166"/>
        <item m="1" x="3878"/>
        <item m="1" x="2142"/>
        <item m="1" x="3128"/>
        <item m="1" x="826"/>
        <item m="1" x="4212"/>
        <item m="1" x="1295"/>
        <item m="1" x="1876"/>
        <item m="1" x="3941"/>
        <item m="1" x="1396"/>
        <item m="1" x="3147"/>
        <item m="1" x="2304"/>
        <item m="1" x="822"/>
        <item m="1" x="929"/>
        <item m="1" x="4366"/>
        <item m="1" x="1964"/>
        <item m="1" x="3696"/>
        <item m="1" x="198"/>
        <item m="1" x="1769"/>
        <item m="1" x="3179"/>
        <item m="1" x="457"/>
        <item m="1" x="761"/>
        <item m="1" x="4018"/>
        <item m="1" x="292"/>
        <item m="1" x="1185"/>
        <item m="1" x="941"/>
        <item m="1" x="2626"/>
        <item m="1" x="4228"/>
        <item m="1" x="2328"/>
        <item m="1" x="2959"/>
        <item m="1" x="2410"/>
        <item m="1" x="2213"/>
        <item m="1" x="3177"/>
        <item m="1" x="1007"/>
        <item m="1" x="1899"/>
        <item m="1" x="3386"/>
        <item m="1" x="4399"/>
        <item m="1" x="1710"/>
        <item m="1" x="351"/>
        <item m="1" x="1653"/>
        <item m="1" x="1559"/>
        <item m="1" x="494"/>
        <item m="1" x="4181"/>
        <item m="1" x="4215"/>
        <item m="1" x="1201"/>
        <item m="1" x="2217"/>
        <item m="1" x="3445"/>
        <item m="1" x="2879"/>
        <item m="1" x="2152"/>
        <item m="1" x="3808"/>
        <item m="1" x="2200"/>
        <item m="1" x="1676"/>
        <item m="1" x="4092"/>
        <item m="1" x="1096"/>
        <item m="1" x="3190"/>
        <item m="1" x="1347"/>
        <item m="1" x="513"/>
        <item m="1" x="1657"/>
        <item m="1" x="602"/>
        <item m="1" x="3248"/>
        <item m="1" x="2589"/>
        <item m="1" x="3690"/>
        <item m="1" x="4164"/>
        <item m="1" x="1829"/>
        <item m="1" x="3611"/>
        <item m="1" x="1537"/>
        <item m="1" x="2010"/>
        <item m="1" x="1231"/>
        <item m="1" x="1288"/>
        <item m="1" x="1645"/>
        <item m="1" x="3328"/>
        <item m="1" x="617"/>
        <item m="1" x="62"/>
        <item m="1" x="3476"/>
        <item m="1" x="1018"/>
        <item m="1" x="3999"/>
        <item m="1" x="3416"/>
        <item m="1" x="2731"/>
        <item m="1" x="1243"/>
        <item m="1" x="342"/>
        <item m="1" x="1612"/>
        <item m="1" x="3637"/>
        <item m="1" x="4111"/>
        <item m="1" x="3562"/>
        <item m="1" x="1219"/>
        <item m="1" x="2585"/>
        <item m="1" x="2437"/>
        <item m="1" x="991"/>
        <item m="1" x="3503"/>
        <item m="1" x="1255"/>
        <item m="1" x="3249"/>
        <item m="1" x="2448"/>
        <item m="1" x="2395"/>
        <item m="1" x="1912"/>
        <item m="1" x="2078"/>
        <item m="1" x="2537"/>
        <item m="1" x="2957"/>
        <item m="1" x="2404"/>
        <item m="1" x="3578"/>
        <item m="1" x="1808"/>
        <item m="1" x="3697"/>
        <item m="1" x="703"/>
        <item m="1" x="1210"/>
        <item m="1" x="2753"/>
        <item m="1" x="2972"/>
        <item m="1" x="1333"/>
        <item m="1" x="2039"/>
        <item m="1" x="3295"/>
        <item m="1" x="3686"/>
        <item m="1" x="2182"/>
        <item m="1" x="195"/>
        <item m="1" x="3740"/>
        <item m="1" x="3728"/>
        <item m="1" x="1270"/>
        <item m="1" x="1027"/>
        <item m="1" x="3871"/>
        <item m="1" x="1132"/>
        <item m="1" x="3262"/>
        <item m="1" x="3095"/>
        <item m="1" x="2612"/>
        <item m="1" x="399"/>
        <item m="1" x="2008"/>
        <item m="1" x="668"/>
        <item m="1" x="2662"/>
        <item m="1" x="2788"/>
        <item m="1" x="153"/>
        <item m="1" x="2083"/>
        <item m="1" x="1590"/>
        <item m="1" x="952"/>
        <item m="1" x="530"/>
        <item m="1" x="346"/>
        <item m="1" x="3282"/>
        <item m="1" x="1971"/>
        <item m="1" x="1490"/>
        <item m="1" x="3862"/>
        <item m="1" x="916"/>
        <item m="1" x="2650"/>
        <item m="1" x="119"/>
        <item m="1" x="334"/>
        <item m="1" x="2125"/>
        <item m="1" x="3119"/>
        <item m="1" x="2389"/>
        <item m="1" x="3223"/>
        <item m="1" x="4302"/>
        <item m="1" x="855"/>
        <item m="1" x="2385"/>
        <item m="1" x="1947"/>
        <item m="1" x="613"/>
        <item m="1" x="4036"/>
        <item m="1" x="2670"/>
        <item m="1" x="2929"/>
        <item m="1" x="2767"/>
        <item m="1" x="2401"/>
        <item m="1" x="1170"/>
        <item m="1" x="1875"/>
        <item m="1" x="4248"/>
        <item m="1" x="3045"/>
        <item m="1" x="3292"/>
        <item m="1" x="468"/>
        <item m="1" x="1277"/>
        <item m="1" x="3404"/>
        <item m="1" x="925"/>
        <item m="1" x="320"/>
        <item m="1" x="411"/>
        <item m="1" x="2826"/>
        <item m="1" x="197"/>
        <item m="1" x="643"/>
        <item m="1" x="504"/>
        <item m="1" x="593"/>
        <item m="1" x="3993"/>
        <item m="1" x="2386"/>
        <item m="1" x="3104"/>
        <item m="1" x="2141"/>
        <item m="1" x="30"/>
        <item m="1" x="307"/>
        <item m="1" x="4250"/>
        <item m="1" x="3863"/>
        <item m="1" x="2552"/>
        <item m="1" x="2789"/>
        <item m="1" x="3338"/>
        <item m="1" x="4340"/>
        <item m="1" x="1797"/>
        <item m="1" x="896"/>
        <item m="1" x="2359"/>
        <item m="1" x="3084"/>
        <item m="1" x="4384"/>
        <item m="1" x="4064"/>
        <item m="1" x="1193"/>
        <item m="1" x="369"/>
        <item m="1" x="164"/>
        <item m="1" x="2151"/>
        <item m="1" x="247"/>
        <item m="1" x="661"/>
        <item m="1" x="2244"/>
        <item m="1" x="1839"/>
        <item m="1" x="897"/>
        <item m="1" x="1188"/>
        <item m="1" x="1564"/>
        <item m="1" x="1835"/>
        <item m="1" x="3097"/>
        <item m="1" x="2329"/>
        <item m="1" x="412"/>
        <item m="1" x="2181"/>
        <item m="1" x="1581"/>
        <item m="1" x="1164"/>
        <item m="1" x="379"/>
        <item m="1" x="4241"/>
        <item m="1" x="2354"/>
        <item m="1" x="1238"/>
        <item m="1" x="3426"/>
        <item m="1" x="1101"/>
        <item m="1" x="4049"/>
        <item m="1" x="3628"/>
        <item m="1" x="2301"/>
        <item m="1" x="3923"/>
        <item m="1" x="310"/>
        <item m="1" x="2862"/>
        <item m="1" x="4229"/>
        <item m="1" x="1380"/>
        <item m="1" x="242"/>
        <item m="1" x="4188"/>
        <item m="1" x="447"/>
        <item m="1" x="226"/>
        <item m="1" x="223"/>
        <item m="1" x="516"/>
        <item m="1" x="1186"/>
        <item m="1" x="2517"/>
        <item m="1" x="960"/>
        <item m="1" x="2742"/>
        <item m="1" x="303"/>
        <item m="1" x="2065"/>
        <item m="1" x="1387"/>
        <item m="1" x="3798"/>
        <item m="1" x="1759"/>
        <item m="1" x="4430"/>
        <item m="1" x="714"/>
        <item m="1" x="367"/>
        <item m="1" x="382"/>
        <item m="1" x="3402"/>
        <item m="1" x="2234"/>
        <item m="1" x="97"/>
        <item m="1" x="130"/>
        <item m="1" x="2709"/>
        <item m="1" x="3552"/>
        <item m="1" x="4151"/>
        <item m="1" x="3065"/>
        <item m="1" x="3861"/>
        <item m="1" x="3994"/>
        <item m="1" x="3928"/>
        <item m="1" x="1989"/>
        <item m="1" x="3840"/>
        <item m="1" x="755"/>
        <item m="1" x="4166"/>
        <item m="1" x="2403"/>
        <item m="1" x="4289"/>
        <item m="1" x="2800"/>
        <item m="1" x="3716"/>
        <item m="1" x="2681"/>
        <item m="1" x="554"/>
        <item m="1" x="1175"/>
        <item m="1" x="2983"/>
        <item m="1" x="444"/>
        <item m="1" x="3067"/>
        <item m="1" x="3589"/>
        <item m="1" x="3243"/>
        <item m="1" x="4065"/>
        <item m="1" x="3457"/>
        <item m="1" x="2411"/>
        <item m="1" x="906"/>
        <item m="1" x="1072"/>
        <item m="1" x="1016"/>
        <item m="1" x="2651"/>
        <item m="1" x="4076"/>
        <item m="1" x="675"/>
        <item m="1" x="3230"/>
        <item m="1" x="2408"/>
        <item m="1" x="2148"/>
        <item m="1" x="4297"/>
        <item m="1" x="3570"/>
        <item m="1" x="728"/>
        <item m="1" x="9"/>
        <item m="1" x="2521"/>
        <item m="1" x="4421"/>
        <item m="1" x="3700"/>
        <item m="1" x="3467"/>
        <item m="1" x="498"/>
        <item m="1" x="2614"/>
        <item m="1" x="707"/>
        <item m="1" x="256"/>
        <item m="1" x="3089"/>
        <item m="1" x="1292"/>
        <item m="1" x="2861"/>
        <item m="1" x="2503"/>
        <item m="1" x="3180"/>
        <item m="1" x="1139"/>
        <item m="1" x="1802"/>
        <item m="1" x="2530"/>
        <item m="1" x="1558"/>
        <item m="1" x="168"/>
        <item m="1" x="2073"/>
        <item m="1" x="417"/>
        <item m="1" x="2921"/>
        <item m="1" x="3241"/>
        <item m="1" x="3442"/>
        <item m="1" x="696"/>
        <item m="1" x="1686"/>
        <item m="1" x="1245"/>
        <item m="1" x="2737"/>
        <item m="1" x="1503"/>
        <item m="1" x="1910"/>
        <item m="1" x="3066"/>
        <item m="1" x="16"/>
        <item m="1" x="3509"/>
        <item m="1" x="4350"/>
        <item m="1" x="1050"/>
        <item m="1" x="3980"/>
        <item m="1" x="627"/>
        <item m="1" x="3334"/>
        <item m="1" x="2153"/>
        <item m="1" x="1267"/>
        <item m="1" x="2855"/>
        <item m="1" x="2293"/>
        <item m="1" x="2380"/>
        <item m="1" x="110"/>
        <item m="1" x="1705"/>
        <item m="1" x="3501"/>
        <item m="1" x="355"/>
        <item m="1" x="1473"/>
        <item m="1" x="2346"/>
        <item m="1" x="1425"/>
        <item m="1" x="1336"/>
        <item m="1" x="167"/>
        <item m="1" x="3164"/>
        <item m="1" x="2426"/>
        <item m="1" x="2992"/>
        <item m="1" x="541"/>
        <item m="1" x="1057"/>
        <item m="1" x="3253"/>
        <item m="1" x="2970"/>
        <item m="1" x="3952"/>
        <item m="1" x="2474"/>
        <item m="1" x="1349"/>
        <item m="1" x="165"/>
        <item m="1" x="4233"/>
        <item m="1" x="3166"/>
        <item m="1" x="589"/>
        <item m="1" x="1389"/>
        <item m="1" x="2562"/>
        <item m="1" x="2893"/>
        <item m="1" x="3266"/>
        <item m="1" x="3554"/>
        <item m="1" x="4375"/>
        <item m="1" x="3202"/>
        <item m="1" x="3635"/>
        <item m="1" x="445"/>
        <item m="1" x="1474"/>
        <item m="1" x="3112"/>
        <item m="1" x="2916"/>
        <item m="1" x="1471"/>
        <item m="1" x="1526"/>
        <item m="1" x="852"/>
        <item m="1" x="562"/>
        <item m="1" x="1597"/>
        <item m="1" x="1836"/>
        <item m="1" x="64"/>
        <item m="1" x="3033"/>
        <item m="1" x="2721"/>
        <item m="1" x="196"/>
        <item m="1" x="2951"/>
        <item m="1" x="4067"/>
        <item m="1" x="3424"/>
        <item m="1" x="1767"/>
        <item m="1" x="1373"/>
        <item m="1" x="3754"/>
        <item m="1" x="427"/>
        <item m="1" x="2177"/>
        <item m="1" x="1068"/>
        <item m="1" x="2361"/>
        <item m="1" x="1926"/>
        <item m="1" x="3613"/>
        <item m="1" x="4317"/>
        <item m="1" x="642"/>
        <item m="1" x="3391"/>
        <item m="1" x="2245"/>
        <item m="1" x="269"/>
        <item m="1" x="1770"/>
        <item m="1" x="474"/>
        <item m="1" x="1171"/>
        <item m="1" x="638"/>
        <item m="1" x="2101"/>
        <item m="1" x="2648"/>
        <item m="1" x="3834"/>
        <item m="1" x="3596"/>
        <item m="1" x="532"/>
        <item m="1" x="1965"/>
        <item m="1" x="3352"/>
        <item m="1" x="1544"/>
        <item m="1" x="3498"/>
        <item m="1" x="123"/>
        <item m="1" x="2102"/>
        <item m="1" x="1524"/>
        <item m="1" x="2754"/>
        <item m="1" x="3325"/>
        <item m="1" x="332"/>
        <item m="1" x="729"/>
        <item m="1" x="1144"/>
        <item m="1" x="3724"/>
        <item m="1" x="3316"/>
        <item m="1" x="2802"/>
        <item m="1" x="2856"/>
        <item m="1" x="2471"/>
        <item m="1" x="2616"/>
        <item m="1" x="3514"/>
        <item m="1" x="752"/>
        <item m="1" x="2042"/>
        <item m="1" x="2092"/>
        <item m="1" x="3100"/>
        <item m="1" x="435"/>
        <item m="1" x="204"/>
        <item m="1" x="917"/>
        <item m="1" x="2976"/>
        <item m="1" x="695"/>
        <item m="1" x="3288"/>
        <item m="1" x="2574"/>
        <item m="1" x="3029"/>
        <item m="1" x="616"/>
        <item m="1" x="298"/>
        <item m="1" x="2608"/>
        <item m="1" x="3271"/>
        <item m="1" x="2498"/>
        <item m="1" x="2150"/>
        <item m="1" x="3461"/>
        <item m="1" x="4342"/>
        <item m="1" x="4424"/>
        <item m="1" x="4135"/>
        <item m="1" x="2149"/>
        <item m="1" x="1843"/>
        <item m="1" x="2022"/>
        <item m="1" x="3766"/>
        <item m="1" x="3088"/>
        <item m="1" x="3463"/>
        <item m="1" x="2003"/>
        <item m="1" x="3636"/>
        <item m="1" x="2491"/>
        <item m="1" x="3055"/>
        <item m="1" x="2006"/>
        <item m="1" x="2519"/>
        <item m="1" x="4294"/>
        <item m="1" x="3621"/>
        <item m="1" x="780"/>
        <item m="1" x="2431"/>
        <item m="1" x="1840"/>
        <item m="1" x="4158"/>
        <item m="1" x="4139"/>
        <item m="1" x="3736"/>
        <item m="1" x="1416"/>
        <item m="1" x="1247"/>
        <item m="1" x="1586"/>
        <item m="1" x="603"/>
        <item m="1" x="2909"/>
        <item m="1" x="1006"/>
        <item m="1" x="2397"/>
        <item m="1" x="3015"/>
        <item m="1" x="216"/>
        <item m="1" x="902"/>
        <item m="1" x="3708"/>
        <item m="1" x="1476"/>
        <item m="1" x="238"/>
        <item m="1" x="2910"/>
        <item m="1" x="3915"/>
        <item m="1" x="3221"/>
        <item m="1" x="4235"/>
        <item m="1" x="58"/>
        <item m="1" x="7"/>
        <item m="1" x="3938"/>
        <item m="1" x="2520"/>
        <item m="1" x="4003"/>
        <item m="1" x="3672"/>
        <item m="1" x="3456"/>
        <item m="1" x="2212"/>
        <item m="1" x="2113"/>
        <item m="1" x="3655"/>
        <item m="1" x="3085"/>
        <item m="1" x="2842"/>
        <item m="1" x="1438"/>
        <item m="1" x="4202"/>
        <item m="1" x="185"/>
        <item m="1" x="3734"/>
        <item m="1" x="3730"/>
        <item m="1" x="3375"/>
        <item m="1" x="3638"/>
        <item m="1" x="74"/>
        <item m="1" x="1084"/>
        <item m="1" x="4411"/>
        <item m="1" x="1266"/>
        <item m="1" x="2292"/>
        <item m="1" x="1468"/>
        <item m="1" x="4205"/>
        <item m="1" x="1118"/>
        <item m="1" x="2624"/>
        <item m="1" x="3233"/>
        <item m="1" x="2915"/>
        <item m="1" x="257"/>
        <item m="1" x="4130"/>
        <item m="1" x="3277"/>
        <item m="1" x="2866"/>
        <item m="1" x="2727"/>
        <item m="1" x="1284"/>
        <item m="1" x="2023"/>
        <item m="1" x="710"/>
        <item m="1" x="1993"/>
        <item m="1" x="129"/>
        <item m="1" x="629"/>
        <item m="1" x="575"/>
        <item m="1" x="517"/>
        <item m="1" x="4099"/>
        <item m="1" x="1651"/>
        <item m="1" x="1485"/>
        <item m="1" x="1279"/>
        <item m="1" x="3971"/>
        <item m="1" x="305"/>
        <item m="1" x="1884"/>
        <item m="1" x="3195"/>
        <item m="1" x="1631"/>
        <item m="1" x="3418"/>
        <item m="1" x="3220"/>
        <item m="1" x="4154"/>
        <item m="1" x="4372"/>
        <item m="1" x="1122"/>
        <item m="1" x="1248"/>
        <item m="1" x="4245"/>
        <item m="1" x="1778"/>
        <item m="1" x="596"/>
        <item m="1" x="2050"/>
        <item m="1" x="182"/>
        <item m="1" x="2849"/>
        <item m="1" x="3187"/>
        <item m="1" x="1446"/>
        <item m="1" x="1190"/>
        <item m="1" x="1258"/>
        <item m="1" x="312"/>
        <item m="1" x="4015"/>
        <item m="1" x="3632"/>
        <item m="1" x="1606"/>
        <item m="1" x="3996"/>
        <item m="1" x="3718"/>
        <item m="1" x="2079"/>
        <item m="1" x="3982"/>
        <item m="1" x="235"/>
        <item m="1" x="2429"/>
        <item m="1" x="835"/>
        <item m="1" x="1128"/>
        <item m="1" x="4332"/>
        <item m="1" x="2867"/>
        <item m="1" x="4272"/>
        <item m="1" x="3901"/>
        <item m="1" x="1345"/>
        <item m="1" x="2790"/>
        <item m="1" x="2719"/>
        <item m="1" x="879"/>
        <item m="1" x="2436"/>
        <item m="1" x="3955"/>
        <item m="1" x="2954"/>
        <item m="1" x="3876"/>
        <item m="1" x="951"/>
        <item m="1" x="888"/>
        <item m="1" x="966"/>
        <item m="1" x="1470"/>
        <item m="1" x="2942"/>
        <item m="1" x="2172"/>
        <item m="1" x="236"/>
        <item m="1" x="4285"/>
        <item m="1" x="1406"/>
        <item m="1" x="534"/>
        <item m="1" x="3137"/>
        <item m="1" x="3387"/>
        <item m="1" x="1966"/>
        <item m="1" x="4021"/>
        <item m="1" x="912"/>
        <item m="1" x="2823"/>
        <item m="1" x="2943"/>
        <item m="1" x="1422"/>
        <item m="1" x="1684"/>
        <item m="1" x="630"/>
        <item m="1" x="3822"/>
        <item m="1" x="3633"/>
        <item m="1" x="4401"/>
        <item m="1" x="3093"/>
        <item m="1" x="3139"/>
        <item m="1" x="432"/>
        <item m="1" x="2627"/>
        <item m="1" x="2122"/>
        <item m="1" x="2847"/>
        <item m="1" x="4418"/>
        <item m="1" x="3987"/>
        <item m="1" x="4194"/>
        <item m="1" x="666"/>
        <item x="0"/>
        <item x="2"/>
      </items>
    </pivotField>
    <pivotField axis="axisPage" showAll="0" defaultSubtotal="0">
      <items count="6159">
        <item m="1" x="5662"/>
        <item m="1" x="5236"/>
        <item m="1" x="1465"/>
        <item m="1" x="1479"/>
        <item m="1" x="5379"/>
        <item m="1" x="6139"/>
        <item m="1" x="5229"/>
        <item m="1" x="5400"/>
        <item m="1" x="5157"/>
        <item m="1" x="3920"/>
        <item m="1" x="5913"/>
        <item x="3"/>
        <item x="47"/>
        <item m="1" x="1288"/>
        <item x="49"/>
        <item x="39"/>
        <item x="18"/>
        <item x="67"/>
        <item x="41"/>
        <item x="25"/>
        <item x="90"/>
        <item x="87"/>
        <item x="32"/>
        <item x="9"/>
        <item x="63"/>
        <item m="1" x="339"/>
        <item x="35"/>
        <item x="53"/>
        <item x="82"/>
        <item x="55"/>
        <item x="28"/>
        <item x="16"/>
        <item x="7"/>
        <item x="21"/>
        <item m="1" x="3543"/>
        <item x="42"/>
        <item x="71"/>
        <item x="46"/>
        <item x="15"/>
        <item m="1" x="2350"/>
        <item x="52"/>
        <item m="1" x="4971"/>
        <item m="1" x="3364"/>
        <item x="43"/>
        <item m="1" x="143"/>
        <item x="37"/>
        <item m="1" x="5866"/>
        <item x="17"/>
        <item m="1" x="5095"/>
        <item m="1" x="5275"/>
        <item x="14"/>
        <item m="1" x="2288"/>
        <item m="1" x="4055"/>
        <item m="1" x="6039"/>
        <item m="1" x="1213"/>
        <item x="4"/>
        <item m="1" x="2372"/>
        <item m="1" x="1474"/>
        <item x="31"/>
        <item x="33"/>
        <item x="23"/>
        <item m="1" x="1273"/>
        <item m="1" x="5333"/>
        <item m="1" x="179"/>
        <item m="1" x="2822"/>
        <item m="1" x="4474"/>
        <item x="36"/>
        <item x="12"/>
        <item m="1" x="1843"/>
        <item m="1" x="1791"/>
        <item m="1" x="617"/>
        <item x="19"/>
        <item m="1" x="4426"/>
        <item m="1" x="2067"/>
        <item x="51"/>
        <item x="0"/>
        <item m="1" x="4208"/>
        <item x="38"/>
        <item x="45"/>
        <item x="20"/>
        <item x="34"/>
        <item x="10"/>
        <item m="1" x="3429"/>
        <item m="1" x="6087"/>
        <item m="1" x="1024"/>
        <item m="1" x="1650"/>
        <item x="8"/>
        <item m="1" x="1871"/>
        <item m="1" x="1656"/>
        <item m="1" x="473"/>
        <item m="1" x="3759"/>
        <item m="1" x="5904"/>
        <item m="1" x="3188"/>
        <item m="1" x="483"/>
        <item m="1" x="5586"/>
        <item x="24"/>
        <item m="1" x="221"/>
        <item m="1" x="2576"/>
        <item m="1" x="4499"/>
        <item m="1" x="690"/>
        <item m="1" x="3422"/>
        <item m="1" x="331"/>
        <item m="1" x="6158"/>
        <item m="1" x="2392"/>
        <item m="1" x="236"/>
        <item m="1" x="723"/>
        <item m="1" x="2779"/>
        <item m="1" x="4489"/>
        <item x="44"/>
        <item m="1" x="3459"/>
        <item x="27"/>
        <item m="1" x="4724"/>
        <item m="1" x="2455"/>
        <item x="22"/>
        <item m="1" x="4919"/>
        <item m="1" x="2057"/>
        <item m="1" x="4545"/>
        <item m="1" x="3558"/>
        <item m="1" x="2721"/>
        <item x="50"/>
        <item m="1" x="802"/>
        <item x="48"/>
        <item m="1" x="5931"/>
        <item m="1" x="5529"/>
        <item m="1" x="2615"/>
        <item m="1" x="4512"/>
        <item x="5"/>
        <item m="1" x="1892"/>
        <item x="2"/>
        <item x="6"/>
        <item x="65"/>
        <item m="1" x="5445"/>
        <item m="1" x="4251"/>
        <item m="1" x="1214"/>
        <item m="1" x="5517"/>
        <item m="1" x="332"/>
        <item m="1" x="2167"/>
        <item m="1" x="5827"/>
        <item m="1" x="1916"/>
        <item m="1" x="4379"/>
        <item m="1" x="884"/>
        <item m="1" x="5079"/>
        <item m="1" x="5512"/>
        <item m="1" x="1293"/>
        <item m="1" x="1413"/>
        <item m="1" x="531"/>
        <item m="1" x="735"/>
        <item m="1" x="3517"/>
        <item m="1" x="1680"/>
        <item m="1" x="3163"/>
        <item m="1" x="2391"/>
        <item m="1" x="1522"/>
        <item m="1" x="3001"/>
        <item m="1" x="4094"/>
        <item m="1" x="858"/>
        <item m="1" x="3006"/>
        <item m="1" x="551"/>
        <item m="1" x="2001"/>
        <item m="1" x="1637"/>
        <item m="1" x="4130"/>
        <item m="1" x="4323"/>
        <item m="1" x="626"/>
        <item m="1" x="5025"/>
        <item m="1" x="5394"/>
        <item m="1" x="5596"/>
        <item m="1" x="2769"/>
        <item m="1" x="1813"/>
        <item m="1" x="6070"/>
        <item m="1" x="3572"/>
        <item m="1" x="5195"/>
        <item m="1" x="4576"/>
        <item m="1" x="2558"/>
        <item m="1" x="2117"/>
        <item m="1" x="1595"/>
        <item m="1" x="4368"/>
        <item m="1" x="1057"/>
        <item m="1" x="1568"/>
        <item m="1" x="3410"/>
        <item m="1" x="814"/>
        <item m="1" x="4557"/>
        <item m="1" x="1079"/>
        <item m="1" x="1335"/>
        <item m="1" x="5850"/>
        <item m="1" x="271"/>
        <item m="1" x="4617"/>
        <item m="1" x="5054"/>
        <item m="1" x="3376"/>
        <item m="1" x="5005"/>
        <item m="1" x="5280"/>
        <item m="1" x="5007"/>
        <item m="1" x="2637"/>
        <item m="1" x="3254"/>
        <item m="1" x="962"/>
        <item m="1" x="2440"/>
        <item m="1" x="5580"/>
        <item m="1" x="2341"/>
        <item m="1" x="1122"/>
        <item m="1" x="4005"/>
        <item m="1" x="304"/>
        <item m="1" x="4134"/>
        <item m="1" x="1592"/>
        <item m="1" x="3913"/>
        <item m="1" x="1003"/>
        <item m="1" x="4932"/>
        <item m="1" x="4667"/>
        <item m="1" x="904"/>
        <item m="1" x="1993"/>
        <item m="1" x="5020"/>
        <item m="1" x="296"/>
        <item m="1" x="2170"/>
        <item m="1" x="4983"/>
        <item m="1" x="2015"/>
        <item m="1" x="4896"/>
        <item m="1" x="4372"/>
        <item m="1" x="4963"/>
        <item m="1" x="6086"/>
        <item m="1" x="2127"/>
        <item m="1" x="2759"/>
        <item m="1" x="4221"/>
        <item m="1" x="3874"/>
        <item m="1" x="1603"/>
        <item m="1" x="5915"/>
        <item m="1" x="325"/>
        <item m="1" x="170"/>
        <item m="1" x="3698"/>
        <item m="1" x="2659"/>
        <item m="1" x="160"/>
        <item m="1" x="1071"/>
        <item m="1" x="2897"/>
        <item m="1" x="2461"/>
        <item m="1" x="2186"/>
        <item m="1" x="1757"/>
        <item m="1" x="785"/>
        <item m="1" x="4977"/>
        <item m="1" x="964"/>
        <item m="1" x="5136"/>
        <item m="1" x="5739"/>
        <item m="1" x="2293"/>
        <item m="1" x="2999"/>
        <item m="1" x="2591"/>
        <item m="1" x="4571"/>
        <item m="1" x="2465"/>
        <item m="1" x="4710"/>
        <item m="1" x="5140"/>
        <item m="1" x="5995"/>
        <item m="1" x="3513"/>
        <item m="1" x="5654"/>
        <item m="1" x="495"/>
        <item m="1" x="2394"/>
        <item m="1" x="4592"/>
        <item m="1" x="975"/>
        <item m="1" x="5287"/>
        <item m="1" x="3118"/>
        <item m="1" x="4498"/>
        <item m="1" x="3952"/>
        <item m="1" x="4235"/>
        <item m="1" x="317"/>
        <item m="1" x="2966"/>
        <item m="1" x="3510"/>
        <item m="1" x="2560"/>
        <item m="1" x="3170"/>
        <item m="1" x="1173"/>
        <item m="1" x="5433"/>
        <item m="1" x="3965"/>
        <item m="1" x="2617"/>
        <item m="1" x="4344"/>
        <item m="1" x="4555"/>
        <item m="1" x="4462"/>
        <item m="1" x="4253"/>
        <item m="1" x="3518"/>
        <item m="1" x="917"/>
        <item m="1" x="5985"/>
        <item m="1" x="2182"/>
        <item m="1" x="4986"/>
        <item m="1" x="4022"/>
        <item m="1" x="3978"/>
        <item m="1" x="1620"/>
        <item m="1" x="669"/>
        <item m="1" x="4816"/>
        <item m="1" x="1081"/>
        <item m="1" x="4236"/>
        <item m="1" x="323"/>
        <item m="1" x="385"/>
        <item m="1" x="2883"/>
        <item m="1" x="243"/>
        <item m="1" x="5245"/>
        <item m="1" x="2065"/>
        <item m="1" x="3671"/>
        <item m="1" x="1211"/>
        <item m="1" x="3042"/>
        <item m="1" x="2253"/>
        <item m="1" x="1961"/>
        <item m="1" x="2596"/>
        <item m="1" x="2843"/>
        <item m="1" x="1045"/>
        <item m="1" x="849"/>
        <item m="1" x="5306"/>
        <item m="1" x="6079"/>
        <item m="1" x="5612"/>
        <item m="1" x="1397"/>
        <item m="1" x="3344"/>
        <item m="1" x="4613"/>
        <item m="1" x="4810"/>
        <item m="1" x="1830"/>
        <item m="1" x="1985"/>
        <item m="1" x="702"/>
        <item m="1" x="1284"/>
        <item m="1" x="5397"/>
        <item m="1" x="5470"/>
        <item m="1" x="302"/>
        <item m="1" x="2691"/>
        <item m="1" x="4805"/>
        <item m="1" x="2237"/>
        <item m="1" x="4596"/>
        <item m="1" x="3606"/>
        <item m="1" x="3637"/>
        <item m="1" x="5929"/>
        <item m="1" x="1571"/>
        <item m="1" x="3161"/>
        <item m="1" x="1372"/>
        <item m="1" x="3539"/>
        <item m="1" x="3152"/>
        <item m="1" x="3132"/>
        <item m="1" x="2069"/>
        <item m="1" x="2674"/>
        <item m="1" x="5265"/>
        <item m="1" x="745"/>
        <item m="1" x="5950"/>
        <item m="1" x="2066"/>
        <item m="1" x="4758"/>
        <item m="1" x="753"/>
        <item m="1" x="1447"/>
        <item m="1" x="4255"/>
        <item m="1" x="4658"/>
        <item m="1" x="5813"/>
        <item m="1" x="1127"/>
        <item m="1" x="1617"/>
        <item m="1" x="4333"/>
        <item m="1" x="5979"/>
        <item m="1" x="5048"/>
        <item m="1" x="2718"/>
        <item m="1" x="1396"/>
        <item m="1" x="1872"/>
        <item m="1" x="780"/>
        <item m="1" x="886"/>
        <item m="1" x="963"/>
        <item m="1" x="2619"/>
        <item m="1" x="5576"/>
        <item m="1" x="4701"/>
        <item m="1" x="3966"/>
        <item m="1" x="3613"/>
        <item m="1" x="1365"/>
        <item m="1" x="688"/>
        <item m="1" x="6152"/>
        <item m="1" x="4210"/>
        <item m="1" x="3140"/>
        <item m="1" x="783"/>
        <item m="1" x="6041"/>
        <item m="1" x="5270"/>
        <item m="1" x="5532"/>
        <item m="1" x="3845"/>
        <item m="1" x="4292"/>
        <item m="1" x="1441"/>
        <item m="1" x="4486"/>
        <item m="1" x="3980"/>
        <item m="1" x="1703"/>
        <item m="1" x="5035"/>
        <item m="1" x="3776"/>
        <item m="1" x="710"/>
        <item m="1" x="928"/>
        <item m="1" x="4345"/>
        <item m="1" x="3645"/>
        <item m="1" x="2023"/>
        <item m="1" x="2717"/>
        <item m="1" x="4510"/>
        <item m="1" x="4739"/>
        <item m="1" x="1277"/>
        <item m="1" x="2960"/>
        <item m="1" x="6155"/>
        <item m="1" x="2860"/>
        <item m="1" x="505"/>
        <item m="1" x="6034"/>
        <item m="1" x="3478"/>
        <item m="1" x="1747"/>
        <item m="1" x="3296"/>
        <item m="1" x="3822"/>
        <item m="1" x="4046"/>
        <item m="1" x="2690"/>
        <item m="1" x="4695"/>
        <item m="1" x="2808"/>
        <item m="1" x="196"/>
        <item m="1" x="2091"/>
        <item m="1" x="3690"/>
        <item m="1" x="1627"/>
        <item m="1" x="3493"/>
        <item m="1" x="4822"/>
        <item m="1" x="390"/>
        <item m="1" x="1626"/>
        <item m="1" x="4391"/>
        <item m="1" x="1526"/>
        <item m="1" x="2025"/>
        <item m="1" x="2657"/>
        <item m="1" x="763"/>
        <item m="1" x="5502"/>
        <item m="1" x="2215"/>
        <item m="1" x="5958"/>
        <item m="1" x="4088"/>
        <item m="1" x="4693"/>
        <item m="1" x="3838"/>
        <item m="1" x="4580"/>
        <item m="1" x="5617"/>
        <item m="1" x="2399"/>
        <item m="1" x="2729"/>
        <item m="1" x="2277"/>
        <item m="1" x="5430"/>
        <item m="1" x="2795"/>
        <item m="1" x="3871"/>
        <item m="1" x="3334"/>
        <item m="1" x="3754"/>
        <item m="1" x="5999"/>
        <item m="1" x="2962"/>
        <item m="1" x="4168"/>
        <item m="1" x="5174"/>
        <item m="1" x="2144"/>
        <item m="1" x="2737"/>
        <item m="1" x="749"/>
        <item m="1" x="5023"/>
        <item m="1" x="2358"/>
        <item m="1" x="2108"/>
        <item m="1" x="1861"/>
        <item m="1" x="3474"/>
        <item m="1" x="1313"/>
        <item m="1" x="5693"/>
        <item m="1" x="1248"/>
        <item m="1" x="395"/>
        <item m="1" x="1732"/>
        <item m="1" x="3336"/>
        <item m="1" x="4911"/>
        <item m="1" x="1947"/>
        <item m="1" x="191"/>
        <item m="1" x="5738"/>
        <item m="1" x="1858"/>
        <item m="1" x="5830"/>
        <item m="1" x="5380"/>
        <item m="1" x="4635"/>
        <item m="1" x="639"/>
        <item m="1" x="6151"/>
        <item m="1" x="818"/>
        <item m="1" x="1150"/>
        <item m="1" x="5681"/>
        <item m="1" x="1516"/>
        <item m="1" x="1385"/>
        <item m="1" x="4714"/>
        <item m="1" x="3627"/>
        <item m="1" x="3286"/>
        <item m="1" x="4851"/>
        <item m="1" x="1601"/>
        <item m="1" x="5459"/>
        <item m="1" x="1225"/>
        <item m="1" x="3368"/>
        <item m="1" x="2068"/>
        <item m="1" x="528"/>
        <item m="1" x="5873"/>
        <item m="1" x="4154"/>
        <item m="1" x="4898"/>
        <item m="1" x="1358"/>
        <item m="1" x="3866"/>
        <item m="1" x="5717"/>
        <item m="1" x="572"/>
        <item m="1" x="2151"/>
        <item m="1" x="6061"/>
        <item m="1" x="2480"/>
        <item m="1" x="2235"/>
        <item m="1" x="725"/>
        <item m="1" x="3426"/>
        <item m="1" x="1841"/>
        <item m="1" x="4899"/>
        <item m="1" x="466"/>
        <item m="1" x="1069"/>
        <item m="1" x="2687"/>
        <item m="1" x="4199"/>
        <item m="1" x="4010"/>
        <item m="1" x="5139"/>
        <item m="1" x="4572"/>
        <item m="1" x="2471"/>
        <item m="1" x="3416"/>
        <item m="1" x="155"/>
        <item m="1" x="1724"/>
        <item m="1" x="1009"/>
        <item m="1" x="2866"/>
        <item m="1" x="5090"/>
        <item m="1" x="6147"/>
        <item m="1" x="5328"/>
        <item m="1" x="546"/>
        <item m="1" x="647"/>
        <item m="1" x="1814"/>
        <item m="1" x="4438"/>
        <item m="1" x="856"/>
        <item m="1" x="2382"/>
        <item m="1" x="5703"/>
        <item m="1" x="1936"/>
        <item m="1" x="4536"/>
        <item m="1" x="514"/>
        <item m="1" x="4773"/>
        <item m="1" x="4106"/>
        <item m="1" x="3667"/>
        <item m="1" x="5566"/>
        <item m="1" x="1227"/>
        <item m="1" x="1168"/>
        <item m="1" x="4448"/>
        <item m="1" x="1051"/>
        <item m="1" x="2000"/>
        <item m="1" x="1484"/>
        <item m="1" x="261"/>
        <item m="1" x="2534"/>
        <item m="1" x="2968"/>
        <item m="1" x="1705"/>
        <item m="1" x="5884"/>
        <item m="1" x="5844"/>
        <item m="1" x="4092"/>
        <item m="1" x="2223"/>
        <item m="1" x="940"/>
        <item m="1" x="5050"/>
        <item m="1" x="115"/>
        <item m="1" x="1106"/>
        <item m="1" x="2051"/>
        <item m="1" x="336"/>
        <item m="1" x="5279"/>
        <item m="1" x="5899"/>
        <item m="1" x="1846"/>
        <item m="1" x="5288"/>
        <item m="1" x="4231"/>
        <item m="1" x="5263"/>
        <item m="1" x="1880"/>
        <item m="1" x="2289"/>
        <item m="1" x="2284"/>
        <item m="1" x="2321"/>
        <item m="1" x="3598"/>
        <item m="1" x="4179"/>
        <item m="1" x="3910"/>
        <item m="1" x="5921"/>
        <item m="1" x="2998"/>
        <item m="1" x="3641"/>
        <item m="1" x="5257"/>
        <item m="1" x="4105"/>
        <item x="61"/>
        <item m="1" x="1827"/>
        <item m="1" x="4744"/>
        <item m="1" x="4228"/>
        <item m="1" x="5346"/>
        <item m="1" x="6089"/>
        <item m="1" x="5401"/>
        <item m="1" x="1540"/>
        <item m="1" x="5149"/>
        <item m="1" x="3559"/>
        <item m="1" x="3831"/>
        <item m="1" x="2453"/>
        <item m="1" x="2274"/>
        <item m="1" x="1893"/>
        <item m="1" x="1315"/>
        <item m="1" x="1730"/>
        <item m="1" x="3917"/>
        <item m="1" x="5429"/>
        <item m="1" x="417"/>
        <item m="1" x="2724"/>
        <item m="1" x="4452"/>
        <item m="1" x="392"/>
        <item m="1" x="5461"/>
        <item m="1" x="1635"/>
        <item m="1" x="954"/>
        <item m="1" x="3425"/>
        <item m="1" x="2029"/>
        <item m="1" x="1687"/>
        <item m="1" x="5181"/>
        <item m="1" x="1686"/>
        <item m="1" x="3395"/>
        <item m="1" x="1171"/>
        <item m="1" x="2162"/>
        <item m="1" x="2670"/>
        <item m="1" x="3211"/>
        <item m="1" x="3883"/>
        <item m="1" x="5258"/>
        <item m="1" x="2300"/>
        <item m="1" x="2973"/>
        <item m="1" x="4565"/>
        <item m="1" x="3528"/>
        <item m="1" x="4129"/>
        <item m="1" x="5822"/>
        <item m="1" x="3393"/>
        <item m="1" x="4523"/>
        <item m="1" x="5137"/>
        <item m="1" x="2231"/>
        <item m="1" x="3119"/>
        <item m="1" x="1820"/>
        <item m="1" x="3401"/>
        <item m="1" x="374"/>
        <item m="1" x="3290"/>
        <item m="1" x="4997"/>
        <item m="1" x="3356"/>
        <item m="1" x="998"/>
        <item m="1" x="3285"/>
        <item m="1" x="4823"/>
        <item m="1" x="2176"/>
        <item m="1" x="2378"/>
        <item m="1" x="1576"/>
        <item m="1" x="4439"/>
        <item m="1" x="4331"/>
        <item m="1" x="4198"/>
        <item m="1" x="4473"/>
        <item m="1" x="321"/>
        <item m="1" x="3276"/>
        <item m="1" x="5203"/>
        <item m="1" x="674"/>
        <item m="1" x="1439"/>
        <item m="1" x="209"/>
        <item m="1" x="5354"/>
        <item m="1" x="5276"/>
        <item m="1" x="4312"/>
        <item m="1" x="1789"/>
        <item m="1" x="6080"/>
        <item m="1" x="2414"/>
        <item m="1" x="727"/>
        <item m="1" x="370"/>
        <item m="1" x="284"/>
        <item m="1" x="1384"/>
        <item m="1" x="1528"/>
        <item m="1" x="4908"/>
        <item m="1" x="3319"/>
        <item m="1" x="3955"/>
        <item m="1" x="5630"/>
        <item m="1" x="2606"/>
        <item m="1" x="2857"/>
        <item m="1" x="3460"/>
        <item m="1" x="4598"/>
        <item m="1" x="6140"/>
        <item m="1" x="4319"/>
        <item m="1" x="2225"/>
        <item m="1" x="3800"/>
        <item m="1" x="6021"/>
        <item m="1" x="3180"/>
        <item m="1" x="3502"/>
        <item m="1" x="996"/>
        <item m="1" x="2102"/>
        <item m="1" x="4256"/>
        <item m="1" x="3988"/>
        <item m="1" x="1688"/>
        <item m="1" x="6002"/>
        <item m="1" x="2958"/>
        <item m="1" x="4704"/>
        <item m="1" x="2255"/>
        <item m="1" x="4529"/>
        <item m="1" x="2397"/>
        <item m="1" x="5308"/>
        <item m="1" x="4155"/>
        <item m="1" x="3508"/>
        <item m="1" x="5766"/>
        <item m="1" x="3489"/>
        <item m="1" x="4500"/>
        <item m="1" x="1298"/>
        <item m="1" x="752"/>
        <item m="1" x="264"/>
        <item m="1" x="4463"/>
        <item m="1" x="5360"/>
        <item m="1" x="3960"/>
        <item m="1" x="1622"/>
        <item m="1" x="2833"/>
        <item m="1" x="5109"/>
        <item m="1" x="713"/>
        <item m="1" x="129"/>
        <item m="1" x="4304"/>
        <item m="1" x="5878"/>
        <item m="1" x="4120"/>
        <item m="1" x="2746"/>
        <item m="1" x="3177"/>
        <item m="1" x="131"/>
        <item m="1" x="5807"/>
        <item m="1" x="1359"/>
        <item m="1" x="4392"/>
        <item m="1" x="4052"/>
        <item m="1" x="5399"/>
        <item m="1" x="5490"/>
        <item m="1" x="3375"/>
        <item m="1" x="1427"/>
        <item m="1" x="2826"/>
        <item m="1" x="3217"/>
        <item m="1" x="5923"/>
        <item m="1" x="2844"/>
        <item m="1" x="6004"/>
        <item m="1" x="3341"/>
        <item m="1" x="3524"/>
        <item m="1" x="1292"/>
        <item m="1" x="4725"/>
        <item m="1" x="5911"/>
        <item m="1" x="5271"/>
        <item m="1" x="540"/>
        <item m="1" x="4435"/>
        <item m="1" x="6091"/>
        <item m="1" x="3384"/>
        <item m="1" x="3323"/>
        <item m="1" x="2787"/>
        <item m="1" x="1379"/>
        <item m="1" x="4342"/>
        <item m="1" x="2194"/>
        <item m="1" x="442"/>
        <item m="1" x="2137"/>
        <item m="1" x="1804"/>
        <item m="1" x="5226"/>
        <item m="1" x="6038"/>
        <item m="1" x="3921"/>
        <item m="1" x="1331"/>
        <item m="1" x="2497"/>
        <item m="1" x="1848"/>
        <item m="1" x="4902"/>
        <item m="1" x="4380"/>
        <item m="1" x="868"/>
        <item m="1" x="1978"/>
        <item m="1" x="4064"/>
        <item m="1" x="2389"/>
        <item m="1" x="5424"/>
        <item m="1" x="2704"/>
        <item m="1" x="4691"/>
        <item m="1" x="2451"/>
        <item m="1" x="3999"/>
        <item m="1" x="1205"/>
        <item m="1" x="2610"/>
        <item m="1" x="3204"/>
        <item m="1" x="944"/>
        <item m="1" x="2671"/>
        <item m="1" x="536"/>
        <item m="1" x="3444"/>
        <item m="1" x="1948"/>
        <item m="1" x="3234"/>
        <item m="1" x="6013"/>
        <item m="1" x="2863"/>
        <item m="1" x="5753"/>
        <item m="1" x="5237"/>
        <item m="1" x="1606"/>
        <item m="1" x="3342"/>
        <item m="1" x="2281"/>
        <item m="1" x="4685"/>
        <item m="1" x="1325"/>
        <item m="1" x="4544"/>
        <item m="1" x="1279"/>
        <item m="1" x="1240"/>
        <item m="1" x="4673"/>
        <item m="1" x="3017"/>
        <item m="1" x="3000"/>
        <item m="1" x="3312"/>
        <item m="1" x="4309"/>
        <item m="1" x="4365"/>
        <item m="1" x="2110"/>
        <item m="1" x="548"/>
        <item m="1" x="2470"/>
        <item m="1" x="1141"/>
        <item m="1" x="3218"/>
        <item m="1" x="4943"/>
        <item m="1" x="194"/>
        <item m="1" x="3753"/>
        <item m="1" x="4385"/>
        <item m="1" x="1684"/>
        <item m="1" x="5300"/>
        <item m="1" x="3801"/>
        <item m="1" x="3932"/>
        <item m="1" x="4700"/>
        <item m="1" x="2128"/>
        <item m="1" x="989"/>
        <item m="1" x="238"/>
        <item m="1" x="1473"/>
        <item m="1" x="5770"/>
        <item m="1" x="1488"/>
        <item m="1" x="1914"/>
        <item m="1" x="379"/>
        <item m="1" x="4737"/>
        <item m="1" x="1392"/>
        <item m="1" x="2071"/>
        <item m="1" x="3113"/>
        <item m="1" x="3862"/>
        <item m="1" x="3281"/>
        <item m="1" x="2819"/>
        <item m="1" x="2463"/>
        <item m="1" x="5605"/>
        <item m="1" x="1946"/>
        <item m="1" x="5234"/>
        <item m="1" x="173"/>
        <item m="1" x="3877"/>
        <item m="1" x="2040"/>
        <item m="1" x="5857"/>
        <item m="1" x="3065"/>
        <item m="1" x="958"/>
        <item m="1" x="4358"/>
        <item m="1" x="5000"/>
        <item m="1" x="5080"/>
        <item m="1" x="1063"/>
        <item m="1" x="186"/>
        <item m="1" x="148"/>
        <item m="1" x="707"/>
        <item m="1" x="5976"/>
        <item m="1" x="2157"/>
        <item m="1" x="3335"/>
        <item m="1" x="3949"/>
        <item m="1" x="2801"/>
        <item m="1" x="1169"/>
        <item m="1" x="1645"/>
        <item m="1" x="5935"/>
        <item m="1" x="3438"/>
        <item m="1" x="2745"/>
        <item m="1" x="1681"/>
        <item m="1" x="5754"/>
        <item m="1" x="4534"/>
        <item m="1" x="327"/>
        <item m="1" x="1015"/>
        <item m="1" x="676"/>
        <item m="1" x="4717"/>
        <item m="1" x="4910"/>
        <item m="1" x="6083"/>
        <item m="1" x="1053"/>
        <item m="1" x="5015"/>
        <item m="1" x="2381"/>
        <item m="1" x="2478"/>
        <item m="1" x="3371"/>
        <item m="1" x="3876"/>
        <item m="1" x="1683"/>
        <item m="1" x="2417"/>
        <item m="1" x="5788"/>
        <item m="1" x="744"/>
        <item m="1" x="5688"/>
        <item m="1" x="5425"/>
        <item m="1" x="1638"/>
        <item m="1" x="1073"/>
        <item m="1" x="795"/>
        <item m="1" x="2494"/>
        <item m="1" x="3799"/>
        <item m="1" x="6016"/>
        <item m="1" x="1989"/>
        <item m="1" x="2466"/>
        <item m="1" x="3184"/>
        <item m="1" x="4982"/>
        <item m="1" x="2434"/>
        <item m="1" x="1033"/>
        <item m="1" x="4340"/>
        <item m="1" x="1131"/>
        <item m="1" x="1583"/>
        <item m="1" x="2628"/>
        <item m="1" x="3071"/>
        <item m="1" x="4521"/>
        <item m="1" x="5388"/>
        <item m="1" x="2413"/>
        <item m="1" x="3706"/>
        <item m="1" x="1765"/>
        <item m="1" x="4951"/>
        <item m="1" x="4167"/>
        <item m="1" x="708"/>
        <item m="1" x="5439"/>
        <item m="1" x="3185"/>
        <item m="1" x="153"/>
        <item m="1" x="2344"/>
        <item m="1" x="4513"/>
        <item m="1" x="6020"/>
        <item m="1" x="2636"/>
        <item m="1" x="3194"/>
        <item m="1" x="6148"/>
        <item m="1" x="5004"/>
        <item m="1" x="1811"/>
        <item m="1" x="3685"/>
        <item m="1" x="3620"/>
        <item m="1" x="5637"/>
        <item m="1" x="5901"/>
        <item m="1" x="2800"/>
        <item m="1" x="5555"/>
        <item m="1" x="4679"/>
        <item m="1" x="4044"/>
        <item m="1" x="4158"/>
        <item m="1" x="3385"/>
        <item m="1" x="2411"/>
        <item m="1" x="2078"/>
        <item m="1" x="636"/>
        <item m="1" x="1089"/>
        <item m="1" x="1244"/>
        <item m="1" x="3526"/>
        <item m="1" x="2448"/>
        <item m="1" x="5549"/>
        <item m="1" x="2918"/>
        <item m="1" x="5521"/>
        <item m="1" x="3630"/>
        <item m="1" x="1457"/>
        <item m="1" x="120"/>
        <item m="1" x="1188"/>
        <item m="1" x="2568"/>
        <item m="1" x="127"/>
        <item m="1" x="550"/>
        <item m="1" x="5737"/>
        <item m="1" x="2264"/>
        <item m="1" x="2708"/>
        <item m="1" x="1613"/>
        <item m="1" x="1475"/>
        <item m="1" x="3574"/>
        <item m="1" x="589"/>
        <item m="1" x="365"/>
        <item m="1" x="3898"/>
        <item m="1" x="734"/>
        <item m="1" x="1010"/>
        <item m="1" x="5447"/>
        <item m="1" x="5251"/>
        <item m="1" x="3851"/>
        <item m="1" x="1001"/>
        <item m="1" x="1124"/>
        <item m="1" x="1834"/>
        <item m="1" x="1711"/>
        <item m="1" x="3540"/>
        <item m="1" x="1836"/>
        <item m="1" x="4040"/>
        <item m="1" x="3431"/>
        <item m="1" x="4298"/>
        <item m="1" x="5745"/>
        <item m="1" x="2408"/>
        <item m="1" x="275"/>
        <item m="1" x="1147"/>
        <item m="1" x="4107"/>
        <item m="1" x="4346"/>
        <item m="1" x="1864"/>
        <item m="1" x="4425"/>
        <item m="1" x="5815"/>
        <item m="1" x="5951"/>
        <item m="1" x="3088"/>
        <item m="1" x="2651"/>
        <item m="1" x="4798"/>
        <item m="1" x="1256"/>
        <item m="1" x="2799"/>
        <item m="1" x="3040"/>
        <item m="1" x="5107"/>
        <item m="1" x="1876"/>
        <item m="1" x="329"/>
        <item m="1" x="535"/>
        <item m="1" x="5768"/>
        <item m="1" x="3469"/>
        <item m="1" x="3305"/>
        <item m="1" x="4574"/>
        <item m="1" x="5056"/>
        <item m="1" x="4649"/>
        <item m="1" x="3165"/>
        <item m="1" x="3159"/>
        <item m="1" x="2835"/>
        <item m="1" x="1927"/>
        <item m="1" x="4404"/>
        <item m="1" x="1539"/>
        <item m="1" x="4738"/>
        <item m="1" x="1230"/>
        <item m="1" x="847"/>
        <item m="1" x="1736"/>
        <item m="1" x="5301"/>
        <item m="1" x="4878"/>
        <item m="1" x="3983"/>
        <item m="1" x="4815"/>
        <item m="1" x="4597"/>
        <item m="1" x="5743"/>
        <item m="1" x="2716"/>
        <item m="1" x="3104"/>
        <item m="1" x="3160"/>
        <item m="1" x="2893"/>
        <item m="1" x="5868"/>
        <item m="1" x="2551"/>
        <item m="1" x="2443"/>
        <item m="1" x="5809"/>
        <item m="1" x="5405"/>
        <item m="1" x="2010"/>
        <item m="1" x="5574"/>
        <item m="1" x="135"/>
        <item m="1" x="1179"/>
        <item m="1" x="4660"/>
        <item m="1" x="3536"/>
        <item m="1" x="425"/>
        <item m="1" x="330"/>
        <item m="1" x="2623"/>
        <item m="1" x="1727"/>
        <item m="1" x="3766"/>
        <item m="1" x="1759"/>
        <item m="1" x="5243"/>
        <item m="1" x="3850"/>
        <item m="1" x="738"/>
        <item m="1" x="4212"/>
        <item m="1" x="4578"/>
        <item m="1" x="2736"/>
        <item m="1" x="2933"/>
        <item m="1" x="5880"/>
        <item m="1" x="5752"/>
        <item m="1" x="1721"/>
        <item m="1" x="3215"/>
        <item m="1" x="3722"/>
        <item m="1" x="1771"/>
        <item m="1" x="741"/>
        <item m="1" x="1823"/>
        <item m="1" x="4762"/>
        <item m="1" x="3626"/>
        <item m="1" x="991"/>
        <item m="1" x="5896"/>
        <item m="1" x="1769"/>
        <item m="1" x="809"/>
        <item m="1" x="3135"/>
        <item m="1" x="1368"/>
        <item m="1" x="4955"/>
        <item m="1" x="216"/>
        <item m="1" x="4243"/>
        <item m="1" x="5277"/>
        <item m="1" x="3925"/>
        <item m="1" x="3362"/>
        <item m="1" x="3354"/>
        <item m="1" x="5513"/>
        <item m="1" x="3644"/>
        <item m="1" x="943"/>
        <item m="1" x="2939"/>
        <item m="1" x="6044"/>
        <item m="1" x="4957"/>
        <item m="1" x="1859"/>
        <item m="1" x="3029"/>
        <item m="1" x="5483"/>
        <item m="1" x="166"/>
        <item m="1" x="4684"/>
        <item m="1" x="5113"/>
        <item m="1" x="3652"/>
        <item m="1" x="5755"/>
        <item m="1" x="5074"/>
        <item m="1" x="3782"/>
        <item m="1" x="3697"/>
        <item m="1" x="2703"/>
        <item m="1" x="4270"/>
        <item m="1" x="4491"/>
        <item m="1" x="5391"/>
        <item m="1" x="755"/>
        <item m="1" x="4202"/>
        <item m="1" x="5009"/>
        <item m="1" x="381"/>
        <item m="1" x="5248"/>
        <item m="1" x="2978"/>
        <item m="1" x="5238"/>
        <item m="1" x="4204"/>
        <item m="1" x="4973"/>
        <item m="1" x="1657"/>
        <item m="1" x="929"/>
        <item m="1" x="2815"/>
        <item m="1" x="854"/>
        <item m="1" x="865"/>
        <item m="1" x="1266"/>
        <item m="1" x="5837"/>
        <item m="1" x="2114"/>
        <item m="1" x="1268"/>
        <item m="1" x="645"/>
        <item m="1" x="853"/>
        <item m="1" x="3757"/>
        <item m="1" x="344"/>
        <item m="1" x="3689"/>
        <item m="1" x="506"/>
        <item m="1" x="5055"/>
        <item m="1" x="1682"/>
        <item m="1" x="2712"/>
        <item m="1" x="1735"/>
        <item m="1" x="716"/>
        <item m="1" x="3545"/>
        <item m="1" x="2230"/>
        <item m="1" x="3068"/>
        <item m="1" x="4532"/>
        <item m="1" x="1271"/>
        <item m="1" x="517"/>
        <item m="1" x="6024"/>
        <item m="1" x="558"/>
        <item m="1" x="1146"/>
        <item m="1" x="3394"/>
        <item m="1" x="5191"/>
        <item m="1" x="3986"/>
        <item m="1" x="3552"/>
        <item m="1" x="3867"/>
        <item m="1" x="3724"/>
        <item m="1" x="2248"/>
        <item m="1" x="1023"/>
        <item m="1" x="1132"/>
        <item m="1" x="5497"/>
        <item m="1" x="3021"/>
        <item m="1" x="1332"/>
        <item m="1" x="776"/>
        <item m="1" x="6095"/>
        <item m="1" x="3501"/>
        <item m="1" x="1521"/>
        <item m="1" x="4776"/>
        <item m="1" x="5208"/>
        <item m="1" x="5322"/>
        <item m="1" x="3233"/>
        <item m="1" x="1658"/>
        <item m="1" x="3970"/>
        <item m="1" x="906"/>
        <item m="1" x="2886"/>
        <item m="1" x="6096"/>
        <item m="1" x="4989"/>
        <item m="1" x="2125"/>
        <item m="1" x="1025"/>
        <item m="1" x="4650"/>
        <item m="1" x="5152"/>
        <item m="1" x="1305"/>
        <item m="1" x="3272"/>
        <item m="1" x="606"/>
        <item m="1" x="4618"/>
        <item m="1" x="1933"/>
        <item m="1" x="2906"/>
        <item m="1" x="3590"/>
        <item m="1" x="730"/>
        <item m="1" x="108"/>
        <item m="1" x="1802"/>
        <item m="1" x="5965"/>
        <item m="1" x="2552"/>
        <item m="1" x="5437"/>
        <item m="1" x="4142"/>
        <item m="1" x="5410"/>
        <item m="1" x="4703"/>
        <item m="1" x="3289"/>
        <item m="1" x="4802"/>
        <item m="1" x="1828"/>
        <item m="1" x="1676"/>
        <item m="1" x="2376"/>
        <item m="1" x="5684"/>
        <item m="1" x="4549"/>
        <item m="1" x="871"/>
        <item m="1" x="4675"/>
        <item m="1" x="1667"/>
        <item m="1" x="2695"/>
        <item m="1" x="3453"/>
        <item m="1" x="4145"/>
        <item m="1" x="3623"/>
        <item m="1" x="4030"/>
        <item m="1" x="1740"/>
        <item m="1" x="3956"/>
        <item m="1" x="3928"/>
        <item m="1" x="1506"/>
        <item m="1" x="3696"/>
        <item m="1" x="2583"/>
        <item m="1" x="4091"/>
        <item m="1" x="3373"/>
        <item m="1" x="4980"/>
        <item m="1" x="4410"/>
        <item m="1" x="1919"/>
        <item m="1" x="1518"/>
        <item m="1" x="1109"/>
        <item m="1" x="4671"/>
        <item m="1" x="4274"/>
        <item m="1" x="1094"/>
        <item m="1" x="4873"/>
        <item m="1" x="1452"/>
        <item m="1" x="4537"/>
        <item m="1" x="4247"/>
        <item m="1" x="237"/>
        <item m="1" x="2924"/>
        <item m="1" x="4160"/>
        <item m="1" x="258"/>
        <item m="1" x="1209"/>
        <item m="1" x="5581"/>
        <item m="1" x="740"/>
        <item m="1" x="3575"/>
        <item m="1" x="4153"/>
        <item m="1" x="4827"/>
        <item m="1" x="1661"/>
        <item m="1" x="1180"/>
        <item m="1" x="4595"/>
        <item m="1" x="3530"/>
        <item m="1" x="3208"/>
        <item m="1" x="3328"/>
        <item m="1" x="4593"/>
        <item m="1" x="1550"/>
        <item m="1" x="1287"/>
        <item m="1" x="4280"/>
        <item m="1" x="305"/>
        <item m="1" x="5747"/>
        <item m="1" x="2828"/>
        <item m="1" x="2202"/>
        <item m="1" x="5112"/>
        <item m="1" x="6032"/>
        <item m="1" x="1567"/>
        <item m="1" x="4992"/>
        <item m="1" x="3472"/>
        <item m="1" x="2861"/>
        <item m="1" x="2548"/>
        <item m="1" x="1221"/>
        <item m="1" x="2087"/>
        <item m="1" x="1855"/>
        <item m="1" x="3414"/>
        <item m="1" x="3712"/>
        <item m="1" x="2315"/>
        <item m="1" x="4351"/>
        <item m="1" x="1618"/>
        <item m="1" x="1817"/>
        <item m="1" x="747"/>
        <item m="1" x="625"/>
        <item m="1" x="1561"/>
        <item m="1" x="4639"/>
        <item m="1" x="3353"/>
        <item m="1" x="6101"/>
        <item m="1" x="1524"/>
        <item m="1" x="5685"/>
        <item m="1" x="2238"/>
        <item m="1" x="1342"/>
        <item m="1" x="1799"/>
        <item m="1" x="3173"/>
        <item m="1" x="295"/>
        <item m="1" x="1701"/>
        <item m="1" x="4436"/>
        <item m="1" x="2447"/>
        <item m="1" x="5165"/>
        <item m="1" x="4225"/>
        <item m="1" x="183"/>
        <item m="1" x="125"/>
        <item m="1" x="494"/>
        <item m="1" x="3094"/>
        <item m="1" x="3012"/>
        <item m="1" x="5207"/>
        <item m="1" x="1775"/>
        <item m="1" x="915"/>
        <item m="1" x="2268"/>
        <item m="1" x="1241"/>
        <item m="1" x="2991"/>
        <item m="1" x="4325"/>
        <item m="1" x="4275"/>
        <item m="1" x="1200"/>
        <item m="1" x="5393"/>
        <item m="1" x="4281"/>
        <item m="1" x="168"/>
        <item m="1" x="736"/>
        <item m="1" x="1995"/>
        <item m="1" x="3112"/>
        <item m="1" x="3013"/>
        <item m="1" x="3521"/>
        <item m="1" x="4909"/>
        <item m="1" x="5390"/>
        <item m="1" x="1529"/>
        <item m="1" x="3739"/>
        <item m="1" x="3886"/>
        <item m="1" x="4779"/>
        <item m="1" x="2159"/>
        <item m="1" x="2499"/>
        <item m="1" x="3675"/>
        <item m="1" x="3860"/>
        <item m="1" x="2705"/>
        <item m="1" x="678"/>
        <item m="1" x="3465"/>
        <item m="1" x="4467"/>
        <item m="1" x="3250"/>
        <item m="1" x="3349"/>
        <item m="1" x="6043"/>
        <item m="1" x="5088"/>
        <item m="1" x="1949"/>
        <item m="1" x="3032"/>
        <item m="1" x="287"/>
        <item m="1" x="1756"/>
        <item m="1" x="5144"/>
        <item m="1" x="240"/>
        <item m="1" x="181"/>
        <item m="1" x="3488"/>
        <item m="1" x="3824"/>
        <item m="1" x="4216"/>
        <item m="1" x="2526"/>
        <item m="1" x="2133"/>
        <item m="1" x="469"/>
        <item m="1" x="6060"/>
        <item m="1" x="1708"/>
        <item m="1" x="2505"/>
        <item m="1" x="4871"/>
        <item m="1" x="4147"/>
        <item m="1" x="2286"/>
        <item m="1" x="914"/>
        <item m="1" x="2374"/>
        <item m="1" x="5528"/>
        <item m="1" x="4402"/>
        <item m="1" x="4945"/>
        <item m="1" x="4620"/>
        <item m="1" x="399"/>
        <item m="1" x="5593"/>
        <item m="1" x="4437"/>
        <item m="1" x="1867"/>
        <item m="1" x="185"/>
        <item m="1" x="533"/>
        <item m="1" x="5492"/>
        <item m="1" x="4252"/>
        <item m="1" x="6121"/>
        <item m="1" x="5285"/>
        <item m="1" x="6085"/>
        <item m="1" x="2598"/>
        <item m="1" x="3214"/>
        <item m="1" x="4370"/>
        <item m="1" x="5749"/>
        <item m="1" x="5305"/>
        <item m="1" x="299"/>
        <item m="1" x="3168"/>
        <item m="1" x="498"/>
        <item m="1" x="4239"/>
        <item m="1" x="2901"/>
        <item m="1" x="3619"/>
        <item m="1" x="1907"/>
        <item m="1" x="4433"/>
        <item m="1" x="2027"/>
        <item m="1" x="430"/>
        <item x="13"/>
        <item m="1" x="479"/>
        <item m="1" x="4903"/>
        <item m="1" x="3884"/>
        <item m="1" x="4386"/>
        <item m="1" x="2813"/>
        <item m="1" x="470"/>
        <item m="1" x="4162"/>
        <item m="1" x="219"/>
        <item m="1" x="3771"/>
        <item m="1" x="1316"/>
        <item m="1" x="5789"/>
        <item m="1" x="3337"/>
        <item m="1" x="4174"/>
        <item m="1" x="3126"/>
        <item m="1" x="4316"/>
        <item m="1" x="4144"/>
        <item m="1" x="2524"/>
        <item m="1" x="3819"/>
        <item m="1" x="427"/>
        <item m="1" x="5591"/>
        <item m="1" x="387"/>
        <item m="1" x="971"/>
        <item m="1" x="1560"/>
        <item m="1" x="2131"/>
        <item m="1" x="5458"/>
        <item m="1" x="1128"/>
        <item m="1" x="3404"/>
        <item m="1" x="4479"/>
        <item m="1" x="5456"/>
        <item m="1" x="2487"/>
        <item m="1" x="3331"/>
        <item m="1" x="3625"/>
        <item m="1" x="5730"/>
        <item m="1" x="465"/>
        <item m="1" x="5331"/>
        <item m="1" x="5726"/>
        <item m="1" x="4870"/>
        <item m="1" x="4001"/>
        <item m="1" x="1143"/>
        <item m="1" x="4250"/>
        <item m="1" x="5242"/>
        <item m="1" x="3655"/>
        <item m="1" x="6131"/>
        <item m="1" x="2653"/>
        <item m="1" x="1182"/>
        <item m="1" x="5589"/>
        <item m="1" x="4774"/>
        <item m="1" x="4949"/>
        <item m="1" x="2302"/>
        <item m="1" x="222"/>
        <item m="1" x="3010"/>
        <item m="1" x="2430"/>
        <item m="1" x="2899"/>
        <item m="1" x="3309"/>
        <item m="1" x="3732"/>
        <item m="1" x="663"/>
        <item m="1" x="5790"/>
        <item m="1" x="5102"/>
        <item m="1" x="4515"/>
        <item m="1" x="5081"/>
        <item m="1" x="1954"/>
        <item m="1" x="2093"/>
        <item m="1" x="4383"/>
        <item m="1" x="5464"/>
        <item m="1" x="855"/>
        <item m="1" x="5820"/>
        <item m="1" x="4224"/>
        <item m="1" x="4672"/>
        <item m="1" x="3332"/>
        <item m="1" x="5533"/>
        <item m="1" x="833"/>
        <item m="1" x="4124"/>
        <item m="1" x="524"/>
        <item m="1" x="2748"/>
        <item m="1" x="3673"/>
        <item m="1" x="5984"/>
        <item m="1" x="5751"/>
        <item m="1" x="2557"/>
        <item m="1" x="3216"/>
        <item m="1" x="2313"/>
        <item m="1" x="5975"/>
        <item m="1" x="3209"/>
        <item m="1" x="5948"/>
        <item m="1" x="5702"/>
        <item m="1" x="3849"/>
        <item m="1" x="3976"/>
        <item m="1" x="4359"/>
        <item m="1" x="2840"/>
        <item m="1" x="2208"/>
        <item m="1" x="4096"/>
        <item m="1" x="1387"/>
        <item m="1" x="4485"/>
        <item m="1" x="3268"/>
        <item m="1" x="405"/>
        <item m="1" x="2044"/>
        <item m="1" x="4456"/>
        <item m="1" x="5973"/>
        <item m="1" x="4874"/>
        <item m="1" x="3618"/>
        <item m="1" x="1424"/>
        <item m="1" x="5846"/>
        <item m="1" x="3101"/>
        <item m="1" x="3473"/>
        <item m="1" x="4967"/>
        <item m="1" x="2101"/>
        <item m="1" x="3399"/>
        <item m="1" x="5537"/>
        <item m="1" x="3421"/>
        <item m="1" x="598"/>
        <item m="1" x="848"/>
        <item m="1" x="455"/>
        <item m="1" x="5686"/>
        <item m="1" x="2970"/>
        <item m="1" x="3687"/>
        <item m="1" x="1062"/>
        <item m="1" x="5687"/>
        <item m="1" x="754"/>
        <item m="1" x="5468"/>
        <item m="1" x="3941"/>
        <item m="1" x="3405"/>
        <item m="1" x="3816"/>
        <item m="1" x="1614"/>
        <item m="1" x="2540"/>
        <item m="1" x="5601"/>
        <item m="1" x="2002"/>
        <item m="1" x="1669"/>
        <item m="1" x="3442"/>
        <item m="1" x="5326"/>
        <item m="1" x="5849"/>
        <item m="1" x="1247"/>
        <item m="1" x="443"/>
        <item m="1" x="1136"/>
        <item m="1" x="361"/>
        <item m="1" x="2889"/>
        <item m="1" x="3467"/>
        <item m="1" x="697"/>
        <item m="1" x="4901"/>
        <item m="1" x="2483"/>
        <item m="1" x="2233"/>
        <item m="1" x="5290"/>
        <item m="1" x="4307"/>
        <item m="1" x="3901"/>
        <item m="1" x="4924"/>
        <item m="1" x="1698"/>
        <item m="1" x="2952"/>
        <item m="1" x="2185"/>
        <item m="1" x="883"/>
        <item m="1" x="2267"/>
        <item m="1" x="3307"/>
        <item m="1" x="1510"/>
        <item m="1" x="1229"/>
        <item m="1" x="3594"/>
        <item m="1" x="2247"/>
        <item m="1" x="4705"/>
        <item m="1" x="3546"/>
        <item m="1" x="6107"/>
        <item m="1" x="3379"/>
        <item m="1" x="1744"/>
        <item m="1" x="2472"/>
        <item m="1" x="2404"/>
        <item m="1" x="5366"/>
        <item m="1" x="378"/>
        <item m="1" x="3227"/>
        <item m="1" x="767"/>
        <item m="1" x="843"/>
        <item m="1" x="3090"/>
        <item m="1" x="270"/>
        <item m="1" x="5872"/>
        <item m="1" x="1375"/>
        <item m="1" x="582"/>
        <item m="1" x="3063"/>
        <item m="1" x="2588"/>
        <item m="1" x="5882"/>
        <item m="1" x="2484"/>
        <item m="1" x="1111"/>
        <item m="1" x="5087"/>
        <item m="1" x="5085"/>
        <item m="1" x="5069"/>
        <item m="1" x="467"/>
        <item m="1" x="2500"/>
        <item m="1" x="5179"/>
        <item m="1" x="4859"/>
        <item m="1" x="5855"/>
        <item m="1" x="4518"/>
        <item m="1" x="2118"/>
        <item m="1" x="4303"/>
        <item m="1" x="2793"/>
        <item m="1" x="3270"/>
        <item m="1" x="5411"/>
        <item m="1" x="5540"/>
        <item m="1" x="3586"/>
        <item m="1" x="4891"/>
        <item m="1" x="3205"/>
        <item m="1" x="922"/>
        <item m="1" x="2422"/>
        <item m="1" x="2291"/>
        <item m="1" x="6112"/>
        <item m="1" x="2571"/>
        <item m="1" x="1102"/>
        <item m="1" x="2904"/>
        <item m="1" x="1135"/>
        <item m="1" x="2224"/>
        <item m="1" x="6130"/>
        <item m="1" x="3945"/>
        <item m="1" x="1767"/>
        <item m="1" x="4215"/>
        <item m="1" x="2549"/>
        <item m="1" x="4797"/>
        <item m="1" x="1570"/>
        <item m="1" x="1972"/>
        <item m="1" x="1367"/>
        <item m="1" x="2567"/>
        <item m="1" x="1324"/>
        <item m="1" x="6040"/>
        <item m="1" x="3398"/>
        <item m="1" x="4655"/>
        <item m="1" x="123"/>
        <item m="1" x="860"/>
        <item m="1" x="518"/>
        <item m="1" x="4173"/>
        <item m="1" x="2016"/>
        <item m="1" x="5345"/>
        <item m="1" x="5834"/>
        <item m="1" x="2326"/>
        <item m="1" x="4375"/>
        <item m="1" x="1917"/>
        <item m="1" x="2353"/>
        <item m="1" x="5886"/>
        <item m="1" x="2696"/>
        <item m="1" x="4075"/>
        <item m="1" x="4050"/>
        <item m="1" x="743"/>
        <item m="1" x="3226"/>
        <item m="1" x="5330"/>
        <item m="1" x="1534"/>
        <item m="1" x="4020"/>
        <item m="1" x="1706"/>
        <item m="1" x="119"/>
        <item m="1" x="1476"/>
        <item m="1" x="1636"/>
        <item m="1" x="2649"/>
        <item m="1" x="4401"/>
        <item m="1" x="5161"/>
        <item m="1" x="4712"/>
        <item m="1" x="1884"/>
        <item m="1" x="3251"/>
        <item m="1" x="660"/>
        <item m="1" x="5267"/>
        <item m="1" x="2250"/>
        <item m="1" x="1497"/>
        <item m="1" x="267"/>
        <item m="1" x="5325"/>
        <item m="1" x="2871"/>
        <item m="1" x="4248"/>
        <item m="1" x="5210"/>
        <item m="1" x="3044"/>
        <item m="1" x="5508"/>
        <item m="1" x="3479"/>
        <item m="1" x="400"/>
        <item m="1" x="1296"/>
        <item m="1" x="4254"/>
        <item m="1" x="4907"/>
        <item m="1" x="5712"/>
        <item m="1" x="3914"/>
        <item m="1" x="5406"/>
        <item m="1" x="5368"/>
        <item x="60"/>
        <item m="1" x="3828"/>
        <item m="1" x="5448"/>
        <item m="1" x="5676"/>
        <item m="1" x="986"/>
        <item m="1" x="2324"/>
        <item m="1" x="2521"/>
        <item m="1" x="4925"/>
        <item m="1" x="4330"/>
        <item m="1" x="2050"/>
        <item m="1" x="1999"/>
        <item m="1" x="861"/>
        <item m="1" x="4722"/>
        <item m="1" x="5797"/>
        <item m="1" x="3158"/>
        <item m="1" x="634"/>
        <item m="1" x="765"/>
        <item m="1" x="432"/>
        <item m="1" x="5133"/>
        <item m="1" x="4801"/>
        <item m="1" x="820"/>
        <item m="1" x="5987"/>
        <item m="1" x="4793"/>
        <item m="1" x="5224"/>
        <item m="1" x="2214"/>
        <item m="1" x="1517"/>
        <item m="1" x="122"/>
        <item m="1" x="5989"/>
        <item m="1" x="3262"/>
        <item m="1" x="414"/>
        <item m="1" x="704"/>
        <item m="1" x="2260"/>
        <item m="1" x="1807"/>
        <item m="1" x="278"/>
        <item m="1" x="5765"/>
        <item m="1" x="4551"/>
        <item m="1" x="1309"/>
        <item m="1" x="1694"/>
        <item m="1" x="4043"/>
        <item m="1" x="1810"/>
        <item m="1" x="4850"/>
        <item m="1" x="599"/>
        <item m="1" x="6075"/>
        <item m="1" x="6084"/>
        <item m="1" x="5623"/>
        <item m="1" x="1970"/>
        <item m="1" x="5077"/>
        <item m="1" x="2246"/>
        <item m="1" x="4629"/>
        <item m="1" x="420"/>
        <item m="1" x="146"/>
        <item m="1" x="6142"/>
        <item m="1" x="4839"/>
        <item m="1" x="307"/>
        <item m="1" x="3018"/>
        <item m="1" x="686"/>
        <item m="1" x="2363"/>
        <item m="1" x="6157"/>
        <item m="1" x="5515"/>
        <item m="1" x="4065"/>
        <item m="1" x="1951"/>
        <item m="1" x="4939"/>
        <item m="1" x="3207"/>
        <item m="1" x="2765"/>
        <item m="1" x="1829"/>
        <item m="1" x="5343"/>
        <item m="1" x="651"/>
        <item m="1" x="3714"/>
        <item m="1" x="1760"/>
        <item m="1" x="2645"/>
        <item m="1" x="823"/>
        <item m="1" x="2335"/>
        <item m="1" x="5718"/>
        <item m="1" x="4432"/>
        <item m="1" x="3415"/>
        <item m="1" x="4628"/>
        <item m="1" x="4409"/>
        <item m="1" x="3039"/>
        <item m="1" x="5890"/>
        <item m="1" x="5865"/>
        <item m="1" x="5650"/>
        <item m="1" x="762"/>
        <item m="1" x="3858"/>
        <item m="1" x="4263"/>
        <item m="1" x="3895"/>
        <item m="1" x="2173"/>
        <item m="1" x="1046"/>
        <item m="1" x="4765"/>
        <item m="1" x="5486"/>
        <item m="1" x="1436"/>
        <item m="1" x="1879"/>
        <item m="1" x="4159"/>
        <item m="1" x="3740"/>
        <item m="1" x="567"/>
        <item m="1" x="662"/>
        <item m="1" x="5163"/>
        <item m="1" x="2232"/>
        <item m="1" x="5547"/>
        <item m="1" x="1742"/>
        <item m="1" x="2269"/>
        <item m="1" x="2168"/>
        <item m="1" x="1419"/>
        <item m="1" x="5823"/>
        <item m="1" x="5833"/>
        <item m="1" x="1551"/>
        <item m="1" x="5219"/>
        <item m="1" x="343"/>
        <item m="1" x="4656"/>
        <item m="1" x="2544"/>
        <item m="1" x="3310"/>
        <item m="1" x="840"/>
        <item m="1" x="4726"/>
        <item m="1" x="4640"/>
        <item m="1" x="4942"/>
        <item m="1" x="4209"/>
        <item m="1" x="4968"/>
        <item m="1" x="5741"/>
        <item m="1" x="1012"/>
        <item m="1" x="2464"/>
        <item m="1" x="1733"/>
        <item m="1" x="5319"/>
        <item m="1" x="1569"/>
        <item m="1" x="448"/>
        <item m="1" x="6012"/>
        <item m="1" x="4338"/>
        <item m="1" x="3825"/>
        <item m="1" x="3004"/>
        <item m="1" x="3836"/>
        <item m="1" x="994"/>
        <item m="1" x="2030"/>
        <item m="1" x="4508"/>
        <item m="1" x="5342"/>
        <item m="1" x="2191"/>
        <item m="1" x="3725"/>
        <item m="1" x="4985"/>
        <item m="1" x="1754"/>
        <item m="1" x="2486"/>
        <item m="1" x="5156"/>
        <item m="1" x="1612"/>
        <item m="1" x="2092"/>
        <item m="1" x="4921"/>
        <item m="1" x="4591"/>
        <item m="1" x="4713"/>
        <item m="1" x="3367"/>
        <item m="1" x="1272"/>
        <item m="1" x="5053"/>
        <item m="1" x="5773"/>
        <item m="1" x="2990"/>
        <item m="1" x="126"/>
        <item m="1" x="3144"/>
        <item m="1" x="1304"/>
        <item m="1" x="3443"/>
        <item m="1" x="5905"/>
        <item m="1" x="5071"/>
        <item m="1" x="4979"/>
        <item m="1" x="2655"/>
        <item m="1" x="5060"/>
        <item m="1" x="167"/>
        <item m="1" x="5894"/>
        <item m="1" x="2928"/>
        <item m="1" x="4893"/>
        <item m="1" x="3820"/>
        <item m="1" x="1549"/>
        <item m="1" x="2320"/>
        <item m="1" x="2401"/>
        <item m="1" x="4157"/>
        <item m="1" x="3547"/>
        <item m="1" x="948"/>
        <item m="1" x="2761"/>
        <item m="1" x="683"/>
        <item m="1" x="2848"/>
        <item m="1" x="5799"/>
        <item m="1" x="5443"/>
        <item m="1" x="4223"/>
        <item m="1" x="367"/>
        <item m="1" x="3146"/>
        <item m="1" x="355"/>
        <item m="1" x="4547"/>
        <item m="1" x="3340"/>
        <item m="1" x="2435"/>
        <item m="1" x="1885"/>
        <item m="1" x="3660"/>
        <item m="1" x="5621"/>
        <item m="1" x="2632"/>
        <item m="1" x="3492"/>
        <item m="1" x="1416"/>
        <item m="1" x="482"/>
        <item m="1" x="5289"/>
        <item m="1" x="638"/>
        <item m="1" x="829"/>
        <item m="1" x="607"/>
        <item m="1" x="649"/>
        <item m="1" x="1743"/>
        <item m="1" x="2954"/>
        <item m="1" x="1812"/>
        <item x="102"/>
        <item m="1" x="5313"/>
        <item m="1" x="1339"/>
        <item m="1" x="1835"/>
        <item m="1" x="805"/>
        <item m="1" x="3954"/>
        <item m="1" x="560"/>
        <item m="1" x="5509"/>
        <item m="1" x="4552"/>
        <item m="1" x="5561"/>
        <item m="1" x="1065"/>
        <item m="1" x="2121"/>
        <item m="1" x="2135"/>
        <item m="1" x="2589"/>
        <item m="1" x="2872"/>
        <item m="1" x="3461"/>
        <item m="1" x="3933"/>
        <item m="1" x="3608"/>
        <item m="1" x="605"/>
        <item m="1" x="5034"/>
        <item m="1" x="1336"/>
        <item m="1" x="995"/>
        <item m="1" x="1016"/>
        <item m="1" x="3095"/>
        <item m="1" x="537"/>
        <item m="1" x="4879"/>
        <item m="1" x="2005"/>
        <item m="1" x="5787"/>
        <item m="1" x="3859"/>
        <item m="1" x="4760"/>
        <item m="1" x="3183"/>
        <item m="1" x="1378"/>
        <item m="1" x="2251"/>
        <item m="1" x="1953"/>
        <item m="1" x="876"/>
        <item m="1" x="1455"/>
        <item m="1" x="5661"/>
        <item m="1" x="4258"/>
        <item m="1" x="3977"/>
        <item m="1" x="1178"/>
        <item m="1" x="3865"/>
        <item m="1" x="3837"/>
        <item m="1" x="4937"/>
        <item m="1" x="5409"/>
        <item m="1" x="174"/>
        <item m="1" x="5941"/>
        <item m="1" x="5909"/>
        <item m="1" x="1992"/>
        <item m="1" x="2160"/>
        <item m="1" x="3239"/>
        <item m="1" x="953"/>
        <item m="1" x="5362"/>
        <item m="1" x="3497"/>
        <item m="1" x="4356"/>
        <item m="1" x="4923"/>
        <item m="1" x="2149"/>
        <item m="1" x="1236"/>
        <item m="1" x="836"/>
        <item m="1" x="5891"/>
        <item m="1" x="1938"/>
        <item m="1" x="798"/>
        <item m="1" x="5960"/>
        <item m="1" x="2777"/>
        <item m="1" x="5653"/>
        <item m="1" x="3107"/>
        <item m="1" x="6124"/>
        <item m="1" x="1746"/>
        <item m="1" x="4747"/>
        <item m="1" x="274"/>
        <item m="1" x="1160"/>
        <item m="1" x="2009"/>
        <item m="1" x="4205"/>
        <item m="1" x="1904"/>
        <item m="1" x="3400"/>
        <item m="1" x="1356"/>
        <item m="1" x="1322"/>
        <item m="1" x="139"/>
        <item m="1" x="3150"/>
        <item m="1" x="2953"/>
        <item m="1" x="1971"/>
        <item m="1" x="2974"/>
        <item m="1" x="4388"/>
        <item m="1" x="2280"/>
        <item m="1" x="1181"/>
        <item m="1" x="2140"/>
        <item m="1" x="3985"/>
        <item m="1" x="5567"/>
        <item m="1" x="1737"/>
        <item m="1" x="5731"/>
        <item m="1" x="5957"/>
        <item m="1" x="5337"/>
        <item m="1" x="3210"/>
        <item m="1" x="3614"/>
        <item m="1" x="6078"/>
        <item m="1" x="1750"/>
        <item m="1" x="6150"/>
        <item m="1" x="4755"/>
        <item m="1" x="2201"/>
        <item m="1" x="5841"/>
        <item m="1" x="3257"/>
        <item m="1" x="2039"/>
        <item m="1" x="4406"/>
        <item m="1" x="3486"/>
        <item m="1" x="4843"/>
        <item m="1" x="5794"/>
        <item m="1" x="5991"/>
        <item m="1" x="203"/>
        <item m="1" x="1391"/>
        <item m="1" x="3130"/>
        <item m="1" x="864"/>
        <item m="1" x="2855"/>
        <item m="1" x="1969"/>
        <item m="1" x="4715"/>
        <item m="1" x="6031"/>
        <item m="1" x="2586"/>
        <item m="1" x="3072"/>
        <item m="1" x="4657"/>
        <item m="1" x="1918"/>
        <item m="1" x="5698"/>
        <item m="1" x="4117"/>
        <item m="1" x="925"/>
        <item m="1" x="3266"/>
        <item m="1" x="4735"/>
        <item m="1" x="2008"/>
        <item m="1" x="5656"/>
        <item m="1" x="5046"/>
        <item m="1" x="4615"/>
        <item m="1" x="5481"/>
        <item m="1" x="225"/>
        <item m="1" x="1199"/>
        <item m="1" x="5883"/>
        <item m="1" x="981"/>
        <item m="1" x="5312"/>
        <item m="1" x="4751"/>
        <item m="1" x="1981"/>
        <item m="1" x="5722"/>
        <item m="1" x="874"/>
        <item m="1" x="3321"/>
        <item m="1" x="4958"/>
        <item m="1" x="1665"/>
        <item m="1" x="2142"/>
        <item m="1" x="1788"/>
        <item m="1" x="5471"/>
        <item m="1" x="5983"/>
        <item m="1" x="2987"/>
        <item m="1" x="5001"/>
        <item m="1" x="1326"/>
        <item m="1" x="3313"/>
        <item m="1" x="3248"/>
        <item m="1" x="4575"/>
        <item m="1" x="5225"/>
        <item m="1" x="2081"/>
        <item m="1" x="4249"/>
        <item m="1" x="5281"/>
        <item m="1" x="5779"/>
        <item m="1" x="5083"/>
        <item m="1" x="3350"/>
        <item m="1" x="248"/>
        <item m="1" x="3139"/>
        <item m="1" x="1545"/>
        <item m="1" x="5349"/>
        <item m="1" x="3948"/>
        <item m="1" x="3430"/>
        <item m="1" x="1207"/>
        <item m="1" x="4074"/>
        <item m="1" x="771"/>
        <item m="1" x="358"/>
        <item m="1" x="4100"/>
        <item m="1" x="5814"/>
        <item m="1" x="1086"/>
        <item m="1" x="3610"/>
        <item m="1" x="116"/>
        <item m="1" x="4764"/>
        <item m="1" x="1164"/>
        <item m="1" x="292"/>
        <item m="1" x="371"/>
        <item m="1" x="1282"/>
        <item x="57"/>
        <item m="1" x="691"/>
        <item m="1" x="3715"/>
        <item m="1" x="2271"/>
        <item m="1" x="3808"/>
        <item m="1" x="5358"/>
        <item m="1" x="2629"/>
        <item m="1" x="388"/>
        <item m="1" x="782"/>
        <item m="1" x="6106"/>
        <item m="1" x="3223"/>
        <item m="1" x="1430"/>
        <item m="1" x="4548"/>
        <item m="1" x="1523"/>
        <item m="1" x="4825"/>
        <item m="1" x="3958"/>
        <item m="1" x="895"/>
        <item m="1" x="5707"/>
        <item m="1" x="1333"/>
        <item m="1" x="3154"/>
        <item m="1" x="2052"/>
        <item m="1" x="1868"/>
        <item m="1" x="3585"/>
        <item m="1" x="2226"/>
        <item m="1" x="2292"/>
        <item m="1" x="5045"/>
        <item m="1" x="714"/>
        <item m="1" x="1819"/>
        <item m="1" x="1741"/>
        <item m="1" x="4413"/>
        <item m="1" x="2412"/>
        <item m="1" x="2319"/>
        <item m="1" x="5816"/>
        <item m="1" x="3973"/>
        <item m="1" x="3668"/>
        <item m="1" x="3445"/>
        <item m="1" x="3779"/>
        <item m="1" x="2626"/>
        <item m="1" x="324"/>
        <item m="1" x="2506"/>
        <item m="1" x="4931"/>
        <item m="1" x="766"/>
        <item m="1" x="438"/>
        <item m="1" x="5761"/>
        <item m="1" x="2818"/>
        <item m="1" x="1353"/>
        <item m="1" x="3887"/>
        <item m="1" x="701"/>
        <item m="1" x="144"/>
        <item m="1" x="2200"/>
        <item m="1" x="3996"/>
        <item m="1" x="2111"/>
        <item m="1" x="2033"/>
        <item m="1" x="1544"/>
        <item m="1" x="1496"/>
        <item m="1" x="2488"/>
        <item m="1" x="486"/>
        <item m="1" x="5350"/>
        <item m="1" x="1926"/>
        <item m="1" x="6138"/>
        <item m="1" x="5543"/>
        <item m="1" x="3672"/>
        <item m="1" x="4535"/>
        <item m="1" x="2330"/>
        <item m="1" x="281"/>
        <item m="1" x="2454"/>
        <item m="1" x="4471"/>
        <item m="1" x="1133"/>
        <item m="1" x="4881"/>
        <item m="1" x="1061"/>
        <item m="1" x="4080"/>
        <item m="1" x="2740"/>
        <item m="1" x="5293"/>
        <item m="1" x="2864"/>
        <item m="1" x="2993"/>
        <item m="1" x="512"/>
        <item m="1" x="3804"/>
        <item m="1" x="5373"/>
        <item m="1" x="3882"/>
        <item m="1" x="3495"/>
        <item m="1" x="5482"/>
        <item m="1" x="3944"/>
        <item m="1" x="4108"/>
        <item m="1" x="5838"/>
        <item m="1" x="4398"/>
        <item m="1" x="3551"/>
        <item m="1" x="1988"/>
        <item m="1" x="408"/>
        <item m="1" x="5620"/>
        <item m="1" x="2196"/>
        <item m="1" x="2961"/>
        <item m="1" x="2832"/>
        <item m="1" x="1965"/>
        <item m="1" x="1355"/>
        <item m="1" x="4453"/>
        <item m="1" x="3604"/>
        <item m="1" x="4505"/>
        <item m="1" x="2574"/>
        <item m="1" x="523"/>
        <item m="1" x="668"/>
        <item m="1" x="2888"/>
        <item m="1" x="1246"/>
        <item m="1" x="1374"/>
        <item m="1" x="2638"/>
        <item m="1" x="1202"/>
        <item m="1" x="3311"/>
        <item m="1" x="5067"/>
        <item m="1" x="6065"/>
        <item m="1" x="4632"/>
        <item m="1" x="4397"/>
        <item m="1" x="4627"/>
        <item m="1" x="5993"/>
        <item m="1" x="3382"/>
        <item m="1" x="3924"/>
        <item m="1" x="1762"/>
        <item m="1" x="2073"/>
        <item m="1" x="2867"/>
        <item m="1" x="3711"/>
        <item m="1" x="1363"/>
        <item m="1" x="5487"/>
        <item m="1" x="3391"/>
        <item m="1" x="3525"/>
        <item m="1" x="5084"/>
        <item m="1" x="2259"/>
        <item m="1" x="3616"/>
        <item m="1" x="612"/>
        <item m="1" x="653"/>
        <item m="1" x="5962"/>
        <item m="1" x="4848"/>
        <item m="1" x="308"/>
        <item m="1" x="1398"/>
        <item m="1" x="5131"/>
        <item m="1" x="1930"/>
        <item m="1" x="5897"/>
        <item m="1" x="3403"/>
        <item m="1" x="2700"/>
        <item m="1" x="5588"/>
        <item m="1" x="1498"/>
        <item m="1" x="3709"/>
        <item m="1" x="272"/>
        <item m="1" x="2709"/>
        <item m="1" x="2307"/>
        <item m="1" x="5220"/>
        <item m="1" x="6154"/>
        <item m="1" x="415"/>
        <item m="1" x="2244"/>
        <item m="1" x="2913"/>
        <item m="1" x="5518"/>
        <item m="1" x="819"/>
        <item m="1" x="2545"/>
        <item m="1" x="5451"/>
        <item m="1" x="569"/>
        <item m="1" x="3747"/>
        <item m="1" x="622"/>
        <item m="1" x="1623"/>
        <item m="1" x="1153"/>
        <item m="1" x="4922"/>
        <item m="1" x="5216"/>
        <item m="1" x="1596"/>
        <item m="1" x="4440"/>
        <item m="1" x="5457"/>
        <item m="1" x="3950"/>
        <item m="1" x="515"/>
        <item m="1" x="1152"/>
        <item m="1" x="1913"/>
        <item m="1" x="5550"/>
        <item m="1" x="4767"/>
        <item m="1" x="1792"/>
        <item m="1" x="5930"/>
        <item m="1" x="2611"/>
        <item m="1" x="1900"/>
        <item m="1" x="2791"/>
        <item m="1" x="145"/>
        <item m="1" x="4542"/>
        <item m="1" x="652"/>
        <item m="1" x="1634"/>
        <item m="1" x="4466"/>
        <item m="1" x="3915"/>
        <item m="1" x="3079"/>
        <item m="1" x="1986"/>
        <item m="1" x="3561"/>
        <item m="1" x="1844"/>
        <item m="1" x="4318"/>
        <item m="1" x="2760"/>
        <item m="1" x="1631"/>
        <item m="1" x="588"/>
        <item m="1" x="1072"/>
        <item m="1" x="1821"/>
        <item m="1" x="3767"/>
        <item m="1" x="3298"/>
        <item m="1" x="3149"/>
        <item m="1" x="2153"/>
        <item m="1" x="1642"/>
        <item m="1" x="250"/>
        <item m="1" x="5713"/>
        <item m="1" x="4789"/>
        <item m="1" x="1018"/>
        <item m="1" x="2919"/>
        <item m="1" x="1389"/>
        <item m="1" x="1134"/>
        <item m="1" x="2878"/>
        <item m="1" x="121"/>
        <item m="1" x="2416"/>
        <item m="1" x="1878"/>
        <item m="1" x="4399"/>
        <item m="1" x="4677"/>
        <item m="1" x="165"/>
        <item m="1" x="1238"/>
        <item m="1" x="4257"/>
        <item m="1" x="961"/>
        <item m="1" x="1487"/>
        <item m="1" x="3699"/>
        <item m="1" x="340"/>
        <item m="1" x="2429"/>
        <item m="1" x="4450"/>
        <item m="1" x="5811"/>
        <item m="1" x="5051"/>
        <item m="1" x="773"/>
        <item m="1" x="4104"/>
        <item m="1" x="5692"/>
        <item m="1" x="2806"/>
        <item m="1" x="3803"/>
        <item m="1" x="4089"/>
        <item m="1" x="5889"/>
        <item m="1" x="1107"/>
        <item m="1" x="2679"/>
        <item m="1" x="3721"/>
        <item m="1" x="1602"/>
        <item m="1" x="6045"/>
        <item m="1" x="1797"/>
        <item m="1" x="1615"/>
        <item m="1" x="5851"/>
        <item m="1" x="4460"/>
        <item m="1" x="1245"/>
        <item m="1" x="3206"/>
        <item m="1" x="2218"/>
        <item m="1" x="4732"/>
        <item m="1" x="4975"/>
        <item m="1" x="3897"/>
        <item m="1" x="1714"/>
        <item m="1" x="5170"/>
        <item m="1" x="5764"/>
        <item m="1" x="1055"/>
        <item m="1" x="3123"/>
        <item m="1" x="5062"/>
        <item m="1" x="4885"/>
        <item m="1" x="1354"/>
        <item m="1" x="207"/>
        <item m="1" x="3219"/>
        <item m="1" x="5523"/>
        <item m="1" x="966"/>
        <item m="1" x="407"/>
        <item m="1" x="4743"/>
        <item m="1" x="2517"/>
        <item m="1" x="5460"/>
        <item m="1" x="3821"/>
        <item m="1" x="3462"/>
        <item m="1" x="5629"/>
        <item m="1" x="1815"/>
        <item m="1" x="5530"/>
        <item m="1" x="870"/>
        <item m="1" x="5967"/>
        <item m="1" x="5632"/>
        <item m="1" x="3242"/>
        <item m="1" x="5626"/>
        <item m="1" x="1289"/>
        <item m="1" x="2985"/>
        <item m="1" x="1628"/>
        <item m="1" x="3583"/>
        <item m="1" x="2190"/>
        <item m="1" x="5126"/>
        <item m="1" x="822"/>
        <item m="1" x="5801"/>
        <item m="1" x="4960"/>
        <item m="1" x="2249"/>
        <item m="1" x="303"/>
        <item m="1" x="1800"/>
        <item m="1" x="3599"/>
        <item m="1" x="3259"/>
        <item m="1" x="5101"/>
        <item m="1" x="5273"/>
        <item m="1" x="5332"/>
        <item m="1" x="3202"/>
        <item m="1" x="846"/>
        <item m="1" x="2369"/>
        <item m="1" x="4976"/>
        <item m="1" x="3846"/>
        <item m="1" x="137"/>
        <item m="1" x="679"/>
        <item m="1" x="2273"/>
        <item m="1" x="454"/>
        <item m="1" x="3050"/>
        <item m="1" x="2476"/>
        <item m="1" x="2049"/>
        <item m="1" x="4334"/>
        <item m="1" x="4781"/>
        <item m="1" x="2489"/>
        <item m="1" x="2804"/>
        <item m="1" x="3284"/>
        <item m="1" x="5384"/>
        <item m="1" x="3534"/>
        <item m="1" x="4321"/>
        <item m="1" x="1467"/>
        <item m="1" x="4642"/>
        <item m="1" x="4025"/>
        <item m="1" x="1842"/>
        <item m="1" x="3642"/>
        <item m="1" x="2622"/>
        <item m="1" x="1507"/>
        <item m="1" x="5780"/>
        <item m="1" x="2481"/>
        <item m="1" x="6064"/>
        <item m="1" x="117"/>
        <item m="1" x="1440"/>
        <item m="1" x="5033"/>
        <item m="1" x="2209"/>
        <item m="1" x="132"/>
        <item m="1" x="3516"/>
        <item m="1" x="4218"/>
        <item m="1" x="893"/>
        <item m="1" x="3554"/>
        <item m="1" x="377"/>
        <item m="1" x="5673"/>
        <item m="1" x="282"/>
        <item x="29"/>
        <item m="1" x="5272"/>
        <item m="1" x="4888"/>
        <item m="1" x="1710"/>
        <item m="1" x="450"/>
        <item m="1" x="2772"/>
        <item m="1" x="199"/>
        <item m="1" x="1020"/>
        <item m="1" x="2797"/>
        <item m="1" x="4233"/>
        <item m="1" x="4151"/>
        <item m="1" x="3031"/>
        <item m="1" x="594"/>
        <item m="1" x="4794"/>
        <item m="1" x="1833"/>
        <item m="1" x="2689"/>
        <item m="1" x="5185"/>
        <item m="1" x="4068"/>
        <item m="1" x="2666"/>
        <item m="1" x="5616"/>
        <item m="1" x="3074"/>
        <item m="1" x="3680"/>
        <item m="1" x="5068"/>
        <item m="1" x="3390"/>
        <item m="1" x="1513"/>
        <item m="1" x="397"/>
        <item m="1" x="5926"/>
        <item m="1" x="720"/>
        <item m="1" x="3923"/>
        <item m="1" x="1129"/>
        <item m="1" x="4538"/>
        <item m="1" x="3823"/>
        <item m="1" x="2418"/>
        <item m="1" x="1994"/>
        <item m="1" x="4081"/>
        <item m="1" x="2648"/>
        <item m="1" x="1940"/>
        <item m="1" x="1156"/>
        <item m="1" x="2048"/>
        <item m="1" x="5636"/>
        <item m="1" x="5205"/>
        <item m="1" x="3057"/>
        <item m="1" x="1357"/>
        <item m="1" x="3456"/>
        <item m="1" x="3840"/>
        <item m="1" x="3037"/>
        <item m="1" x="709"/>
        <item m="1" x="1077"/>
        <item m="1" x="4830"/>
        <item m="1" x="3868"/>
        <item m="1" x="2536"/>
        <item m="1" x="4395"/>
        <item m="1" x="4706"/>
        <item m="1" x="2908"/>
        <item m="1" x="3666"/>
        <item m="1" x="1314"/>
        <item x="91"/>
        <item m="1" x="3243"/>
        <item m="1" x="5398"/>
        <item m="1" x="907"/>
        <item x="70"/>
        <item m="1" x="1958"/>
        <item m="1" x="5910"/>
        <item m="1" x="3221"/>
        <item m="1" x="6099"/>
        <item m="1" x="6073"/>
        <item m="1" x="4013"/>
        <item m="1" x="3408"/>
        <item m="1" x="254"/>
        <item m="1" x="364"/>
        <item m="1" x="5861"/>
        <item m="1" x="1980"/>
        <item m="1" x="4612"/>
        <item m="1" x="5040"/>
        <item m="1" x="5691"/>
        <item m="1" x="5016"/>
        <item m="1" x="2367"/>
        <item m="1" x="4017"/>
        <item m="1" x="4783"/>
        <item m="1" x="1352"/>
        <item x="84"/>
        <item m="1" x="3277"/>
        <item m="1" x="5344"/>
        <item m="1" x="2086"/>
        <item m="1" x="3682"/>
        <item m="1" x="4322"/>
        <item m="1" x="468"/>
        <item m="1" x="2565"/>
        <item m="1" x="2308"/>
        <item m="1" x="1865"/>
        <item m="1" x="2045"/>
        <item m="1" x="5402"/>
        <item m="1" x="812"/>
        <item m="1" x="3694"/>
        <item m="1" x="5338"/>
        <item m="1" x="6094"/>
        <item m="1" x="2956"/>
        <item m="1" x="5091"/>
        <item m="1" x="2732"/>
        <item m="1" x="1417"/>
        <item m="1" x="1257"/>
        <item m="1" x="2580"/>
        <item m="1" x="832"/>
        <item m="1" x="5971"/>
        <item m="1" x="4608"/>
        <item m="1" x="3990"/>
        <item m="1" x="2730"/>
        <item m="1" x="859"/>
        <item m="1" x="5315"/>
        <item m="1" x="2468"/>
        <item m="1" x="4847"/>
        <item m="1" x="932"/>
        <item m="1" x="5652"/>
        <item m="1" x="2156"/>
        <item m="1" x="3718"/>
        <item m="1" x="5278"/>
        <item m="1" x="6141"/>
        <item m="1" x="1806"/>
        <item m="1" x="801"/>
        <item m="1" x="1095"/>
        <item m="1" x="3736"/>
        <item m="1" x="1400"/>
        <item m="1" x="1301"/>
        <item m="1" x="5365"/>
        <item m="1" x="218"/>
        <item m="1" x="1114"/>
        <item m="1" x="5968"/>
        <item m="1" x="554"/>
        <item m="1" x="978"/>
        <item m="1" x="3141"/>
        <item m="1" x="2257"/>
        <item m="1" x="5666"/>
        <item m="1" x="4981"/>
        <item m="1" x="5363"/>
        <item m="1" x="496"/>
        <item m="1" x="1977"/>
        <item m="1" x="3002"/>
        <item m="1" x="6019"/>
        <item m="1" x="3264"/>
        <item m="1" x="485"/>
        <item m="1" x="3051"/>
        <item m="1" x="3556"/>
        <item m="1" x="4918"/>
        <item m="1" x="5304"/>
        <item m="1" x="2365"/>
        <item m="1" x="511"/>
        <item m="1" x="480"/>
        <item m="1" x="1425"/>
        <item m="1" x="3591"/>
        <item m="1" x="5607"/>
        <item m="1" x="1753"/>
        <item m="1" x="1808"/>
        <item m="1" x="4787"/>
        <item m="1" x="2441"/>
        <item m="1" x="5187"/>
        <item m="1" x="1159"/>
        <item m="1" x="1630"/>
        <item m="1" x="3847"/>
        <item m="1" x="815"/>
        <item m="1" x="1773"/>
        <item m="1" x="3196"/>
        <item m="1" x="627"/>
        <item m="1" x="3880"/>
        <item m="1" x="2095"/>
        <item m="1" x="2061"/>
        <item m="1" x="497"/>
        <item m="1" x="1364"/>
        <item m="1" x="360"/>
        <item m="1" x="4842"/>
        <item m="1" x="5423"/>
        <item m="1" x="959"/>
        <item m="1" x="3527"/>
        <item m="1" x="3710"/>
        <item m="1" x="5047"/>
        <item m="1" x="5385"/>
        <item m="1" x="976"/>
        <item m="1" x="3308"/>
        <item m="1" x="4962"/>
        <item m="1" x="1745"/>
        <item m="1" x="1186"/>
        <item m="1" x="5818"/>
        <item m="1" x="3735"/>
        <item m="1" x="3162"/>
        <item m="1" x="441"/>
        <item m="1" x="885"/>
        <item m="1" x="423"/>
        <item m="1" x="4748"/>
        <item m="1" x="2941"/>
        <item m="1" x="2146"/>
        <item m="1" x="1911"/>
        <item m="1" x="373"/>
        <item m="1" x="1220"/>
        <item m="1" x="4227"/>
        <item m="1" x="3719"/>
        <item m="1" x="585"/>
        <item m="1" x="1021"/>
        <item m="1" x="2082"/>
        <item m="1" x="3683"/>
        <item m="1" x="3912"/>
        <item m="1" x="501"/>
        <item m="1" x="3664"/>
        <item m="1" x="997"/>
        <item m="1" x="3541"/>
        <item m="1" x="3282"/>
        <item m="1" x="2738"/>
        <item m="1" x="4501"/>
        <item m="1" x="4872"/>
        <item m="1" x="4754"/>
        <item m="1" x="516"/>
        <item m="1" x="878"/>
        <item m="1" x="3570"/>
        <item m="1" x="169"/>
        <item m="1" x="5182"/>
        <item m="1" x="803"/>
        <item m="1" x="1515"/>
        <item m="1" x="362"/>
        <item m="1" x="204"/>
        <item m="1" x="4526"/>
        <item m="1" x="3791"/>
        <item m="1" x="772"/>
        <item m="1" x="1166"/>
        <item m="1" x="3025"/>
        <item m="1" x="750"/>
        <item m="1" x="4443"/>
        <item m="1" x="786"/>
        <item m="1" x="246"/>
        <item m="1" x="1889"/>
        <item m="1" x="2706"/>
        <item m="1" x="300"/>
        <item m="1" x="673"/>
        <item m="1" x="5261"/>
        <item m="1" x="5159"/>
        <item m="1" x="2359"/>
        <item m="1" x="5592"/>
        <item m="1" x="277"/>
        <item m="1" x="1616"/>
        <item m="1" x="4311"/>
        <item m="1" x="5138"/>
        <item m="1" x="2456"/>
        <item m="1" x="2851"/>
        <item m="1" x="1050"/>
        <item m="1" x="1318"/>
        <item m="1" x="3578"/>
        <item m="1" x="5480"/>
        <item m="1" x="3274"/>
        <item m="1" x="3609"/>
        <item m="1" x="2184"/>
        <item m="1" x="1599"/>
        <item m="1" x="1640"/>
        <item m="1" x="1536"/>
        <item m="1" x="210"/>
        <item m="1" x="3402"/>
        <item m="1" x="557"/>
        <item m="1" x="3734"/>
        <item m="1" x="4772"/>
        <item m="1" x="2959"/>
        <item m="1" x="1087"/>
        <item m="1" x="1034"/>
        <item m="1" x="2042"/>
        <item m="1" x="807"/>
        <item m="1" x="3936"/>
        <item m="1" x="1192"/>
        <item m="1" x="2172"/>
        <item m="1" x="457"/>
        <item m="1" x="1450"/>
        <item m="1" x="2682"/>
        <item m="1" x="3174"/>
        <item m="1" x="601"/>
        <item m="1" x="4009"/>
        <item m="1" x="2982"/>
        <item m="1" x="3593"/>
        <item m="1" x="3195"/>
        <item m="1" x="1310"/>
        <item m="1" x="4834"/>
        <item m="1" x="4877"/>
        <item m="1" x="887"/>
        <item x="40"/>
        <item m="1" x="5842"/>
        <item m="1" x="4718"/>
        <item m="1" x="1912"/>
        <item m="1" x="525"/>
        <item m="1" x="118"/>
        <item m="1" x="1734"/>
        <item m="1" x="5516"/>
        <item m="1" x="3283"/>
        <item m="1" x="4337"/>
        <item m="1" x="2154"/>
        <item m="1" x="5939"/>
        <item m="1" x="3041"/>
        <item m="1" x="3744"/>
        <item m="1" x="5357"/>
        <item m="1" x="5633"/>
        <item m="1" x="3053"/>
        <item m="1" x="342"/>
        <item m="1" x="774"/>
        <item m="1" x="3034"/>
        <item m="1" x="1689"/>
        <item m="1" x="5554"/>
        <item m="1" x="5383"/>
        <item m="1" x="5250"/>
        <item m="1" x="4066"/>
        <item m="1" x="4806"/>
        <item m="1" x="1720"/>
        <item m="1" x="632"/>
        <item m="1" x="4140"/>
        <item m="1" x="4541"/>
        <item m="1" x="4745"/>
        <item m="1" x="5697"/>
        <item m="1" x="4780"/>
        <item m="1" x="1201"/>
        <item m="1" x="839"/>
        <item m="1" x="570"/>
        <item m="1" x="2790"/>
        <item m="1" x="273"/>
        <item m="1" x="3663"/>
        <item m="1" x="3522"/>
        <item m="1" x="593"/>
        <item m="1" x="4085"/>
        <item m="1" x="5998"/>
        <item m="1" x="1264"/>
        <item m="1" x="178"/>
        <item m="1" x="1538"/>
        <item m="1" x="3515"/>
        <item m="1" x="5116"/>
        <item m="1" x="5934"/>
        <item m="1" x="5436"/>
        <item m="1" x="4930"/>
        <item m="1" x="919"/>
        <item m="1" x="1704"/>
        <item m="1" x="445"/>
        <item m="1" x="3946"/>
        <item m="1" x="5917"/>
        <item m="1" x="6052"/>
        <item m="1" x="5222"/>
        <item m="1" x="4567"/>
        <item m="1" x="2496"/>
        <item m="1" x="1728"/>
        <item m="1" x="138"/>
        <item m="1" x="4554"/>
        <item m="1" x="2462"/>
        <item m="1" x="4761"/>
        <item m="1" x="114"/>
        <item m="1" x="1566"/>
        <item m="1" x="4926"/>
        <item m="1" x="2204"/>
        <item m="1" x="2656"/>
        <item m="1" x="949"/>
        <item m="1" x="5150"/>
        <item m="1" x="3476"/>
        <item m="1" x="5183"/>
        <item m="1" x="3153"/>
        <item m="1" x="5716"/>
        <item m="1" x="4665"/>
        <item m="1" x="262"/>
        <item m="1" x="2533"/>
        <item m="1" x="2667"/>
        <item m="1" x="1175"/>
        <item m="1" x="1696"/>
        <item m="1" x="1308"/>
        <item m="1" x="128"/>
        <item m="1" x="5454"/>
        <item m="1" x="2646"/>
        <item m="1" x="5568"/>
        <item m="1" x="921"/>
        <item m="1" x="2731"/>
        <item m="1" x="1998"/>
        <item m="1" x="2685"/>
        <item m="1" x="3329"/>
        <item m="1" x="3288"/>
        <item m="1" x="3703"/>
        <item m="1" x="5640"/>
        <item m="1" x="1575"/>
        <item m="1" x="1189"/>
        <item m="1" x="1548"/>
        <item m="1" x="4969"/>
        <item m="1" x="1291"/>
        <item m="1" x="2811"/>
        <item m="1" x="3061"/>
        <item m="1" x="4940"/>
        <item m="1" x="5479"/>
        <item m="1" x="2949"/>
        <item m="1" x="6074"/>
        <item m="1" x="507"/>
        <item m="1" x="6014"/>
        <item m="1" x="1320"/>
        <item m="1" x="1959"/>
        <item m="1" x="1780"/>
        <item m="1" x="867"/>
        <item m="1" x="5094"/>
        <item m="1" x="1144"/>
        <item m="1" x="4097"/>
        <item m="1" x="930"/>
        <item m="1" x="2512"/>
        <item m="1" x="3247"/>
        <item m="1" x="583"/>
        <item m="1" x="4317"/>
        <item m="1" x="4061"/>
        <item m="1" x="4916"/>
        <item m="1" x="866"/>
        <item m="1" x="4172"/>
        <item m="1" x="4600"/>
        <item m="1" x="2283"/>
        <item m="1" x="5021"/>
        <item m="1" x="4819"/>
        <item m="1" x="2495"/>
        <item m="1" x="3805"/>
        <item m="1" x="2921"/>
        <item m="1" x="5634"/>
        <item m="1" x="1056"/>
        <item m="1" x="5160"/>
        <item m="1" x="3602"/>
        <item m="1" x="345"/>
        <item m="1" x="3601"/>
        <item m="1" x="409"/>
        <item m="1" x="648"/>
        <item m="1" x="3648"/>
        <item m="1" x="1863"/>
        <item m="1" x="5655"/>
        <item m="1" x="4476"/>
        <item m="1" x="1466"/>
        <item m="1" x="784"/>
        <item m="1" x="1471"/>
        <item m="1" x="2105"/>
        <item m="1" x="2722"/>
        <item m="1" x="3557"/>
        <item m="1" x="1458"/>
        <item m="1" x="297"/>
        <item m="1" x="6102"/>
        <item m="1" x="6057"/>
        <item x="105"/>
        <item m="1" x="3878"/>
        <item m="1" x="957"/>
        <item m="1" x="3440"/>
        <item m="1" x="2256"/>
        <item m="1" x="3979"/>
        <item m="1" x="4114"/>
        <item m="1" x="5961"/>
        <item m="1" x="5340"/>
        <item m="1" x="3780"/>
        <item m="1" x="2432"/>
        <item m="1" x="4299"/>
        <item m="1" x="3752"/>
        <item m="1" x="5781"/>
        <item m="1" x="810"/>
        <item m="1" x="268"/>
        <item m="1" x="386"/>
        <item m="1" x="3381"/>
        <item m="1" x="3136"/>
        <item m="1" x="1278"/>
        <item m="1" x="2212"/>
        <item m="1" x="2837"/>
        <item m="1" x="1608"/>
        <item m="1" x="4846"/>
        <item m="1" x="2926"/>
        <item m="1" x="4230"/>
        <item m="1" x="5450"/>
        <item m="1" x="5129"/>
        <item m="1" x="140"/>
        <item m="1" x="1242"/>
        <item m="1" x="1183"/>
        <item m="1" x="1096"/>
        <item m="1" x="4561"/>
        <item m="1" x="213"/>
        <item m="1" x="195"/>
        <item m="1" x="403"/>
        <item m="1" x="458"/>
        <item m="1" x="1851"/>
        <item m="1" x="477"/>
        <item m="1" x="5763"/>
        <item m="1" x="2680"/>
        <item m="1" x="263"/>
        <item m="1" x="4895"/>
        <item m="1" x="2242"/>
        <item m="1" x="2104"/>
        <item m="1" x="2768"/>
        <item m="1" x="3890"/>
        <item m="1" x="1373"/>
        <item m="1" x="4721"/>
        <item m="1" x="4573"/>
        <item m="1" x="394"/>
        <item m="1" x="4273"/>
        <item m="1" x="4211"/>
        <item m="1" x="1883"/>
        <item m="1" x="5070"/>
        <item m="1" x="4352"/>
        <item m="1" x="2205"/>
        <item m="1" x="5575"/>
        <item m="1" x="817"/>
        <item m="1" x="3751"/>
        <item m="1" x="1321"/>
        <item m="1" x="1594"/>
        <item m="1" x="5432"/>
        <item m="1" x="556"/>
        <item m="1" x="4127"/>
        <item m="1" x="4611"/>
        <item m="1" x="2021"/>
        <item m="1" x="6082"/>
        <item m="1" x="3145"/>
        <item m="1" x="2931"/>
        <item m="1" x="2177"/>
        <item m="1" x="640"/>
        <item m="1" x="188"/>
        <item m="1" x="3411"/>
        <item m="1" x="2163"/>
        <item m="1" x="1500"/>
        <item m="1" x="4688"/>
        <item m="1" x="3679"/>
        <item m="1" x="4994"/>
        <item m="1" x="2079"/>
        <item m="1" x="4568"/>
        <item m="1" x="5625"/>
        <item m="1" x="5615"/>
        <item m="1" x="4011"/>
        <item m="1" x="2017"/>
        <item m="1" x="382"/>
        <item m="1" x="631"/>
        <item m="1" x="2400"/>
        <item m="1" x="4373"/>
        <item m="1" x="1541"/>
        <item m="1" x="4795"/>
        <item m="1" x="4366"/>
        <item m="1" x="2849"/>
        <item m="1" x="1967"/>
        <item m="1" x="844"/>
        <item m="1" x="4464"/>
        <item m="1" x="2542"/>
        <item m="1" x="2934"/>
        <item m="1" x="4638"/>
        <item m="1" x="1586"/>
        <item m="1" x="4856"/>
        <item m="1" x="3076"/>
        <item m="1" x="4403"/>
        <item m="1" x="2207"/>
        <item m="1" x="5795"/>
        <item m="1" x="5784"/>
        <item m="1" x="384"/>
        <item m="1" x="2099"/>
        <item m="1" x="4625"/>
        <item m="1" x="5723"/>
        <item m="1" x="2892"/>
        <item m="1" x="5744"/>
        <item m="1" x="3026"/>
        <item x="62"/>
        <item m="1" x="658"/>
        <item x="69"/>
        <item m="1" x="5307"/>
        <item m="1" x="3169"/>
        <item m="1" x="2556"/>
        <item m="1" x="3201"/>
        <item m="1" x="1670"/>
        <item m="1" x="1512"/>
        <item m="1" x="5249"/>
        <item m="1" x="4803"/>
        <item m="1" x="2834"/>
        <item m="1" x="4585"/>
        <item m="1" x="2136"/>
        <item m="1" x="2085"/>
        <item m="1" x="1228"/>
        <item m="1" x="4133"/>
        <item m="1" x="576"/>
        <item m="1" x="635"/>
        <item m="1" x="5667"/>
        <item m="1" x="5473"/>
        <item m="1" x="4689"/>
        <item m="1" x="5514"/>
        <item m="1" x="3549"/>
        <item m="1" x="5266"/>
        <item m="1" x="349"/>
        <item m="1" x="2975"/>
        <item m="1" x="2423"/>
        <item m="1" x="3427"/>
        <item m="1" x="789"/>
        <item m="1" x="5465"/>
        <item m="1" x="4285"/>
        <item m="1" x="5143"/>
        <item m="1" x="2301"/>
        <item m="1" x="4150"/>
        <item m="1" x="419"/>
        <item m="1" x="3855"/>
        <item m="1" x="1968"/>
        <item m="1" x="527"/>
        <item m="1" x="1380"/>
        <item m="1" x="2356"/>
        <item m="1" x="5412"/>
        <item m="1" x="5869"/>
        <item m="1" x="3646"/>
        <item m="1" x="879"/>
        <item m="1" x="2751"/>
        <item m="1" x="3498"/>
        <item m="1" x="787"/>
        <item m="1" x="4653"/>
        <item m="1" x="5531"/>
        <item m="1" x="1925"/>
        <item m="1" x="1922"/>
        <item x="68"/>
        <item m="1" x="260"/>
        <item m="1" x="4000"/>
        <item m="1" x="5892"/>
        <item m="1" x="3758"/>
        <item m="1" x="901"/>
        <item m="1" x="4387"/>
        <item m="1" x="602"/>
        <item m="1" x="4559"/>
        <item m="1" x="2525"/>
        <item m="1" x="4812"/>
        <item m="1" x="418"/>
        <item m="1" x="6110"/>
        <item m="1" x="5123"/>
        <item m="1" x="4965"/>
        <item m="1" x="2064"/>
        <item m="1" x="162"/>
        <item x="79"/>
        <item m="1" x="3579"/>
        <item m="1" x="4324"/>
        <item m="1" x="5526"/>
        <item m="1" x="2161"/>
        <item m="1" x="2037"/>
        <item m="1" x="3019"/>
        <item m="1" x="4861"/>
        <item m="1" x="2870"/>
        <item m="1" x="2063"/>
        <item m="1" x="2333"/>
        <item m="1" x="5320"/>
        <item m="1" x="3237"/>
        <item m="1" x="474"/>
        <item m="1" x="3322"/>
        <item m="1" x="2965"/>
        <item m="1" x="2607"/>
        <item m="1" x="1249"/>
        <item m="1" x="3649"/>
        <item m="1" x="5760"/>
        <item m="1" x="1444"/>
        <item m="1" x="1597"/>
        <item m="1" x="2508"/>
        <item m="1" x="157"/>
        <item m="1" x="3089"/>
        <item m="1" x="920"/>
        <item m="1" x="2469"/>
        <item m="1" x="1462"/>
        <item m="1" x="565"/>
        <item m="1" x="3200"/>
        <item m="1" x="4730"/>
        <item m="1" x="898"/>
        <item m="1" x="5610"/>
        <item m="1" x="2814"/>
        <item m="1" x="3542"/>
        <item m="1" x="4966"/>
        <item m="1" x="5746"/>
        <item m="1" x="4493"/>
        <item m="1" x="1075"/>
        <item m="1" x="2763"/>
        <item m="1" x="1502"/>
        <item m="1" x="1137"/>
        <item m="1" x="2981"/>
        <item m="1" x="4004"/>
        <item m="1" x="4948"/>
        <item m="1" x="2024"/>
        <item m="1" x="3366"/>
        <item m="1" x="5474"/>
        <item m="1" x="5141"/>
        <item m="1" x="1437"/>
        <item m="1" x="5108"/>
        <item m="1" x="3420"/>
        <item m="1" x="5078"/>
        <item m="1" x="5317"/>
        <item m="1" x="5375"/>
        <item m="1" x="5186"/>
        <item m="1" x="1349"/>
        <item m="1" x="2477"/>
        <item m="1" x="2856"/>
        <item m="1" x="881"/>
        <item m="1" x="2758"/>
        <item m="1" x="4149"/>
        <item m="1" x="1976"/>
        <item m="1" x="346"/>
        <item m="1" x="4084"/>
        <item m="1" x="1607"/>
        <item m="1" x="1265"/>
        <item m="1" x="2986"/>
        <item m="1" x="2047"/>
        <item m="1" x="4808"/>
        <item m="1" x="2976"/>
        <item m="1" x="3228"/>
        <item m="1" x="3639"/>
        <item m="1" x="5194"/>
        <item m="1" x="581"/>
        <item m="1" x="4920"/>
        <item m="1" x="5303"/>
        <item m="1" x="3624"/>
        <item m="1" x="5376"/>
        <item m="1" x="1149"/>
        <item m="1" x="4766"/>
        <item m="1" x="3108"/>
        <item m="1" x="5996"/>
        <item m="1" x="5938"/>
        <item m="1" x="1185"/>
        <item m="1" x="4652"/>
        <item m="1" x="2169"/>
        <item m="1" x="5665"/>
        <item m="1" x="5008"/>
        <item m="1" x="4419"/>
        <item m="1" x="2812"/>
        <item m="1" x="1163"/>
        <item m="1" x="2018"/>
        <item m="1" x="4115"/>
        <item m="1" x="4821"/>
        <item m="1" x="5316"/>
        <item m="1" x="5477"/>
        <item m="1" x="149"/>
        <item m="1" x="6018"/>
        <item m="1" x="4661"/>
        <item m="1" x="4543"/>
        <item m="1" x="2396"/>
        <item m="1" x="4289"/>
        <item m="1" x="6025"/>
        <item m="1" x="1935"/>
        <item m="1" x="6088"/>
        <item m="1" x="3962"/>
        <item m="1" x="2753"/>
        <item m="1" x="4683"/>
        <item x="80"/>
        <item m="1" x="2347"/>
        <item x="94"/>
        <item m="1" x="3636"/>
        <item m="1" x="413"/>
        <item m="1" x="4164"/>
        <item m="1" x="4400"/>
        <item m="1" x="5252"/>
        <item m="1" x="5200"/>
        <item m="1" x="808"/>
        <item m="1" x="1532"/>
        <item m="1" x="4086"/>
        <item m="1" x="6134"/>
        <item m="1" x="383"/>
        <item m="1" x="4560"/>
        <item m="1" x="5559"/>
        <item m="1" x="2693"/>
        <item m="1" x="3750"/>
        <item m="1" x="3926"/>
        <item m="1" x="2643"/>
        <item m="1" x="827"/>
        <item m="1" x="356"/>
        <item m="1" x="4272"/>
        <item m="1" x="2996"/>
        <item m="1" x="164"/>
        <item m="1" x="5875"/>
        <item m="1" x="3659"/>
        <item m="1" x="2884"/>
        <item m="1" x="3294"/>
        <item m="1" x="2444"/>
        <item m="1" x="2210"/>
        <item m="1" x="2714"/>
        <item m="1" x="5928"/>
        <item m="1" x="6098"/>
        <item m="1" x="3835"/>
        <item m="1" x="596"/>
        <item m="1" x="2767"/>
        <item m="1" x="4434"/>
        <item m="1" x="549"/>
        <item m="1" x="5619"/>
        <item m="1" x="3458"/>
        <item m="1" x="1459"/>
        <item m="1" x="2616"/>
        <item m="1" x="2989"/>
        <item m="1" x="4128"/>
        <item m="1" x="5835"/>
        <item m="1" x="760"/>
        <item m="1" x="4264"/>
        <item m="1" x="429"/>
        <item m="1" x="1174"/>
        <item m="1" x="6066"/>
        <item m="1" x="2573"/>
        <item m="1" x="1739"/>
        <item m="1" x="3191"/>
        <item m="1" x="3972"/>
        <item m="1" x="224"/>
        <item m="1" x="3738"/>
        <item m="1" x="5887"/>
        <item m="1" x="4711"/>
        <item m="1" x="4053"/>
        <item m="1" x="4584"/>
        <item m="1" x="2894"/>
        <item m="1" x="1755"/>
        <item m="1" x="5539"/>
        <item m="1" x="821"/>
        <item m="1" x="3133"/>
        <item m="1" x="675"/>
        <item m="1" x="5296"/>
        <item m="1" x="2262"/>
        <item m="1" x="2971"/>
        <item m="1" x="5408"/>
        <item m="1" x="1837"/>
        <item m="1" x="293"/>
        <item m="1" x="608"/>
        <item m="1" x="6029"/>
        <item m="1" x="661"/>
        <item m="1" x="4883"/>
        <item m="1" x="6037"/>
        <item m="1" x="6090"/>
        <item m="1" x="3511"/>
        <item m="1" x="4219"/>
        <item m="1" x="3120"/>
        <item m="1" x="5418"/>
        <item m="1" x="4511"/>
        <item m="1" x="3348"/>
        <item m="1" x="2216"/>
        <item m="1" x="3742"/>
        <item m="1" x="6000"/>
        <item m="1" x="1049"/>
        <item m="1" x="2608"/>
        <item m="1" x="5494"/>
        <item m="1" x="6033"/>
        <item m="1" x="1411"/>
        <item m="1" x="2220"/>
        <item m="1" x="2916"/>
        <item m="1" x="1944"/>
        <item m="1" x="1975"/>
        <item m="1" x="1453"/>
        <item m="1" x="2938"/>
        <item m="1" x="5839"/>
        <item m="1" x="4488"/>
        <item m="1" x="431"/>
        <item m="1" x="5356"/>
        <item m="1" x="3020"/>
        <item m="1" x="1197"/>
        <item m="1" x="4238"/>
        <item m="1" x="1519"/>
        <item m="1" x="2272"/>
        <item m="1" x="5462"/>
        <item m="1" x="1809"/>
        <item m="1" x="5019"/>
        <item m="1" x="4892"/>
        <item m="1" x="1219"/>
        <item m="1" x="5036"/>
        <item m="1" x="974"/>
        <item m="1" x="2604"/>
        <item m="1" x="5444"/>
        <item m="1" x="5476"/>
        <item m="1" x="4415"/>
        <item m="1" x="5146"/>
        <item m="1" x="5611"/>
        <item m="1" x="5785"/>
        <item m="1" x="2502"/>
        <item m="1" x="3814"/>
        <item m="1" x="2046"/>
        <item m="1" x="3023"/>
        <item m="1" x="4101"/>
        <item m="1" x="2917"/>
        <item m="1" x="1639"/>
        <item m="1" x="2398"/>
        <item m="1" x="1393"/>
        <item m="1" x="309"/>
        <item m="1" x="2783"/>
        <item m="1" x="1838"/>
        <item m="1" x="1346"/>
        <item m="1" x="4586"/>
        <item m="1" x="587"/>
        <item m="1" x="1100"/>
        <item m="1" x="289"/>
        <item m="1" x="2180"/>
        <item m="1" x="3105"/>
        <item m="1" x="5037"/>
        <item m="1" x="2053"/>
        <item m="1" x="1030"/>
        <item m="1" x="4049"/>
        <item m="1" x="1909"/>
        <item m="1" x="1101"/>
        <item m="1" x="3628"/>
        <item m="1" x="5335"/>
        <item m="1" x="5175"/>
        <item m="1" x="3957"/>
        <item m="1" x="2845"/>
        <item m="1" x="6129"/>
        <item m="1" x="5924"/>
        <item m="1" x="4531"/>
        <item m="1" x="5659"/>
        <item m="1" x="4570"/>
        <item m="1" x="3049"/>
        <item m="1" x="1470"/>
        <item m="1" x="6126"/>
        <item m="1" x="530"/>
        <item m="1" x="3889"/>
        <item m="1" x="3451"/>
        <item m="1" x="4991"/>
        <item m="1" x="4972"/>
        <item m="1" x="5683"/>
        <item m="1" x="2627"/>
        <item m="1" x="4027"/>
        <item m="1" x="1269"/>
        <item m="1" x="2898"/>
        <item m="1" x="1044"/>
        <item m="1" x="522"/>
        <item m="1" x="5541"/>
        <item m="1" x="1394"/>
        <item m="1" x="3080"/>
        <item m="1" x="3729"/>
        <item m="1" x="1894"/>
        <item m="1" x="1338"/>
        <item m="1" x="5725"/>
        <item m="1" x="5173"/>
        <item m="1" x="1849"/>
        <item m="1" x="481"/>
        <item m="1" x="3338"/>
        <item m="1" x="2012"/>
        <item m="1" x="3225"/>
        <item m="1" x="3098"/>
        <item m="1" x="3423"/>
        <item m="1" x="4609"/>
        <item m="1" x="1585"/>
        <item m="1" x="3151"/>
        <item m="1" x="3622"/>
        <item m="1" x="5888"/>
        <item m="1" x="5467"/>
        <item m="1" x="947"/>
        <item m="1" x="4090"/>
        <item m="1" x="4633"/>
        <item m="1" x="3953"/>
        <item m="1" x="5525"/>
        <item m="1" x="936"/>
        <item m="1" x="5862"/>
        <item m="1" x="2439"/>
        <item x="72"/>
        <item m="1" x="5680"/>
        <item m="1" x="451"/>
        <item m="1" x="3705"/>
        <item m="1" x="249"/>
        <item m="1" x="5772"/>
        <item m="1" x="1157"/>
        <item m="1" x="1514"/>
        <item m="1" x="5052"/>
        <item m="1" x="2880"/>
        <item m="1" x="490"/>
        <item m="1" x="1582"/>
        <item m="1" x="6008"/>
        <item m="1" x="2425"/>
        <item m="1" x="5291"/>
        <item m="1" x="1888"/>
        <item m="1" x="1408"/>
        <item m="1" x="4637"/>
        <item m="1" x="1826"/>
        <item m="1" x="1463"/>
        <item m="1" x="4753"/>
        <item m="1" x="4558"/>
        <item m="1" x="2328"/>
        <item m="1" x="5808"/>
        <item m="1" x="2028"/>
        <item m="1" x="712"/>
        <item m="1" x="5649"/>
        <item m="1" x="4890"/>
        <item m="1" x="6030"/>
        <item m="1" x="1438"/>
        <item m="1" x="2720"/>
        <item m="1" x="3333"/>
        <item m="1" x="1574"/>
        <item m="1" x="2909"/>
        <item m="1" x="644"/>
        <item m="1" x="5908"/>
        <item m="1" x="604"/>
        <item m="1" x="5690"/>
        <item m="1" x="4528"/>
        <item m="1" x="110"/>
        <item m="1" x="5628"/>
        <item m="1" x="2821"/>
        <item m="1" x="2349"/>
        <item m="1" x="983"/>
        <item m="1" x="314"/>
        <item m="1" x="3844"/>
        <item m="1" x="5711"/>
        <item m="1" x="4183"/>
        <item m="1" x="6146"/>
        <item m="1" x="2923"/>
        <item m="1" x="4740"/>
        <item m="1" x="1198"/>
        <item m="1" x="1483"/>
        <item m="1" x="739"/>
        <item m="1" x="629"/>
        <item m="1" x="5259"/>
        <item m="1" x="3317"/>
        <item m="1" x="4196"/>
        <item m="1" x="2195"/>
        <item m="1" x="5254"/>
        <item m="1" x="3060"/>
        <item m="1" x="1120"/>
        <item m="1" x="896"/>
        <item m="1" x="5877"/>
        <item m="1" x="2083"/>
        <item m="1" x="1869"/>
        <item m="1" x="2538"/>
        <item m="1" x="800"/>
        <item m="1" x="3537"/>
        <item m="1" x="421"/>
        <item m="1" x="2090"/>
        <item m="1" x="3893"/>
        <item m="1" x="2794"/>
        <item m="1" x="4867"/>
        <item m="1" x="3927"/>
        <item m="1" x="1360"/>
        <item m="1" x="5590"/>
        <item m="1" x="4420"/>
        <item m="1" x="3873"/>
        <item m="1" x="354"/>
        <item m="1" x="4087"/>
        <item m="1" x="1572"/>
        <item m="1" x="3881"/>
        <item m="1" x="1370"/>
        <item m="1" x="3870"/>
        <item m="1" x="4564"/>
        <item m="1" x="918"/>
        <item m="1" x="3787"/>
        <item m="1" x="1715"/>
        <item m="1" x="4418"/>
        <item m="1" x="591"/>
        <item m="1" x="1039"/>
        <item m="1" x="4347"/>
        <item m="1" x="2384"/>
        <item m="1" x="3911"/>
        <item m="1" x="5800"/>
        <item m="1" x="4824"/>
        <item m="1" x="255"/>
        <item m="1" x="3059"/>
        <item m="1" x="2143"/>
        <item m="1" x="1064"/>
        <item m="1" x="3005"/>
        <item m="1" x="1032"/>
        <item m="1" x="2905"/>
        <item m="1" x="2550"/>
        <item m="1" x="4060"/>
        <item m="1" x="4741"/>
        <item m="1" x="5546"/>
        <item m="1" x="463"/>
        <item m="1" x="3806"/>
        <item m="1" x="380"/>
        <item m="1" x="3577"/>
        <item m="1" x="3056"/>
        <item m="1" x="1984"/>
        <item m="1" x="4244"/>
        <item m="1" x="3555"/>
        <item m="1" x="2340"/>
        <item m="1" x="3024"/>
        <item m="1" x="4796"/>
        <item m="1" x="4320"/>
        <item m="1" x="472"/>
        <item m="1" x="2979"/>
        <item m="1" x="6125"/>
        <item m="1" x="2509"/>
        <item m="1" x="3091"/>
        <item m="1" x="1390"/>
        <item m="1" x="3357"/>
        <item m="1" x="3419"/>
        <item m="1" x="1369"/>
        <item m="1" x="2865"/>
        <item m="1" x="2145"/>
        <item m="1" x="2354"/>
        <item m="1" x="1253"/>
        <item m="1" x="4935"/>
        <item m="1" x="3841"/>
        <item m="1" x="5018"/>
        <item m="1" x="2967"/>
        <item m="1" x="4587"/>
        <item m="1" x="6042"/>
        <item m="1" x="5594"/>
        <item m="1" x="2972"/>
        <item m="1" x="1423"/>
        <item m="1" x="2983"/>
        <item m="1" x="1187"/>
        <item m="1" x="3466"/>
        <item m="1" x="2935"/>
        <item m="1" x="3631"/>
        <item m="1" x="5031"/>
        <item m="1" x="5520"/>
        <item m="1" x="3304"/>
        <item m="1" x="2187"/>
        <item m="1" x="6109"/>
        <item m="1" x="4166"/>
        <item m="1" x="5988"/>
        <item m="1" x="2261"/>
        <item m="1" x="5585"/>
        <item m="1" x="4588"/>
        <item m="1" x="1818"/>
        <item m="1" x="433"/>
        <item m="1" x="3490"/>
        <item m="1" x="352"/>
        <item m="1" x="4308"/>
        <item m="1" x="161"/>
        <item m="1" x="552"/>
        <item m="1" x="2581"/>
        <item m="1" x="1435"/>
        <item m="1" x="1481"/>
        <item m="1" x="3707"/>
        <item m="1" x="3036"/>
        <item m="1" x="5997"/>
        <item m="1" x="1955"/>
        <item m="1" x="416"/>
        <item m="1" x="5759"/>
        <item x="73"/>
        <item m="1" x="2862"/>
        <item m="1" x="5604"/>
        <item m="1" x="1311"/>
        <item m="1" x="2663"/>
        <item m="1" x="2113"/>
        <item m="1" x="4602"/>
        <item m="1" x="5893"/>
        <item m="1" x="1443"/>
        <item m="1" x="4276"/>
        <item m="1" x="1344"/>
        <item m="1" x="670"/>
        <item m="1" x="4785"/>
        <item m="1" x="4733"/>
        <item m="1" x="862"/>
        <item m="1" x="5782"/>
        <item m="1" x="682"/>
        <item m="1" x="1302"/>
        <item m="1" x="5511"/>
        <item m="1" x="2927"/>
        <item m="1" x="3324"/>
        <item m="1" x="3678"/>
        <item m="1" x="2775"/>
        <item m="1" x="5696"/>
        <item m="1" x="2734"/>
        <item m="1" x="2336"/>
        <item m="1" x="3436"/>
        <item m="1" x="4886"/>
        <item m="1" x="3099"/>
        <item m="1" x="2647"/>
        <item m="1" x="1565"/>
        <item m="1" x="2213"/>
        <item m="1" x="4514"/>
        <item m="1" x="6135"/>
        <item m="1" x="4719"/>
        <item m="1" x="492"/>
        <item m="1" x="3885"/>
        <item m="1" x="770"/>
        <item m="1" x="5578"/>
        <item m="1" x="4492"/>
        <item m="1" x="1699"/>
        <item m="1" x="4008"/>
        <item m="1" x="1966"/>
        <item m="1" x="2750"/>
        <item m="1" x="4015"/>
        <item m="1" x="5177"/>
        <item m="1" x="5121"/>
        <item m="1" x="1165"/>
        <item m="1" x="3772"/>
        <item m="1" x="4405"/>
        <item m="1" x="2442"/>
        <item m="1" x="3777"/>
        <item m="1" x="2357"/>
        <item m="1" x="2072"/>
        <item m="1" x="5582"/>
        <item m="1" x="3775"/>
        <item m="1" x="3269"/>
        <item m="1" x="695"/>
        <item m="1" x="4181"/>
        <item m="1" x="1167"/>
        <item m="1" x="826"/>
        <item m="1" x="5284"/>
        <item m="1" x="3383"/>
        <item m="1" x="911"/>
        <item m="1" x="2059"/>
        <item m="1" x="5043"/>
        <item m="1" x="4185"/>
        <item m="1" x="880"/>
        <item m="1" x="5614"/>
        <item m="1" x="3906"/>
        <item m="1" x="4829"/>
        <item m="1" x="5162"/>
        <item m="1" x="4631"/>
        <item m="1" x="1048"/>
        <item m="1" x="2662"/>
        <item m="1" x="1899"/>
        <item m="1" x="5367"/>
        <item m="1" x="2348"/>
        <item m="1" x="1725"/>
        <item m="1" x="5644"/>
        <item m="1" x="4728"/>
        <item m="1" x="2385"/>
        <item m="1" x="3346"/>
        <item m="1" x="613"/>
        <item m="1" x="1295"/>
        <item m="1" x="426"/>
        <item m="1" x="1652"/>
        <item m="1" x="5155"/>
        <item m="1" x="3164"/>
        <item m="1" x="5264"/>
        <item m="1" x="2658"/>
        <item m="1" x="3843"/>
        <item m="1" x="573"/>
        <item m="1" x="3358"/>
        <item m="1" x="2119"/>
        <item m="1" x="1097"/>
        <item m="1" x="1776"/>
        <item m="1" x="1722"/>
        <item m="1" x="3033"/>
        <item m="1" x="461"/>
        <item m="1" x="5639"/>
        <item m="1" x="3388"/>
        <item m="1" x="4517"/>
        <item m="1" x="2006"/>
        <item m="1" x="3464"/>
        <item m="1" x="3908"/>
        <item m="1" x="294"/>
        <item m="1" x="2193"/>
        <item m="1" x="2361"/>
        <item m="1" x="5556"/>
        <item m="1" x="4180"/>
        <item m="1" x="2360"/>
        <item m="1" x="2829"/>
        <item m="1" x="2733"/>
        <item m="1" x="769"/>
        <item m="1" x="5499"/>
        <item m="1" x="1761"/>
        <item m="1" x="3360"/>
        <item m="1" x="5817"/>
        <item m="1" x="3761"/>
        <item m="1" x="5453"/>
        <item m="1" x="3691"/>
        <item m="1" x="2339"/>
        <item m="1" x="2041"/>
        <item m="1" x="2192"/>
        <item m="1" x="2537"/>
        <item m="1" x="124"/>
        <item m="1" x="2613"/>
        <item m="1" x="5826"/>
        <item m="1" x="3085"/>
        <item m="1" x="5786"/>
        <item m="1" x="650"/>
        <item m="1" x="3688"/>
        <item m="1" x="3650"/>
        <item m="1" x="4283"/>
        <item m="1" x="526"/>
        <item m="1" x="1232"/>
        <item m="1" x="1350"/>
        <item m="1" x="3635"/>
        <item m="1" x="133"/>
        <item m="1" x="2945"/>
        <item m="1" x="1646"/>
        <item m="1" x="2988"/>
        <item m="1" x="4138"/>
        <item m="1" x="5551"/>
        <item m="1" x="4530"/>
        <item m="1" x="1222"/>
        <item m="1" x="2306"/>
        <item m="1" x="4654"/>
        <item m="1" x="3070"/>
        <item m="1" x="3314"/>
        <item m="1" x="5638"/>
        <item m="1" x="4072"/>
        <item m="1" x="1609"/>
        <item m="1" x="1415"/>
        <item m="1" x="1702"/>
        <item m="1" x="2020"/>
        <item m="1" x="5769"/>
        <item m="1" x="5867"/>
        <item m="1" x="2726"/>
        <item m="1" x="5569"/>
        <item m="1" x="5699"/>
        <item m="1" x="5740"/>
        <item m="1" x="2467"/>
        <item m="1" x="1924"/>
        <item m="1" x="1857"/>
        <item m="1" x="1348"/>
        <item m="1" x="3220"/>
        <item m="1" x="5428"/>
        <item m="1" x="4651"/>
        <item m="1" x="4875"/>
        <item m="1" x="830"/>
        <item m="1" x="555"/>
        <item m="1" x="5501"/>
        <item m="1" x="231"/>
        <item m="1" x="1422"/>
        <item m="1" x="4482"/>
        <item m="1" x="2572"/>
        <item m="1" x="2332"/>
        <item m="1" x="942"/>
        <item m="1" x="266"/>
        <item m="1" x="1254"/>
        <item m="1" x="875"/>
        <item m="1" x="580"/>
        <item m="1" x="2519"/>
        <item m="1" x="4914"/>
        <item m="1" x="1794"/>
        <item m="1" x="189"/>
        <item m="1" x="1685"/>
        <item m="1" x="1482"/>
        <item m="1" x="2911"/>
        <item m="1" x="4757"/>
        <item m="1" x="1564"/>
        <item m="1" x="2317"/>
        <item m="1" x="999"/>
        <item m="1" x="4509"/>
        <item m="1" x="3922"/>
        <item m="1" x="2295"/>
        <item m="1" x="1223"/>
        <item m="1" x="3182"/>
        <item m="1" x="2743"/>
        <item m="1" x="2678"/>
        <item m="1" x="1078"/>
        <item m="1" x="1901"/>
        <item m="1" x="4855"/>
        <item m="1" x="1084"/>
        <item m="1" x="1962"/>
        <item m="1" x="5881"/>
        <item m="1" x="411"/>
        <item m="1" x="504"/>
        <item m="1" x="172"/>
        <item m="1" x="366"/>
        <item m="1" x="1915"/>
        <item m="1" x="2038"/>
        <item m="1" x="2977"/>
        <item m="1" x="1204"/>
        <item m="1" x="1558"/>
        <item m="1" x="5341"/>
        <item m="1" x="2364"/>
        <item m="1" x="5677"/>
        <item m="1" x="2013"/>
        <item m="1" x="2554"/>
        <item m="1" x="4934"/>
        <item m="1" x="215"/>
        <item m="1" x="5469"/>
        <item m="1" x="4868"/>
        <item m="1" x="4854"/>
        <item m="1" x="2198"/>
        <item m="1" x="2355"/>
        <item m="1" x="4039"/>
        <item m="1" x="877"/>
        <item m="1" x="984"/>
        <item m="1" x="5493"/>
        <item m="1" x="4840"/>
        <item m="1" x="564"/>
        <item m="1" x="4079"/>
        <item m="1" x="1832"/>
        <item m="1" x="5484"/>
        <item m="1" x="6009"/>
        <item m="1" x="2785"/>
        <item m="1" x="5255"/>
        <item m="1" x="2126"/>
        <item m="1" x="2450"/>
        <item m="1" x="1674"/>
        <item m="1" x="1267"/>
        <item m="1" x="3632"/>
        <item m="1" x="3643"/>
        <item m="1" x="3903"/>
        <item m="1" x="3097"/>
        <item m="1" x="4623"/>
        <item m="1" x="4125"/>
        <item m="1" x="1480"/>
        <item m="1" x="6119"/>
        <item m="1" x="1074"/>
        <item m="1" x="5831"/>
        <item m="1" x="685"/>
        <item m="1" x="3148"/>
        <item m="1" x="1486"/>
        <item m="1" x="5334"/>
        <item m="1" x="5120"/>
        <item m="1" x="912"/>
        <item m="1" x="3693"/>
        <item m="1" x="4113"/>
        <item m="1" x="6105"/>
        <item m="1" x="197"/>
        <item m="1" x="4604"/>
        <item m="1" x="4516"/>
        <item m="1" x="6149"/>
        <item m="1" x="1511"/>
        <item m="1" x="6111"/>
        <item m="1" x="4804"/>
        <item m="1" x="2325"/>
        <item m="1" x="3500"/>
        <item m="1" x="1042"/>
        <item m="1" x="1403"/>
        <item m="1" x="1088"/>
        <item m="1" x="5627"/>
        <item m="1" x="5602"/>
        <item m="1" x="3700"/>
        <item m="1" x="3813"/>
        <item m="1" x="6027"/>
        <item m="1" x="694"/>
        <item m="1" x="3674"/>
        <item m="1" x="2337"/>
        <item m="1" x="5810"/>
        <item m="1" x="1176"/>
        <item m="1" x="5783"/>
        <item m="1" x="5900"/>
        <item m="1" x="1203"/>
        <item m="1" x="1552"/>
        <item m="1" x="1418"/>
        <item m="1" x="151"/>
        <item m="1" x="3424"/>
        <item m="1" x="5758"/>
        <item m="1" x="4430"/>
        <item m="1" x="4059"/>
        <item m="1" x="2621"/>
        <item m="1" x="5010"/>
        <item m="1" x="1943"/>
        <item m="1" x="6003"/>
        <item m="1" x="3896"/>
        <item m="1" x="3412"/>
        <item m="1" x="4953"/>
        <item m="1" x="5158"/>
        <item m="1" x="799"/>
        <item m="1" x="4201"/>
        <item m="1" x="3246"/>
        <item m="1" x="424"/>
        <item m="1" x="3905"/>
        <item m="1" x="393"/>
        <item m="1" x="4126"/>
        <item m="1" x="927"/>
        <item m="1" x="3981"/>
        <item m="1" x="5336"/>
        <item m="1" x="3280"/>
        <item m="1" x="2297"/>
        <item m="1" x="2838"/>
        <item m="1" x="698"/>
        <item m="1" x="5013"/>
        <item m="1" x="2555"/>
        <item m="1" x="5845"/>
        <item m="1" x="2031"/>
        <item m="1" x="4417"/>
        <item m="1" x="2713"/>
        <item m="1" x="5218"/>
        <item m="1" x="5870"/>
        <item m="1" x="6137"/>
        <item m="1" x="1625"/>
        <item m="1" x="5151"/>
        <item m="1" x="3279"/>
        <item m="1" x="3447"/>
        <item m="1" x="3589"/>
        <item m="1" x="1193"/>
        <item m="1" x="4727"/>
        <item m="1" x="3848"/>
        <item m="1" x="926"/>
        <item m="1" x="5122"/>
        <item m="1" x="5221"/>
        <item m="1" x="2824"/>
        <item m="1" x="3587"/>
        <item m="1" x="285"/>
        <item m="1" x="3503"/>
        <item m="1" x="3167"/>
        <item m="1" x="1877"/>
        <item m="1" x="5879"/>
        <item m="1" x="693"/>
        <item m="1" x="5449"/>
        <item m="1" x="2635"/>
        <item m="1" x="4037"/>
        <item m="1" x="4447"/>
        <item m="1" x="1543"/>
        <item m="1" x="1824"/>
        <item m="1" x="141"/>
        <item m="1" x="1290"/>
        <item m="1" x="4177"/>
        <item m="1" x="4036"/>
        <item m="1" x="5570"/>
        <item m="1" x="396"/>
        <item m="1" x="4729"/>
        <item m="1" x="3176"/>
        <item m="1" x="1798"/>
        <item m="1" x="3968"/>
        <item m="1" x="1579"/>
        <item m="1" x="5792"/>
        <item m="1" x="1886"/>
        <item m="1" x="980"/>
        <item m="1" x="2605"/>
        <item m="1" x="2842"/>
        <item m="1" x="3651"/>
        <item m="1" x="3773"/>
        <item m="1" x="2874"/>
        <item m="1" x="4459"/>
        <item m="1" x="5806"/>
        <item m="1" x="3569"/>
        <item m="1" x="759"/>
        <item m="1" x="3232"/>
        <item m="1" x="4278"/>
        <item m="1" x="3187"/>
        <item m="1" x="5734"/>
        <item m="1" x="5836"/>
        <item m="1" x="2503"/>
        <item m="1" x="4416"/>
        <item m="1" x="1280"/>
        <item m="1" x="4378"/>
        <item m="1" x="112"/>
        <item m="1" x="1591"/>
        <item m="1" x="5472"/>
        <item m="1" x="4163"/>
        <item m="1" x="666"/>
        <item m="1" x="5825"/>
        <item m="1" x="1376"/>
        <item m="1" x="2498"/>
        <item m="1" x="1294"/>
        <item m="1" x="372"/>
        <item m="1" x="719"/>
        <item m="1" x="1151"/>
        <item m="1" x="4520"/>
        <item m="1" x="3961"/>
        <item m="1" x="5491"/>
        <item m="1" x="5803"/>
        <item m="1" x="5381"/>
        <item m="1" x="2370"/>
        <item m="1" x="4522"/>
        <item m="1" x="1691"/>
        <item m="1" x="5096"/>
        <item m="1" x="894"/>
        <item m="1" x="2362"/>
        <item m="1" x="977"/>
        <item m="1" x="4016"/>
        <item m="1" x="2407"/>
        <item m="1" x="2631"/>
        <item m="1" x="579"/>
        <item m="1" x="3832"/>
        <item m="1" x="2227"/>
        <item m="1" x="4357"/>
        <item m="1" x="4506"/>
        <item m="1" x="4326"/>
        <item m="1" x="6108"/>
        <item m="1" x="475"/>
        <item m="1" x="3078"/>
        <item m="1" x="933"/>
        <item m="1" x="2673"/>
        <item m="1" x="6036"/>
        <item m="1" x="562"/>
        <item m="1" x="5843"/>
        <item m="1" x="757"/>
        <item m="1" x="4746"/>
        <item m="1" x="3833"/>
        <item m="1" x="1910"/>
        <item m="1" x="1472"/>
        <item m="1" x="2852"/>
        <item m="1" x="4845"/>
        <item m="1" x="2752"/>
        <item m="1" x="5204"/>
        <item m="1" x="700"/>
        <item m="1" x="253"/>
        <item m="1" x="1573"/>
        <item m="1" x="5906"/>
        <item m="1" x="4203"/>
        <item m="1" x="4007"/>
        <item m="1" x="2820"/>
        <item m="1" x="2624"/>
        <item m="1" x="5196"/>
        <item m="1" x="2964"/>
        <item m="1" x="5796"/>
        <item m="1" x="5876"/>
        <item m="1" x="1610"/>
        <item m="1" x="3330"/>
        <item m="1" x="279"/>
        <item m="1" x="4929"/>
        <item m="1" x="3918"/>
        <item m="1" x="3487"/>
        <item m="1" x="5994"/>
        <item m="1" x="3258"/>
        <item m="1" x="5093"/>
        <item m="1" x="5903"/>
        <item m="1" x="4019"/>
        <item m="1" x="4546"/>
        <item m="1" x="1621"/>
        <item m="1" x="3792"/>
        <item m="1" x="1407"/>
        <item x="81"/>
        <item m="1" x="4424"/>
        <item m="1" x="6156"/>
        <item m="1" x="2595"/>
        <item m="1" x="5130"/>
        <item m="1" x="5017"/>
        <item m="1" x="5504"/>
        <item m="1" x="2228"/>
        <item m="1" x="3432"/>
        <item m="1" x="816"/>
        <item m="1" x="4497"/>
        <item m="1" x="2474"/>
        <item m="1" x="2594"/>
        <item m="1" x="659"/>
        <item m="1" x="3468"/>
        <item m="1" x="5256"/>
        <item m="1" x="152"/>
        <item m="1" x="2881"/>
        <item m="1" x="4481"/>
        <item m="1" x="4095"/>
        <item m="1" x="1445"/>
        <item m="1" x="2155"/>
        <item m="1" x="6058"/>
        <item m="1" x="706"/>
        <item m="1" x="2727"/>
        <item m="1" x="269"/>
        <item m="1" x="4229"/>
        <item m="1" x="1116"/>
        <item m="1" x="5422"/>
        <item m="1" x="4021"/>
        <item m="1" x="5369"/>
        <item m="1" x="1040"/>
        <item m="1" x="2858"/>
        <item m="1" x="2853"/>
        <item m="1" x="3361"/>
        <item m="1" x="4182"/>
        <item m="1" x="6122"/>
        <item m="1" x="440"/>
        <item m="1" x="3339"/>
        <item m="1" x="5059"/>
        <item m="1" x="3786"/>
        <item m="1" x="1903"/>
        <item m="1" x="5294"/>
        <item m="1" x="5735"/>
        <item m="1" x="2903"/>
        <item m="1" x="5134"/>
        <item m="1" x="184"/>
        <item m="1" x="3325"/>
        <item m="1" x="4314"/>
        <item m="1" x="1542"/>
        <item m="1" x="6128"/>
        <item m="1" x="4171"/>
        <item m="1" x="1027"/>
        <item m="1" x="692"/>
        <item m="1" x="3695"/>
        <item m="1" x="3728"/>
        <item m="1" x="328"/>
        <item m="1" x="600"/>
        <item m="1" x="972"/>
        <item m="1" x="2692"/>
        <item m="1" x="1442"/>
        <item m="1" x="1563"/>
        <item m="1" x="3351"/>
        <item m="1" x="1366"/>
        <item m="1" x="4699"/>
        <item m="1" x="3241"/>
        <item m="1" x="3190"/>
        <item m="1" x="3769"/>
        <item m="1" x="1402"/>
        <item m="1" x="1307"/>
        <item m="1" x="4759"/>
        <item m="1" x="3035"/>
        <item m="1" x="5223"/>
        <item m="1" x="2796"/>
        <item m="1" x="2869"/>
        <item m="1" x="251"/>
        <item m="1" x="158"/>
        <item m="1" x="2322"/>
        <item m="1" x="4692"/>
        <item x="59"/>
        <item m="1" x="3902"/>
        <item m="1" x="312"/>
        <item m="1" x="1255"/>
        <item m="1" x="3904"/>
        <item m="1" x="1905"/>
        <item m="1" x="3607"/>
        <item m="1" x="5414"/>
        <item m="1" x="5859"/>
        <item m="1" x="2547"/>
        <item m="1" x="2688"/>
        <item m="1" x="2920"/>
        <item m="1" x="3852"/>
        <item m="1" x="1934"/>
        <item m="1" x="3064"/>
        <item m="1" x="1584"/>
        <item m="1" x="4058"/>
        <item m="1" x="3797"/>
        <item m="1" x="2520"/>
        <item m="1" x="5311"/>
        <item m="1" x="6118"/>
        <item m="1" x="2452"/>
        <item m="1" x="3015"/>
        <item m="1" x="5657"/>
        <item m="1" x="5552"/>
        <item m="1" x="5828"/>
        <item m="1" x="2314"/>
        <item m="1" x="4071"/>
        <item m="1" x="3603"/>
        <item m="1" x="4191"/>
        <item m="1" x="2203"/>
        <item m="1" x="460"/>
        <item m="1" x="3584"/>
        <item m="1" x="4553"/>
        <item m="1" x="3327"/>
        <item m="1" x="4042"/>
        <item m="1" x="1666"/>
        <item m="1" x="3969"/>
        <item m="1" x="1130"/>
        <item m="1" x="3762"/>
        <item m="1" x="728"/>
        <item m="1" x="2379"/>
        <item m="1" x="1060"/>
        <item m="1" x="775"/>
        <item m="1" x="3535"/>
        <item m="1" x="2644"/>
        <item m="1" x="1764"/>
        <item m="1" x="4702"/>
        <item m="1" x="3392"/>
        <item m="1" x="1950"/>
        <item m="1" x="5032"/>
        <item m="1" x="5622"/>
        <item m="1" x="3245"/>
        <item m="1" x="630"/>
        <item m="1" x="4287"/>
        <item m="1" x="206"/>
        <item m="1" x="4336"/>
        <item m="1" x="3830"/>
        <item m="1" x="3086"/>
        <item m="1" x="5239"/>
        <item m="1" x="5500"/>
        <item m="1" x="1898"/>
        <item m="1" x="2735"/>
        <item m="1" x="2252"/>
        <item m="1" x="1494"/>
        <item m="1" x="4577"/>
        <item m="1" x="4687"/>
        <item m="1" x="4396"/>
        <item m="1" x="192"/>
        <item m="1" x="1654"/>
        <item m="1" x="543"/>
        <item m="1" x="2827"/>
        <item m="1" x="2603"/>
        <item m="1" x="2056"/>
        <item m="1" x="1224"/>
        <item m="1" x="6017"/>
        <item m="1" x="1491"/>
        <item m="1" x="3372"/>
        <item m="1" x="3723"/>
        <item m="1" x="5695"/>
        <item m="1" x="696"/>
        <item m="1" x="4301"/>
        <item m="1" x="3768"/>
        <item m="1" x="2803"/>
        <item m="1" x="5124"/>
        <item m="1" x="4775"/>
        <item m="1" x="5709"/>
        <item m="1" x="177"/>
        <item m="1" x="1085"/>
        <item m="1" x="5922"/>
        <item m="1" x="5852"/>
        <item m="1" x="689"/>
        <item m="1" x="5925"/>
        <item m="1" x="2914"/>
        <item m="1" x="4300"/>
        <item m="1" x="4970"/>
        <item m="1" x="1644"/>
        <item m="1" x="6077"/>
        <item m="1" x="5562"/>
        <item m="1" x="1598"/>
        <item m="1" x="519"/>
        <item m="1" x="3662"/>
        <item m="1" x="4184"/>
        <item m="1" x="3293"/>
        <item m="1" x="376"/>
        <item m="1" x="3892"/>
        <item m="1" x="3106"/>
        <item m="1" x="5058"/>
        <item m="1" x="4869"/>
        <item m="1" x="2630"/>
        <item m="1" x="3959"/>
        <item m="1" x="5407"/>
        <item m="1" x="5969"/>
        <item m="1" x="2265"/>
        <item m="1" x="1778"/>
        <item m="1" x="2026"/>
        <item m="1" x="3794"/>
        <item m="1" x="4034"/>
        <item m="1" x="5912"/>
        <item m="1" x="1142"/>
        <item m="1" x="1123"/>
        <item m="1" x="4207"/>
        <item m="1" x="4451"/>
        <item m="1" x="937"/>
        <item m="1" x="220"/>
        <item m="1" x="2270"/>
        <item m="1" x="637"/>
        <item m="1" x="5966"/>
        <item m="1" x="4809"/>
        <item m="1" x="5942"/>
        <item m="1" x="5974"/>
        <item m="1" x="4429"/>
        <item m="1" x="1770"/>
        <item m="1" x="5127"/>
        <item m="1" x="2310"/>
        <item m="1" x="3875"/>
        <item m="1" x="5733"/>
        <item m="1" x="4131"/>
        <item m="1" x="1235"/>
        <item m="1" x="3748"/>
        <item m="1" x="2774"/>
        <item x="85"/>
        <item m="1" x="3778"/>
        <item m="1" x="2419"/>
        <item m="1" x="280"/>
        <item m="1" x="2245"/>
        <item m="1" x="5022"/>
        <item m="1" x="3171"/>
        <item m="1" x="5386"/>
        <item m="1" x="4817"/>
        <item m="1" x="3181"/>
        <item m="1" x="244"/>
        <item m="1" x="5728"/>
        <item m="1" x="5011"/>
        <item m="1" x="5719"/>
        <item m="1" x="6023"/>
        <item m="1" x="5955"/>
        <item m="1" x="4382"/>
        <item m="1" x="2123"/>
        <item m="1" x="5505"/>
        <item m="1" x="5895"/>
        <item m="1" x="1177"/>
        <item m="1" x="5201"/>
        <item m="1" x="5819"/>
        <item m="1" x="5153"/>
        <item m="1" x="4362"/>
        <item m="1" x="3854"/>
        <item m="1" x="857"/>
        <item m="1" x="335"/>
        <item m="1" x="4446"/>
        <item m="1" x="319"/>
        <item m="1" x="318"/>
        <item m="1" x="452"/>
        <item m="1" x="4190"/>
        <item m="1" x="3784"/>
        <item m="1" x="3592"/>
        <item m="1" x="4720"/>
        <item m="1" x="1923"/>
        <item m="1" x="229"/>
        <item m="1" x="5198"/>
        <item m="1" x="1031"/>
        <item m="1" x="4742"/>
        <item m="1" x="6093"/>
        <item m="1" x="993"/>
        <item m="1" x="924"/>
        <item m="1" x="3749"/>
        <item m="1" x="2327"/>
        <item m="1" x="5041"/>
        <item m="1" x="5944"/>
        <item m="1" x="5274"/>
        <item m="1" x="3238"/>
        <item m="1" x="1082"/>
        <item x="64"/>
        <item m="1" x="3826"/>
        <item m="1" x="2641"/>
        <item m="1" x="2937"/>
        <item m="1" x="6081"/>
        <item m="1" x="2197"/>
        <item m="1" x="4956"/>
        <item m="1" x="1624"/>
        <item m="1" x="4246"/>
        <item m="1" x="3359"/>
        <item m="1" x="5073"/>
        <item m="1" x="1115"/>
        <item m="1" x="4621"/>
        <item m="1" x="2437"/>
        <item m="1" x="5545"/>
        <item m="1" x="4669"/>
        <item m="1" x="4099"/>
        <item m="1" x="3783"/>
        <item m="1" x="2287"/>
        <item m="1" x="5214"/>
        <item m="1" x="3839"/>
        <item m="1" x="2563"/>
        <item m="1" x="3907"/>
        <item m="1" x="2098"/>
        <item m="1" x="1530"/>
        <item m="1" x="4708"/>
        <item m="1" x="3315"/>
        <item m="1" x="5026"/>
        <item m="1" x="4222"/>
        <item m="1" x="2527"/>
        <item m="1" x="2634"/>
        <item m="1" x="2652"/>
        <item m="1" x="2115"/>
        <item m="1" x="2665"/>
        <item m="1" x="614"/>
        <item m="1" x="4259"/>
        <item m="1" x="664"/>
        <item m="1" x="1672"/>
        <item m="1" x="956"/>
        <item m="1" x="3588"/>
        <item m="1" x="5147"/>
        <item m="1" x="4186"/>
        <item m="1" x="4123"/>
        <item m="1" x="4349"/>
        <item m="1" x="2331"/>
        <item m="1" x="1816"/>
        <item m="1" x="1831"/>
        <item m="1" x="5618"/>
        <item m="1" x="2221"/>
        <item m="1" x="2992"/>
        <item m="1" x="5933"/>
        <item m="1" x="4778"/>
        <item m="1" x="4944"/>
        <item m="1" x="965"/>
        <item m="1" x="4422"/>
        <item m="1" x="5089"/>
        <item m="1" x="2739"/>
        <item m="1" x="5199"/>
        <item m="1" x="5427"/>
        <item m="1" x="3597"/>
        <item m="1" x="3172"/>
        <item m="1" x="5927"/>
        <item m="1" x="4913"/>
        <item m="1" x="834"/>
        <item m="1" x="2254"/>
        <item m="1" x="1777"/>
        <item m="1" x="5775"/>
        <item m="1" x="2427"/>
        <item m="1" x="4111"/>
        <item m="1" x="3812"/>
        <item m="1" x="1090"/>
        <item m="1" x="897"/>
        <item m="1" x="1299"/>
        <item m="1" x="6153"/>
        <item m="1" x="2449"/>
        <item m="1" x="2585"/>
        <item m="1" x="2043"/>
        <item m="1" x="4849"/>
        <item m="1" x="5907"/>
        <item m="1" x="2942"/>
        <item m="1" x="3899"/>
        <item m="1" x="1675"/>
        <item m="1" x="3550"/>
        <item m="1" x="1035"/>
        <item m="1" x="2912"/>
        <item m="1" x="1982"/>
        <item m="1" x="5260"/>
        <item m="1" x="5049"/>
        <item m="1" x="813"/>
        <item m="1" x="3122"/>
        <item m="1" x="3562"/>
        <item m="1" x="6069"/>
        <item m="1" x="5671"/>
        <item m="1" x="620"/>
        <item m="1" x="3439"/>
        <item m="1" x="3300"/>
        <item m="1" x="544"/>
        <item m="1" x="621"/>
        <item m="1" x="1426"/>
        <item m="1" x="3022"/>
        <item m="1" x="3231"/>
        <item m="1" x="2639"/>
        <item m="1" x="2084"/>
        <item m="1" x="624"/>
        <item m="1" x="4234"/>
        <item m="1" x="4237"/>
        <item m="1" x="1434"/>
        <item m="1" x="4915"/>
        <item m="1" x="4067"/>
        <item m="1" x="4297"/>
        <item m="1" x="4601"/>
        <item m="1" x="202"/>
        <item m="1" x="1593"/>
        <item m="1" x="2491"/>
        <item m="1" x="656"/>
        <item m="1" x="4156"/>
        <item m="1" x="4290"/>
        <item m="1" x="5579"/>
        <item m="1" x="4880"/>
        <item m="1" x="2725"/>
        <item m="1" x="3471"/>
        <item m="1" x="5347"/>
        <item m="1" x="5704"/>
        <item m="1" x="891"/>
        <item m="1" x="566"/>
        <item m="1" x="951"/>
        <item m="1" x="946"/>
        <item m="1" x="368"/>
        <item m="1" x="4377"/>
        <item m="1" x="3982"/>
        <item m="1" x="1362"/>
        <item m="1" x="4475"/>
        <item m="1" x="3793"/>
        <item m="1" x="3483"/>
        <item m="1" x="6048"/>
        <item m="1" x="5063"/>
        <item m="1" x="3115"/>
        <item m="1" x="742"/>
        <item m="1" x="6067"/>
        <item m="1" x="6117"/>
        <item m="1" x="4527"/>
        <item m="1" x="1987"/>
        <item m="1" x="2459"/>
        <item m="1" x="3568"/>
        <item m="1" x="3765"/>
        <item m="1" x="447"/>
        <item m="1" x="3484"/>
        <item m="1" x="2390"/>
        <item m="1" x="348"/>
        <item m="1" x="6092"/>
        <item m="1" x="5413"/>
        <item m="1" x="3863"/>
        <item m="1" x="1421"/>
        <item m="1" x="1649"/>
        <item m="1" x="4350"/>
        <item m="1" x="1013"/>
        <item m="1" x="4987"/>
        <item m="1" x="252"/>
        <item m="1" x="1000"/>
        <item m="1" x="934"/>
        <item m="1" x="3301"/>
        <item m="1" x="3111"/>
        <item m="1" x="3943"/>
        <item m="1" x="715"/>
        <item m="1" x="487"/>
        <item m="1" x="941"/>
        <item m="1" x="577"/>
        <item m="1" x="1555"/>
        <item m="1" x="534"/>
        <item m="1" x="888"/>
        <item m="1" x="193"/>
        <item m="1" x="1260"/>
        <item m="1" x="828"/>
        <item m="1" x="4026"/>
        <item m="1" x="4148"/>
        <item m="1" x="3929"/>
        <item m="1" x="1509"/>
        <item m="1" x="5310"/>
        <item m="1" x="4519"/>
        <item m="1" x="1139"/>
        <item m="1" x="5701"/>
        <item m="1" x="2683"/>
        <item m="1" x="5392"/>
        <item m="1" x="4952"/>
        <item m="1" x="1323"/>
        <item m="1" x="1191"/>
        <item m="1" x="4959"/>
        <item m="1" x="1099"/>
        <item m="1" x="2823"/>
        <item m="1" x="5947"/>
        <item m="1" x="1037"/>
        <item m="1" x="5339"/>
        <item m="1" x="5972"/>
        <item m="1" x="5648"/>
        <item m="1" x="3514"/>
        <item m="1" x="2482"/>
        <item m="1" x="503"/>
        <item m="1" x="3573"/>
        <item m="1" x="2873"/>
        <item m="1" x="2229"/>
        <item m="1" x="3989"/>
        <item m="1" x="4047"/>
        <item m="1" x="3615"/>
        <item m="1" x="2329"/>
        <item m="1" x="1785"/>
        <item m="1" x="4884"/>
        <item m="1" x="4335"/>
        <item m="1" x="3807"/>
        <item m="1" x="5940"/>
        <item m="1" x="5577"/>
        <item m="1" x="3102"/>
        <item m="1" x="2515"/>
        <item m="1" x="1011"/>
        <item m="1" x="3992"/>
        <item m="1" x="5206"/>
        <item m="1" x="509"/>
        <item m="1" x="4799"/>
        <item m="1" x="4988"/>
        <item m="1" x="5812"/>
        <item m="1" x="5767"/>
        <item m="1" x="230"/>
        <item m="1" x="3121"/>
        <item m="1" x="3406"/>
        <item m="1" x="311"/>
        <item m="1" x="3380"/>
        <item m="1" x="553"/>
        <item m="1" x="1239"/>
        <item m="1" x="2003"/>
        <item m="1" x="242"/>
        <item m="1" x="4752"/>
        <item m="1" x="5282"/>
        <item m="1" x="2222"/>
        <item m="1" x="1501"/>
        <item m="1" x="3798"/>
        <item m="1" x="5720"/>
        <item m="1" x="703"/>
        <item m="1" x="931"/>
        <item m="1" x="5918"/>
        <item m="1" x="4504"/>
        <item m="1" x="705"/>
        <item m="1" x="3563"/>
        <item m="1" x="4018"/>
        <item m="1" x="5228"/>
        <item m="1" x="1928"/>
        <item m="1" x="611"/>
        <item m="1" x="2686"/>
        <item m="1" x="4441"/>
        <item m="1" x="3450"/>
        <item m="1" x="3110"/>
        <item m="1" x="5587"/>
        <item m="1" x="2415"/>
        <item m="1" x="3935"/>
        <item m="1" x="892"/>
        <item m="1" x="641"/>
        <item m="1" x="2518"/>
        <item m="1" x="2004"/>
        <item m="1" x="1581"/>
        <item m="1" x="4954"/>
        <item m="1" x="1525"/>
        <item m="1" x="1713"/>
        <item m="1" x="4495"/>
        <item m="1" x="201"/>
        <item m="1" x="3007"/>
        <item m="1" x="3745"/>
        <item m="1" x="5371"/>
        <item m="1" x="4195"/>
        <item m="1" x="939"/>
        <item m="1" x="5176"/>
        <item m="1" x="1508"/>
        <item m="1" x="2522"/>
        <item m="1" x="2951"/>
        <item m="1" x="1337"/>
        <item m="1" x="5193"/>
        <item m="1" x="2112"/>
        <item m="1" x="4641"/>
        <item m="1" x="5840"/>
        <item m="1" x="2175"/>
        <item m="1" x="5145"/>
        <item m="1" x="5262"/>
        <item m="1" x="718"/>
        <item m="1" x="1997"/>
        <item m="1" x="1952"/>
        <item m="1" x="665"/>
        <item m="1" x="1956"/>
        <item m="1" x="616"/>
        <item m="1" x="3062"/>
        <item m="1" x="5348"/>
        <item m="1" x="6035"/>
        <item m="1" x="869"/>
        <item m="1" x="4947"/>
        <item m="1" x="4865"/>
        <item m="1" x="4750"/>
        <item m="1" x="187"/>
        <item m="1" x="5297"/>
        <item m="1" x="2741"/>
        <item m="1" x="3011"/>
        <item m="1" x="402"/>
        <item m="1" x="2817"/>
        <item m="1" x="2535"/>
        <item m="1" x="5475"/>
        <item m="1" x="2058"/>
        <item m="1" x="6123"/>
        <item m="1" x="2077"/>
        <item m="1" x="2371"/>
        <item m="1" x="235"/>
        <item m="1" x="4562"/>
        <item m="1" x="111"/>
        <item m="1" x="1852"/>
        <item m="1" x="2530"/>
        <item m="1" x="2377"/>
        <item m="1" x="4832"/>
        <item m="1" x="4792"/>
        <item m="1" x="5963"/>
        <item m="1" x="1043"/>
        <item m="1" x="1104"/>
        <item m="1" x="4841"/>
        <item m="1" x="3595"/>
        <item m="1" x="5115"/>
        <item m="1" x="806"/>
        <item m="1" x="3083"/>
        <item m="1" x="4619"/>
        <item m="1" x="1117"/>
        <item m="1" x="2174"/>
        <item m="1" x="1231"/>
        <item m="1" x="1716"/>
        <item m="1" x="3287"/>
        <item m="1" x="3316"/>
        <item m="1" x="4487"/>
        <item m="1" x="436"/>
        <item m="1" x="4917"/>
        <item m="1" x="2529"/>
        <item m="1" x="4393"/>
        <item m="1" x="1651"/>
        <item m="1" x="4328"/>
        <item m="1" x="4267"/>
        <item m="1" x="4974"/>
        <item m="1" x="4143"/>
        <item m="1" x="2781"/>
        <item m="1" x="3143"/>
        <item m="1" x="5642"/>
        <item m="1" x="5600"/>
        <item m="1" x="3147"/>
        <item m="1" x="4786"/>
        <item m="1" x="2600"/>
        <item m="1" x="428"/>
        <item m="1" x="2697"/>
        <item m="1" x="2936"/>
        <item m="1" x="4964"/>
        <item m="1" x="2701"/>
        <item m="1" x="3043"/>
        <item m="1" x="4390"/>
        <item m="1" x="2431"/>
        <item m="1" x="3997"/>
        <item m="1" x="950"/>
        <item m="1" x="3790"/>
        <item m="1" x="3003"/>
        <item m="1" x="4002"/>
        <item m="1" x="1881"/>
        <item m="1" x="5247"/>
        <item m="1" x="2944"/>
        <item m="1" x="2702"/>
        <item m="1" x="3656"/>
        <item m="1" x="2566"/>
        <item m="1" x="3093"/>
        <item m="1" x="2236"/>
        <item m="1" x="310"/>
        <item m="1" x="4353"/>
        <item m="1" x="889"/>
        <item m="1" x="578"/>
        <item m="1" x="913"/>
        <item m="1" x="4032"/>
        <item m="1" x="3124"/>
        <item m="1" x="2318"/>
        <item m="1" x="5920"/>
        <item m="1" x="935"/>
        <item m="1" x="3273"/>
        <item m="1" x="2490"/>
        <item m="1" x="3045"/>
        <item m="1" x="5724"/>
        <item m="1" x="4723"/>
        <item m="1" x="1643"/>
        <item m="1" x="2241"/>
        <item m="1" x="1729"/>
        <item m="1" x="4384"/>
        <item m="1" x="3770"/>
        <item m="1" x="2096"/>
        <item m="1" x="313"/>
        <item m="1" x="2387"/>
        <item m="1" x="245"/>
        <item m="1" x="3069"/>
        <item m="1" x="3760"/>
        <item m="1" x="3529"/>
        <item m="1" x="5953"/>
        <item m="1" x="2805"/>
        <item m="1" x="5824"/>
        <item m="1" x="5154"/>
        <item m="1" x="1781"/>
        <item m="1" x="5595"/>
        <item m="1" x="3363"/>
        <item m="1" x="618"/>
        <item m="1" x="4852"/>
        <item m="1" x="1853"/>
        <item m="1" x="4260"/>
        <item m="1" x="5956"/>
        <item m="1" x="5233"/>
        <item m="1" x="4217"/>
        <item m="1" x="5802"/>
        <item m="1" x="2022"/>
        <item m="1" x="6116"/>
        <item m="1" x="2158"/>
        <item m="1" x="4648"/>
        <item m="1" x="2747"/>
        <item m="1" x="375"/>
        <item m="1" x="6055"/>
        <item m="1" x="5167"/>
        <item m="1" x="3081"/>
        <item m="1" x="872"/>
        <item m="1" x="1406"/>
        <item m="1" x="3378"/>
        <item m="1" x="3109"/>
        <item m="1" x="4381"/>
        <item m="1" x="3271"/>
        <item m="1" x="2532"/>
        <item m="1" x="4122"/>
        <item m="1" x="2060"/>
        <item m="1" x="3677"/>
        <item m="1" x="4961"/>
        <item m="1" x="756"/>
        <item m="1" x="4622"/>
        <item m="1" x="1822"/>
        <item m="1" x="4165"/>
        <item m="1" x="3137"/>
        <item m="1" x="2234"/>
        <item m="1" x="2279"/>
        <item m="1" x="2457"/>
        <item m="1" x="1184"/>
        <item m="1" x="4003"/>
        <item m="1" x="2650"/>
        <item m="1" x="794"/>
        <item m="1" x="4070"/>
        <item m="1" x="5670"/>
        <item m="1" x="4800"/>
        <item m="1" x="903"/>
        <item m="1" x="5211"/>
        <item m="1" x="4442"/>
        <item m="1" x="3117"/>
        <item m="1" x="3879"/>
        <item m="1" x="3658"/>
        <item m="1" x="3446"/>
        <item m="1" x="1527"/>
        <item m="1" x="2479"/>
        <item m="1" x="3987"/>
        <item m="1" x="2305"/>
        <item m="1" x="3861"/>
        <item m="1" x="4170"/>
        <item m="1" x="2243"/>
        <item m="1" x="2304"/>
        <item m="1" x="592"/>
        <item m="1" x="1006"/>
        <item m="1" x="1317"/>
        <item m="1" x="5230"/>
        <item m="1" x="1726"/>
        <item m="1" x="5669"/>
        <item m="1" x="3737"/>
        <item m="1" x="5774"/>
        <item m="1" x="5142"/>
        <item m="1" x="1038"/>
        <item m="1" x="5727"/>
        <item m="1" x="2609"/>
        <item m="1" x="3789"/>
        <item m="1" x="5548"/>
        <item m="1" x="3437"/>
        <item m="1" x="1008"/>
        <item x="97"/>
        <item m="1" x="1206"/>
        <item m="1" x="3028"/>
        <item m="1" x="5848"/>
        <item m="1" x="3128"/>
        <item m="1" x="2511"/>
        <item m="1" x="3717"/>
        <item m="1" x="2890"/>
        <item m="1" x="322"/>
        <item m="1" x="1782"/>
        <item m="1" x="211"/>
        <item m="1" x="1196"/>
        <item m="1" x="3100"/>
        <item m="1" x="538"/>
        <item m="1" x="1679"/>
        <item m="1" x="6015"/>
        <item m="1" x="4411"/>
        <item m="1" x="1784"/>
        <item m="1" x="3974"/>
        <item m="1" x="5871"/>
        <item m="1" x="1983"/>
        <item m="1" x="2885"/>
        <item m="1" x="5583"/>
        <item m="1" x="4241"/>
        <item m="1" x="4469"/>
        <item m="1" x="1300"/>
        <item m="1" x="171"/>
        <item m="1" x="4928"/>
        <item m="1" x="154"/>
        <item m="1" x="979"/>
        <item m="1" x="1505"/>
        <item m="1" x="1489"/>
        <item m="1" x="1604"/>
        <item m="1" x="1678"/>
        <item m="1" x="3756"/>
        <item m="1" x="561"/>
        <item m="1" x="1850"/>
        <item m="1" x="4533"/>
        <item m="1" x="1252"/>
        <item m="1" x="3230"/>
        <item m="1" x="4082"/>
        <item m="1" x="4306"/>
        <item m="1" x="1619"/>
        <item m="1" x="4139"/>
        <item m="1" x="4946"/>
        <item m="1" x="1749"/>
        <item m="1" x="4889"/>
        <item m="1" x="3505"/>
        <item m="1" x="5038"/>
        <item m="1" x="4833"/>
        <item m="1" x="1286"/>
        <item m="1" x="5672"/>
        <item m="1" x="3669"/>
        <item m="1" x="5213"/>
        <item m="1" x="5419"/>
        <item m="1" x="3435"/>
        <item m="1" x="1932"/>
        <item m="1" x="1216"/>
        <item m="1" x="4295"/>
        <item m="1" x="4664"/>
        <item m="1" x="967"/>
        <item m="1" x="6115"/>
        <item m="1" x="597"/>
        <item m="1" x="217"/>
        <item m="1" x="3480"/>
        <item m="1" x="5057"/>
        <item m="1" x="987"/>
        <item m="1" x="3038"/>
        <item m="1" x="687"/>
        <item m="1" x="5714"/>
        <item m="1" x="5184"/>
        <item m="1" x="3802"/>
        <item m="1" x="5609"/>
        <item m="1" x="3781"/>
        <item m="1" x="3433"/>
        <item m="1" x="1866"/>
        <item m="1" x="5202"/>
        <item m="1" x="5536"/>
        <item m="1" x="6068"/>
        <item m="1" x="3413"/>
        <item m="1" x="484"/>
        <item m="1" x="3939"/>
        <item m="1" x="1028"/>
        <item m="1" x="5832"/>
        <item m="1" x="333"/>
        <item x="83"/>
        <item m="1" x="4478"/>
        <item m="1" x="3991"/>
        <item m="1" x="4936"/>
        <item m="1" x="4078"/>
        <item m="1" x="3212"/>
        <item m="1" x="3253"/>
        <item m="1" x="200"/>
        <item m="1" x="3073"/>
        <item m="1" x="2896"/>
        <item m="1" x="4262"/>
        <item m="1" x="3937"/>
        <item m="1" x="1091"/>
        <item m="1" x="4813"/>
        <item m="1" x="4062"/>
        <item m="1" x="1005"/>
        <item m="1" x="5489"/>
        <item m="1" x="464"/>
        <item m="1" x="2036"/>
        <item m="1" x="1270"/>
        <item m="1" x="6056"/>
        <item m="1" x="568"/>
        <item m="1" x="671"/>
        <item m="1" x="882"/>
        <item m="1" x="1692"/>
        <item m="1" x="1451"/>
        <item m="1" x="6047"/>
        <item m="1" x="2375"/>
        <item m="1" x="2597"/>
        <item m="1" x="2309"/>
        <item m="1" x="731"/>
        <item m="1" x="5573"/>
        <item m="1" x="3320"/>
        <item m="1" x="3156"/>
        <item m="1" x="2380"/>
        <item m="1" x="3058"/>
        <item m="1" x="970"/>
        <item m="1" x="2275"/>
        <item m="1" x="4837"/>
        <item m="1" x="1351"/>
        <item m="1" x="1388"/>
        <item m="1" x="2070"/>
        <item m="1" x="4494"/>
        <item m="1" x="434"/>
        <item m="1" x="256"/>
        <item m="1" x="985"/>
        <item m="1" x="109"/>
        <item m="1" x="1908"/>
        <item m="1" x="234"/>
        <item m="1" x="1105"/>
        <item m="1" x="2206"/>
        <item m="1" x="3189"/>
        <item m="1" x="1875"/>
        <item m="1" x="1329"/>
        <item m="1" x="439"/>
        <item m="1" x="5606"/>
        <item m="1" x="5863"/>
        <item m="1" x="4666"/>
        <item m="1" x="3244"/>
        <item m="1" x="1036"/>
        <item m="1" x="241"/>
        <item m="1" x="1161"/>
        <item m="1" x="5188"/>
        <item m="1" x="334"/>
        <item m="1" x="2501"/>
        <item m="1" x="2809"/>
        <item m="1" x="667"/>
        <item m="1" x="3448"/>
        <item m="1" x="1941"/>
        <item m="1" x="3326"/>
        <item m="1" x="398"/>
        <item m="1" x="1399"/>
        <item m="1" x="3129"/>
        <item m="1" x="545"/>
        <item m="1" x="2707"/>
        <item m="1" x="955"/>
        <item m="1" x="5560"/>
        <item m="1" x="657"/>
        <item m="1" x="4242"/>
        <item m="1" x="4756"/>
        <item m="1" x="5544"/>
        <item m="1" x="3267"/>
        <item m="1" x="6059"/>
        <item m="1" x="4135"/>
        <item m="1" x="4811"/>
        <item m="1" x="3055"/>
        <item m="1" x="1343"/>
        <item m="1" x="748"/>
        <item m="1" x="2493"/>
        <item m="1" x="1446"/>
        <item m="1" x="1554"/>
        <item m="1" x="4860"/>
        <item m="1" x="134"/>
        <item m="1" x="3260"/>
        <item m="1" x="3142"/>
        <item m="1" x="5092"/>
        <item m="1" x="5959"/>
        <item m="1" x="337"/>
        <item m="1" x="4707"/>
        <item m="1" x="2640"/>
        <item m="1" x="1058"/>
        <item m="1" x="1454"/>
        <item m="1" x="1790"/>
        <item m="1" x="5645"/>
        <item m="1" x="2294"/>
        <item m="1" x="1531"/>
        <item m="1" x="4634"/>
        <item m="1" x="3888"/>
        <item m="1" x="208"/>
        <item m="1" x="2134"/>
        <item m="1" x="1210"/>
        <item m="1" x="2240"/>
        <item m="1" x="3567"/>
        <item m="1" x="4288"/>
        <item m="1" x="1874"/>
        <item m="1" x="412"/>
        <item m="1" x="3788"/>
        <item m="1" x="5446"/>
        <item m="1" x="2757"/>
        <item m="1" x="2625"/>
        <item m="1" x="4694"/>
        <item m="1" x="4054"/>
        <item m="1" x="2199"/>
        <item m="1" x="2076"/>
        <item m="1" x="1275"/>
        <item m="1" x="3900"/>
        <item m="1" x="5435"/>
        <item m="1" x="4894"/>
        <item m="1" x="1787"/>
        <item m="1" x="5756"/>
        <item m="1" x="3449"/>
        <item m="1" x="5169"/>
        <item m="1" x="1138"/>
        <item m="1" x="2138"/>
        <item m="1" x="5302"/>
        <item m="1" x="1395"/>
        <item m="1" x="4214"/>
        <item m="1" x="2011"/>
        <item m="1" x="1347"/>
        <item m="1" x="5538"/>
        <item m="1" x="1931"/>
        <item m="1" x="163"/>
        <item m="1" x="2458"/>
        <item m="1" x="5027"/>
        <item m="1" x="2426"/>
        <item m="1" x="4220"/>
        <item m="1" x="5571"/>
        <item m="1" x="5564"/>
        <item m="1" x="1690"/>
        <item m="1" x="5212"/>
        <item m="1" x="205"/>
        <item m="1" x="1939"/>
        <item m="1" x="2103"/>
        <item m="1" x="456"/>
        <item m="1" x="3818"/>
        <item m="1" x="1432"/>
        <item m="1" x="2346"/>
        <item m="1" x="5014"/>
        <item m="1" x="2054"/>
        <item m="1" x="3240"/>
        <item m="1" x="3963"/>
        <item m="1" x="1226"/>
        <item m="1" x="2189"/>
        <item m="1" x="1860"/>
        <item m="1" x="2165"/>
        <item m="1" x="353"/>
        <item m="1" x="2754"/>
        <item m="1" x="2946"/>
        <item m="1" x="4339"/>
        <item m="1" x="1007"/>
        <item m="1" x="2282"/>
        <item m="1" x="2373"/>
        <item m="1" x="4858"/>
        <item m="1" x="6144"/>
        <item m="1" x="5748"/>
        <item m="1" x="2179"/>
        <item m="1" x="4836"/>
        <item m="1" x="2393"/>
        <item m="1" x="764"/>
        <item m="1" x="5978"/>
        <item m="1" x="3387"/>
        <item m="1" x="2887"/>
        <item m="1" x="5318"/>
        <item m="1" x="5431"/>
        <item m="1" x="2877"/>
        <item m="1" x="4769"/>
        <item m="1" x="4197"/>
        <item m="1" x="4472"/>
        <item m="1" x="3127"/>
        <item m="1" x="2514"/>
        <item m="1" x="521"/>
        <item m="1" x="3299"/>
        <item m="1" x="2188"/>
        <item m="1" x="4296"/>
        <item m="1" x="4480"/>
        <item m="1" x="1261"/>
        <item m="1" x="3621"/>
        <item m="1" x="6097"/>
        <item m="1" x="190"/>
        <item m="1" x="4770"/>
        <item m="1" x="3193"/>
        <item m="1" x="5028"/>
        <item m="1" x="1793"/>
        <item m="1" x="3203"/>
        <item m="1" x="1461"/>
        <item m="1" x="3934"/>
        <item m="1" x="3509"/>
        <item m="1" x="2285"/>
        <item m="1" x="2948"/>
        <item m="1" x="3175"/>
        <item m="1" x="655"/>
        <item m="1" x="2171"/>
        <item m="1" x="4421"/>
        <item m="1" x="3265"/>
        <item m="1" x="873"/>
        <item m="1" x="3134"/>
        <item m="1" x="3811"/>
        <item m="1" x="791"/>
        <item m="1" x="2891"/>
        <item m="1" x="2579"/>
        <item m="1" x="4141"/>
        <item m="1" x="2728"/>
        <item m="1" x="182"/>
        <item m="1" x="4355"/>
        <item m="1" x="4069"/>
        <item m="1" x="5498"/>
        <item m="1" x="5298"/>
        <item m="1" x="5039"/>
        <item m="1" x="4348"/>
        <item m="1" x="6114"/>
        <item m="1" x="1490"/>
        <item m="1" x="1297"/>
        <item m="1" x="2590"/>
        <item m="1" x="2074"/>
        <item m="1" x="1783"/>
        <item m="1" x="2164"/>
        <item m="1" x="4636"/>
        <item m="1" x="4137"/>
        <item m="1" x="1786"/>
        <item m="1" x="315"/>
        <item m="1" x="4269"/>
        <item m="1" x="5395"/>
        <item m="1" x="1158"/>
        <item m="1" x="341"/>
        <item m="1" x="5104"/>
        <item m="1" x="681"/>
        <item m="1" x="4178"/>
        <item m="1" x="4286"/>
        <item m="1" x="4232"/>
        <item m="1" x="3676"/>
        <item m="1" x="1605"/>
        <item m="1" x="4146"/>
        <item m="1" x="5387"/>
        <item m="1" x="130"/>
        <item m="1" x="5416"/>
        <item m="1" x="938"/>
        <item m="1" x="1873"/>
        <item m="1" x="228"/>
        <item m="1" x="175"/>
        <item m="1" x="4583"/>
        <item m="1" x="520"/>
        <item m="1" x="2217"/>
        <item m="1" x="4763"/>
        <item m="1" x="3256"/>
        <item m="1" x="5856"/>
        <item m="1" x="4465"/>
        <item m="1" x="3507"/>
        <item m="1" x="5829"/>
        <item m="1" x="1493"/>
        <item m="1" x="2152"/>
        <item m="1" x="4226"/>
        <item m="1" x="3531"/>
        <item m="1" x="4668"/>
        <item m="1" x="1125"/>
        <item m="1" x="3494"/>
        <item m="1" x="5377"/>
        <item m="1" x="5353"/>
        <item m="1" x="4876"/>
        <item m="1" x="4524"/>
        <item m="1" x="1882"/>
        <item m="1" x="5286"/>
        <item m="1" x="5030"/>
        <item m="1" x="4454"/>
        <item m="1" x="2564"/>
        <item m="1" x="1856"/>
        <item m="1" x="4213"/>
        <item m="1" x="6120"/>
        <item m="1" x="850"/>
        <item m="1" x="5558"/>
        <item m="1" x="4136"/>
        <item m="1" x="2366"/>
        <item m="1" x="4670"/>
        <item m="1" x="5197"/>
        <item m="1" x="969"/>
        <item m="1" x="2915"/>
        <item m="1" x="3407"/>
        <item m="1" x="1553"/>
        <item m="1" x="3755"/>
        <item m="1" x="462"/>
        <item m="1" x="5706"/>
        <item m="1" x="491"/>
        <item m="1" x="1920"/>
        <item m="1" x="841"/>
        <item m="1" x="4427"/>
        <item m="1" x="5631"/>
        <item m="1" x="3255"/>
        <item m="1" x="1662"/>
        <item m="1" x="5403"/>
        <item m="1" x="4012"/>
        <item m="1" x="5180"/>
        <item m="1" x="2846"/>
        <item m="1" x="4023"/>
        <item m="1" x="5864"/>
        <item m="1" x="5535"/>
        <item m="1" x="1108"/>
        <item m="1" x="1121"/>
        <item m="1" x="628"/>
        <item m="1" x="4457"/>
        <item m="1" x="539"/>
        <item m="1" x="5172"/>
        <item m="1" x="4038"/>
        <item m="1" x="2980"/>
        <item m="1" x="4864"/>
        <item m="1" x="1004"/>
        <item m="1" x="5553"/>
        <item m="1" x="113"/>
        <item m="1" x="2141"/>
        <item m="1" x="5029"/>
        <item m="1" x="290"/>
        <item m="1" x="3477"/>
        <item m="1" x="2445"/>
        <item m="1" x="3582"/>
        <item m="1" x="2895"/>
        <item m="1" x="837"/>
        <item m="1" x="831"/>
        <item x="76"/>
        <item m="1" x="1340"/>
        <item m="1" x="4594"/>
        <item m="1" x="6076"/>
        <item m="1" x="2541"/>
        <item m="1" x="2910"/>
        <item m="1" x="5283"/>
        <item m="1" x="2553"/>
        <item m="1" x="4978"/>
        <item m="1" x="3131"/>
        <item m="1" x="2841"/>
        <item m="1" x="642"/>
        <item m="1" x="5916"/>
        <item m="1" x="4343"/>
        <item m="1" x="633"/>
        <item m="1" x="3544"/>
        <item m="1" x="792"/>
        <item m="1" x="4933"/>
        <item m="1" x="1537"/>
        <item m="1" x="811"/>
        <item m="1" x="3455"/>
        <item m="1" x="4853"/>
        <item m="1" x="575"/>
        <item m="1" x="5370"/>
        <item m="1" x="1162"/>
        <item m="1" x="973"/>
        <item m="1" x="288"/>
        <item m="1" x="5024"/>
        <item m="1" x="1448"/>
        <item m="1" x="3720"/>
        <item m="1" x="2925"/>
        <item m="1" x="2303"/>
        <item m="1" x="389"/>
        <item m="1" x="1906"/>
        <item m="1" x="902"/>
        <item m="1" x="900"/>
        <item m="1" x="623"/>
        <item m="1" x="2907"/>
        <item m="1" x="1112"/>
        <item m="1" x="2771"/>
        <item m="1" x="2433"/>
        <item m="1" x="4341"/>
        <item m="1" x="899"/>
        <item m="1" x="2120"/>
        <item m="1" x="1590"/>
        <item x="86"/>
        <item m="1" x="2784"/>
        <item m="1" x="3857"/>
        <item m="1" x="5986"/>
        <item m="1" x="1477"/>
        <item m="1" x="1190"/>
        <item m="1" x="790"/>
        <item m="1" x="6133"/>
        <item m="1" x="3485"/>
        <item x="11"/>
        <item x="30"/>
        <item m="1" x="306"/>
        <item x="56"/>
        <item m="1" x="717"/>
        <item x="74"/>
        <item m="1" x="5798"/>
        <item m="1" x="4999"/>
        <item m="1" x="1401"/>
        <item m="1" x="2614"/>
        <item m="1" x="4682"/>
        <item m="1" x="5793"/>
        <item m="1" x="2559"/>
        <item m="1" x="488"/>
        <item m="1" x="2316"/>
        <item m="1" x="499"/>
        <item m="1" x="2352"/>
        <item m="1" x="4736"/>
        <item m="1" x="2007"/>
        <item m="1" x="3964"/>
        <item m="1" x="2602"/>
        <item m="1" x="4731"/>
        <item m="1" x="1546"/>
        <item m="1" x="684"/>
        <item m="1" x="4698"/>
        <item m="1" x="316"/>
        <item m="1" x="835"/>
        <item m="1" x="845"/>
        <item m="1" x="3512"/>
        <item m="1" x="1805"/>
        <item m="1" x="711"/>
        <item m="1" x="4367"/>
        <item m="1" x="3352"/>
        <item m="1" x="5660"/>
        <item x="1"/>
        <item m="1" x="1633"/>
        <item m="1" x="646"/>
        <item m="1" x="2764"/>
        <item m="1" x="2584"/>
        <item m="1" x="2473"/>
        <item m="1" x="2080"/>
        <item m="1" x="2211"/>
        <item m="1" x="2994"/>
        <item m="1" x="4696"/>
        <item m="1" x="3975"/>
        <item m="1" x="5148"/>
        <item m="1" x="5240"/>
        <item x="106"/>
        <item m="1" x="3633"/>
        <item m="1" x="444"/>
        <item m="1" x="5374"/>
        <item m="1" x="1580"/>
        <item m="1" x="2386"/>
        <item m="1" x="3475"/>
        <item m="1" x="788"/>
        <item m="1" x="1942"/>
        <item m="1" x="3730"/>
        <item m="1" x="5324"/>
        <item m="1" x="5663"/>
        <item m="1" x="283"/>
        <item m="1" x="1243"/>
        <item m="1" x="1306"/>
        <item m="1" x="2278"/>
        <item m="1" x="4863"/>
        <item m="1" x="4676"/>
        <item m="1" x="1611"/>
        <item m="1" x="3470"/>
        <item m="1" x="4818"/>
        <item m="1" x="1647"/>
        <item m="1" x="778"/>
        <item m="1" x="3864"/>
        <item m="1" x="357"/>
        <item m="1" x="2879"/>
        <item m="1" x="226"/>
        <item m="1" x="2601"/>
        <item m="1" x="574"/>
        <item m="1" x="3829"/>
        <item m="1" x="2543"/>
        <item m="1" x="4302"/>
        <item m="1" x="1655"/>
        <item m="1" x="223"/>
        <item m="1" x="4284"/>
        <item m="1" x="4193"/>
        <item m="1" x="3318"/>
        <item m="1" x="5044"/>
        <item m="1" x="5329"/>
        <item m="1" x="4887"/>
        <item m="1" x="4282"/>
        <item m="1" x="5646"/>
        <item m="1" x="3654"/>
        <item x="58"/>
        <item m="1" x="721"/>
        <item m="1" x="2947"/>
        <item m="1" x="852"/>
        <item m="1" x="3919"/>
        <item m="1" x="3229"/>
        <item m="1" x="404"/>
        <item m="1" x="4605"/>
        <item m="1" x="3842"/>
        <item m="1" x="4176"/>
        <item m="1" x="4678"/>
        <item m="1" x="3763"/>
        <item m="1" x="6026"/>
        <item m="1" x="5694"/>
        <item m="1" x="502"/>
        <item m="1" x="2773"/>
        <item m="1" x="2957"/>
        <item m="1" x="1758"/>
        <item m="1" x="3198"/>
        <item m="1" x="3014"/>
        <item m="1" x="4791"/>
        <item m="1" x="3713"/>
        <item m="1" x="2409"/>
        <item m="1" x="3940"/>
        <item m="1" x="586"/>
        <item m="1" x="672"/>
        <item m="1" x="1671"/>
        <item m="1" x="338"/>
        <item m="1" x="4674"/>
        <item m="1" x="2699"/>
        <item m="1" x="3741"/>
        <item m="1" x="4556"/>
        <item m="1" x="2523"/>
        <item m="1" x="1629"/>
        <item m="1" x="4697"/>
        <item m="1" x="2766"/>
        <item m="1" x="3670"/>
        <item m="1" x="156"/>
        <item m="1" x="1250"/>
        <item m="1" x="1719"/>
        <item m="1" x="3647"/>
        <item m="1" x="5597"/>
        <item m="1" x="1070"/>
        <item m="1" x="259"/>
        <item m="1" x="4606"/>
        <item m="1" x="1763"/>
        <item m="1" x="2034"/>
        <item m="1" x="5012"/>
        <item m="1" x="6136"/>
        <item m="1" x="4294"/>
        <item m="1" x="5299"/>
        <item m="1" x="2334"/>
        <item m="1" x="3553"/>
        <item m="1" x="751"/>
        <item m="1" x="5651"/>
        <item m="1" x="4659"/>
        <item m="1" x="1495"/>
        <item m="1" x="1433"/>
        <item m="1" x="988"/>
        <item m="1" x="584"/>
        <item m="1" x="180"/>
        <item m="1" x="4360"/>
        <item m="1" x="3377"/>
        <item m="1" x="2132"/>
        <item m="1" x="5563"/>
        <item m="1" x="3692"/>
        <item m="1" x="1361"/>
        <item m="1" x="3008"/>
        <item m="1" x="401"/>
        <item m="1" x="2778"/>
        <item m="1" x="5946"/>
        <item m="1" x="5217"/>
        <item m="1" x="3708"/>
        <item m="1" x="1414"/>
        <item m="1" x="147"/>
        <item x="98"/>
        <item m="1" x="1578"/>
        <item m="1" x="2351"/>
        <item m="1" x="2421"/>
        <item m="1" x="2094"/>
        <item m="1" x="6104"/>
        <item m="1" x="1796"/>
        <item m="1" x="1067"/>
        <item m="1" x="992"/>
        <item m="1" x="2810"/>
        <item x="101"/>
        <item m="1" x="2839"/>
        <item m="1" x="4389"/>
        <item m="1" x="5668"/>
        <item m="1" x="3746"/>
        <item m="1" x="6010"/>
        <item m="1" x="2876"/>
        <item m="1" x="363"/>
        <item m="1" x="5708"/>
        <item m="1" x="916"/>
        <item m="1" x="3454"/>
        <item m="1" x="347"/>
        <item m="1" x="2900"/>
        <item m="1" x="4709"/>
        <item m="1" x="563"/>
        <item m="1" x="3222"/>
        <item m="1" x="4984"/>
        <item m="1" x="1504"/>
        <item m="1" x="677"/>
        <item m="1" x="1768"/>
        <item m="1" x="359"/>
        <item m="1" x="5292"/>
        <item m="1" x="1547"/>
        <item m="1" x="5643"/>
        <item m="1" x="2130"/>
        <item m="1" x="1929"/>
        <item m="1" x="5415"/>
        <item m="1" x="4408"/>
        <item m="1" x="5821"/>
        <item m="1" x="4152"/>
        <item m="1" x="982"/>
        <item m="1" x="6054"/>
        <item m="1" x="3434"/>
        <item m="1" x="2510"/>
        <item m="1" x="4327"/>
        <item m="1" x="4028"/>
        <item m="1" x="3640"/>
        <item m="1" x="5098"/>
        <item m="1" x="369"/>
        <item m="1" x="2338"/>
        <item m="1" x="5118"/>
        <item m="1" x="1215"/>
        <item m="1" x="1420"/>
        <item m="1" x="1334"/>
        <item m="1" x="5327"/>
        <item m="1" x="2035"/>
        <item m="1" x="2410"/>
        <item m="1" x="4315"/>
        <item m="1" x="2593"/>
        <item m="1" x="3665"/>
        <item m="1" x="2406"/>
        <item m="1" x="5608"/>
        <item m="1" x="6100"/>
        <item m="1" x="4024"/>
        <item m="1" x="1345"/>
        <item m="1" x="2405"/>
        <item m="1" x="3916"/>
        <item m="1" x="5902"/>
        <item m="1" x="2298"/>
        <item m="1" x="4194"/>
        <item m="1" x="2664"/>
        <item m="1" x="3704"/>
        <item m="1" x="5232"/>
        <item m="1" x="4569"/>
        <item m="1" x="1080"/>
        <item m="1" x="3795"/>
        <item m="1" x="1464"/>
        <item m="1" x="5710"/>
        <item m="1" x="824"/>
        <item m="1" x="3345"/>
        <item m="1" x="2402"/>
        <item m="1" x="3686"/>
        <item m="1" x="5171"/>
        <item m="1" x="2539"/>
        <item m="1" x="1709"/>
        <item m="1" x="5750"/>
        <item m="1" x="1145"/>
        <item m="1" x="3894"/>
        <item m="1" x="3611"/>
        <item m="1" x="5099"/>
        <item m="1" x="4279"/>
        <item m="1" x="2148"/>
        <item m="1" x="4828"/>
        <item m="1" x="5705"/>
        <item m="1" x="5791"/>
        <item m="1" x="3733"/>
        <item m="1" x="5364"/>
        <item m="1" x="5682"/>
        <item m="1" x="4646"/>
        <item m="1" x="6049"/>
        <item m="1" x="350"/>
        <item m="1" x="5268"/>
        <item m="1" x="3046"/>
        <item m="1" x="232"/>
        <item m="1" x="3947"/>
        <item m="1" x="3303"/>
        <item m="1" x="5378"/>
        <item m="1" x="5771"/>
        <item m="1" x="2620"/>
        <item x="89"/>
        <item m="1" x="603"/>
        <item m="1" x="4566"/>
        <item m="1" x="4624"/>
        <item m="1" x="4056"/>
        <item m="1" x="4102"/>
        <item m="1" x="5269"/>
        <item m="1" x="1996"/>
        <item m="1" x="609"/>
        <item m="1" x="4882"/>
        <item m="1" x="1723"/>
        <item m="1" x="5166"/>
        <item m="1" x="1556"/>
        <item m="1" x="5178"/>
        <item m="1" x="909"/>
        <item m="1" x="4477"/>
        <item m="1" x="5076"/>
        <item m="1" x="508"/>
        <item m="1" x="3499"/>
        <item m="1" x="3054"/>
        <item m="1" x="2428"/>
        <item m="1" x="2562"/>
        <item m="1" x="5082"/>
        <item m="1" x="4376"/>
        <item m="1" x="5664"/>
        <item m="1" x="2100"/>
        <item m="1" x="5065"/>
        <item m="1" x="5674"/>
        <item m="1" x="4161"/>
        <item m="1" x="4996"/>
        <item m="1" x="5246"/>
        <item m="1" x="4268"/>
        <item m="1" x="3891"/>
        <item m="1" x="732"/>
        <item m="1" x="5075"/>
        <item m="1" x="2723"/>
        <item m="1" x="1002"/>
        <item m="1" x="5442"/>
        <item m="1" x="5678"/>
        <item m="1" x="2577"/>
        <item m="1" x="2633"/>
        <item m="1" x="1054"/>
        <item m="1" x="5295"/>
        <item m="1" x="2684"/>
        <item m="1" x="6051"/>
        <item m="1" x="5584"/>
        <item m="1" x="2460"/>
        <item m="1" x="3548"/>
        <item m="1" x="1377"/>
        <item m="1" x="1212"/>
        <item m="1" x="3075"/>
        <item m="1" x="2569"/>
        <item m="1" x="3617"/>
        <item m="1" x="5977"/>
        <item m="1" x="4033"/>
        <item m="1" x="2323"/>
        <item m="1" x="2546"/>
        <item m="1" x="1979"/>
        <item m="1" x="5914"/>
        <item m="1" x="5086"/>
        <item m="1" x="5103"/>
        <item m="1" x="4582"/>
        <item m="1" x="513"/>
        <item m="1" x="1503"/>
        <item m="1" x="4490"/>
        <item m="1" x="1068"/>
        <item m="1" x="2345"/>
        <item m="1" x="5534"/>
        <item m="1" x="435"/>
        <item m="1" x="1404"/>
        <item m="1" x="3096"/>
        <item m="1" x="2438"/>
        <item m="1" x="2681"/>
        <item m="1" x="4041"/>
        <item m="1" x="796"/>
        <item m="1" x="5635"/>
        <item m="1" x="4412"/>
        <item m="1" x="2859"/>
        <item m="1" x="2902"/>
        <item m="1" x="5778"/>
        <item x="96"/>
        <item m="1" x="6145"/>
        <item m="1" x="3764"/>
        <item m="1" x="5241"/>
        <item m="1" x="4990"/>
        <item m="1" x="1382"/>
        <item m="1" x="5522"/>
        <item m="1" x="2780"/>
        <item m="1" x="1499"/>
        <item m="1" x="1738"/>
        <item m="1" x="2507"/>
        <item m="1" x="610"/>
        <item x="93"/>
        <item m="1" x="5420"/>
        <item m="1" x="4835"/>
        <item m="1" x="5097"/>
        <item m="1" x="5042"/>
        <item m="1" x="1562"/>
        <item m="1" x="4771"/>
        <item m="1" x="4610"/>
        <item m="1" x="239"/>
        <item m="1" x="2062"/>
        <item m="1" x="5114"/>
        <item m="1" x="2089"/>
        <item m="1" x="4374"/>
        <item m="1" x="3596"/>
        <item m="1" x="3716"/>
        <item m="1" x="5854"/>
        <item m="1" x="1751"/>
        <item m="1" x="5496"/>
        <item m="1" x="3815"/>
        <item m="1" x="2516"/>
        <item m="1" x="4905"/>
        <item m="1" x="1974"/>
        <item m="1" x="5847"/>
        <item m="1" x="2032"/>
        <item x="88"/>
        <item m="1" x="4121"/>
        <item m="1" x="3523"/>
        <item m="1" x="5106"/>
        <item m="1" x="2528"/>
        <item m="1" x="5164"/>
        <item m="1" x="2147"/>
        <item m="1" x="3297"/>
        <item m="1" x="3116"/>
        <item m="1" x="1234"/>
        <item m="1" x="298"/>
        <item m="1" x="3155"/>
        <item m="1" x="5434"/>
        <item m="1" x="3605"/>
        <item m="1" x="541"/>
        <item m="1" x="1274"/>
        <item m="1" x="1148"/>
        <item m="1" x="1957"/>
        <item m="1" x="4686"/>
        <item m="1" x="3235"/>
        <item m="1" x="5729"/>
        <item m="1" x="446"/>
        <item m="1" x="1076"/>
        <item m="1" x="5192"/>
        <item m="1" x="5244"/>
        <item m="1" x="1258"/>
        <item m="1" x="3566"/>
        <item m="1" x="5227"/>
        <item m="1" x="1059"/>
        <item m="1" x="4484"/>
        <item m="1" x="2531"/>
        <item m="1" x="2513"/>
        <item m="1" x="3178"/>
        <item m="1" x="3179"/>
        <item m="1" x="2929"/>
        <item m="1" x="2299"/>
        <item m="1" x="493"/>
        <item m="1" x="1700"/>
        <item m="1" x="6127"/>
        <item m="1" x="1533"/>
        <item m="1" x="3834"/>
        <item m="1" x="1803"/>
        <item m="1" x="4291"/>
        <item x="77"/>
        <item m="1" x="1327"/>
        <item m="1" x="5675"/>
        <item m="1" x="2124"/>
        <item m="1" x="2943"/>
        <item m="1" x="4820"/>
        <item m="1" x="4550"/>
        <item m="1" x="5919"/>
        <item m="1" x="5949"/>
        <item m="1" x="595"/>
        <item m="1" x="2475"/>
        <item m="1" x="2122"/>
        <item m="1" x="3092"/>
        <item m="1" x="4057"/>
        <item m="1" x="5937"/>
        <item m="1" x="4784"/>
        <item m="1" x="2019"/>
        <item m="1" x="3278"/>
        <item m="1" x="3199"/>
        <item m="1" x="5736"/>
        <item m="1" x="1653"/>
        <item m="1" x="2654"/>
        <item m="1" x="4073"/>
        <item m="1" x="2807"/>
        <item m="1" x="2782"/>
        <item m="1" x="1194"/>
        <item m="1" x="1319"/>
        <item m="1" x="1964"/>
        <item m="1" x="1902"/>
        <item m="1" x="3417"/>
        <item m="1" x="6028"/>
        <item m="1" x="5231"/>
        <item m="1" x="2955"/>
        <item m="1" x="1697"/>
        <item m="1" x="1600"/>
        <item m="1" x="2756"/>
        <item m="1" x="3224"/>
        <item m="1" x="4590"/>
        <item m="1" x="2675"/>
        <item m="1" x="1891"/>
        <item m="1" x="1110"/>
        <item m="1" x="5519"/>
        <item m="1" x="2599"/>
        <item x="54"/>
        <item m="1" x="2776"/>
        <item m="1" x="212"/>
        <item m="1" x="1478"/>
        <item m="1" x="1731"/>
        <item m="1" x="547"/>
        <item m="1" x="4428"/>
        <item m="1" x="4525"/>
        <item m="1" x="4579"/>
        <item m="1" x="6046"/>
        <item m="1" x="2106"/>
        <item m="1" x="1251"/>
        <item m="1" x="571"/>
        <item m="1" x="2612"/>
        <item m="1" x="4029"/>
        <item m="1" x="5361"/>
        <item m="1" x="781"/>
        <item m="1" x="5964"/>
        <item m="1" x="1431"/>
        <item m="1" x="5128"/>
        <item m="1" x="1259"/>
        <item m="1" x="3938"/>
        <item m="1" x="3084"/>
        <item m="1" x="5757"/>
        <item m="1" x="2669"/>
        <item m="1" x="5982"/>
        <item m="1" x="5658"/>
        <item m="1" x="5125"/>
        <item m="1" x="5426"/>
        <item m="1" x="3295"/>
        <item m="1" x="136"/>
        <item x="75"/>
        <item x="95"/>
        <item m="1" x="4938"/>
        <item m="1" x="1281"/>
        <item m="1" x="1066"/>
        <item m="1" x="471"/>
        <item m="1" x="291"/>
        <item m="1" x="4614"/>
        <item m="1" x="2711"/>
        <item m="1" x="1083"/>
        <item m="1" x="1664"/>
        <item m="1" x="1945"/>
        <item m="1" x="4369"/>
        <item m="1" x="453"/>
        <item m="1" x="3048"/>
        <item m="1" x="3306"/>
        <item m="1" x="5992"/>
        <item m="1" x="2109"/>
        <item m="1" x="4455"/>
        <item m="1" x="2668"/>
        <item m="1" x="2561"/>
        <item m="1" x="2592"/>
        <item m="1" x="4663"/>
        <item m="1" x="3931"/>
        <item m="1" x="6022"/>
        <item m="1" x="1839"/>
        <item m="1" x="5323"/>
        <item m="1" x="1990"/>
        <item m="1" x="2570"/>
        <item m="1" x="680"/>
        <item m="1" x="4035"/>
        <item m="1" x="3496"/>
        <item m="1" x="2055"/>
        <item m="1" x="3396"/>
        <item m="1" x="1017"/>
        <item m="1" x="198"/>
        <item m="1" x="722"/>
        <item m="1" x="2940"/>
        <item m="1" x="5135"/>
        <item m="1" x="2744"/>
        <item m="1" x="4589"/>
        <item m="1" x="3252"/>
        <item m="1" x="5488"/>
        <item m="1" x="4063"/>
        <item m="1" x="5542"/>
        <item m="1" x="476"/>
        <item m="1" x="3441"/>
        <item m="1" x="3082"/>
        <item m="1" x="2219"/>
        <item m="1" x="5455"/>
        <item m="1" x="619"/>
        <item x="78"/>
        <item m="1" x="4045"/>
        <item m="1" x="2742"/>
        <item m="1" x="3261"/>
        <item m="1" x="758"/>
        <item m="1" x="6011"/>
        <item m="1" x="4993"/>
        <item m="1" x="5003"/>
        <item x="104"/>
        <item m="1" x="3600"/>
        <item m="1" x="2786"/>
        <item m="1" x="4645"/>
        <item m="1" x="5980"/>
        <item m="1" x="4630"/>
        <item m="1" x="5495"/>
        <item m="1" x="6053"/>
        <item m="1" x="5417"/>
        <item m="1" x="1718"/>
        <item m="1" x="1460"/>
        <item m="1" x="5396"/>
        <item m="1" x="1022"/>
        <item m="1" x="2770"/>
        <item m="1" x="2830"/>
        <item m="1" x="4051"/>
        <item m="1" x="1973"/>
        <item m="1" x="3103"/>
        <item m="1" x="1468"/>
        <item m="1" x="3409"/>
        <item m="1" x="2950"/>
        <item m="1" x="4132"/>
        <item m="1" x="214"/>
        <item m="1" x="761"/>
        <item m="1" x="1429"/>
        <item m="1" x="5064"/>
        <item m="1" x="4502"/>
        <item m="1" x="3564"/>
        <item m="1" x="5440"/>
        <item m="1" x="1896"/>
        <item m="1" x="1285"/>
        <item m="1" x="3389"/>
        <item m="1" x="1577"/>
        <item m="1" x="4788"/>
        <item m="1" x="2436"/>
        <item m="1" x="4950"/>
        <item m="1" x="3452"/>
        <item m="1" x="2882"/>
        <item m="1" x="2258"/>
        <item m="1" x="2798"/>
        <item m="1" x="3369"/>
        <item m="1" x="968"/>
        <item m="1" x="159"/>
        <item m="1" x="5503"/>
        <item m="1" x="4354"/>
        <item m="1" x="3967"/>
        <item m="1" x="5990"/>
        <item m="1" x="2368"/>
        <item m="1" x="1960"/>
        <item m="1" x="422"/>
        <item m="1" x="5721"/>
        <item m="1" x="6005"/>
        <item m="1" x="905"/>
        <item m="1" x="5732"/>
        <item m="1" x="3998"/>
        <item m="1" x="1371"/>
        <item m="1" x="3817"/>
        <item m="1" x="2755"/>
        <item m="1" x="3984"/>
        <item m="1" x="5209"/>
        <item m="1" x="768"/>
        <item m="1" x="4483"/>
        <item m="1" x="532"/>
        <item m="1" x="4807"/>
        <item m="1" x="4768"/>
        <item m="1" x="3538"/>
        <item m="1" x="4188"/>
        <item m="1" x="1520"/>
        <item m="1" x="2997"/>
        <item m="1" x="5572"/>
        <item m="1" x="1119"/>
        <item m="1" x="3580"/>
        <item m="1" x="1587"/>
        <item m="1" x="2075"/>
        <item m="1" x="4110"/>
        <item m="1" x="150"/>
        <item m="1" x="2875"/>
        <item m="1" x="3653"/>
        <item m="1" x="5689"/>
        <item m="1" x="1693"/>
        <item m="1" x="5853"/>
        <item m="1" x="5389"/>
        <item m="1" x="4449"/>
        <item m="1" x="4118"/>
        <item m="1" x="3027"/>
        <item m="1" x="5742"/>
        <item m="1" x="4900"/>
        <item m="1" x="1237"/>
        <item m="1" x="3504"/>
        <item m="1" x="4782"/>
        <item m="1" x="3701"/>
        <item m="1" x="724"/>
        <item m="1" x="3365"/>
        <item m="1" x="5359"/>
        <item m="1" x="2178"/>
        <item x="103"/>
        <item m="1" x="1862"/>
        <item m="1" x="5603"/>
        <item m="1" x="2388"/>
        <item m="1" x="2383"/>
        <item x="26"/>
        <item m="1" x="5557"/>
        <item m="1" x="5613"/>
        <item m="1" x="5898"/>
        <item m="1" x="3532"/>
        <item m="1" x="4364"/>
        <item m="1" x="1195"/>
        <item m="1" x="257"/>
        <item m="1" x="4468"/>
        <item m="1" x="3481"/>
        <item m="1" x="1668"/>
        <item m="1" x="5421"/>
        <item m="1" x="2831"/>
        <item m="1" x="4647"/>
        <item m="1" x="489"/>
        <item m="1" x="1887"/>
        <item m="1" x="3743"/>
        <item m="1" x="5945"/>
        <item m="1" x="1659"/>
        <item m="1" x="3114"/>
        <item m="1" x="3052"/>
        <item m="1" x="4361"/>
        <item m="1" x="3047"/>
        <item m="1" x="4200"/>
        <item x="99"/>
        <item m="1" x="3520"/>
        <item m="1" x="2181"/>
        <item m="1" x="4458"/>
        <item m="1" x="4169"/>
        <item m="1" x="4906"/>
        <item m="1" x="5485"/>
        <item m="1" x="5372"/>
        <item m="1" x="2792"/>
        <item m="1" x="3731"/>
        <item m="1" x="3457"/>
        <item m="1" x="952"/>
        <item m="1" x="4048"/>
        <item m="1" x="265"/>
        <item m="1" x="6062"/>
        <item m="1" x="1098"/>
        <item m="1" x="729"/>
        <item m="1" x="2676"/>
        <item m="1" x="5119"/>
        <item m="1" x="3995"/>
        <item m="1" x="2343"/>
        <item m="1" x="615"/>
        <item m="1" x="726"/>
        <item m="1" x="4603"/>
        <item m="1" x="1641"/>
        <item m="1" x="320"/>
        <item m="1" x="5352"/>
        <item m="1" x="4329"/>
        <item m="1" x="6072"/>
        <item m="1" x="286"/>
        <item m="1" x="478"/>
        <item m="1" x="2922"/>
        <item m="1" x="4904"/>
        <item m="1" x="3571"/>
        <item m="1" x="2107"/>
        <item m="1" x="3533"/>
        <item m="1" x="4206"/>
        <item m="1" x="3853"/>
        <item m="1" x="2816"/>
        <item m="1" x="449"/>
        <item m="1" x="1170"/>
        <item m="1" x="797"/>
        <item m="1" x="5858"/>
        <item m="1" x="2129"/>
        <item m="1" x="3030"/>
        <item m="1" x="4112"/>
        <item m="1" x="3506"/>
        <item m="1" x="6143"/>
        <item m="1" x="4643"/>
        <item m="1" x="1386"/>
        <item m="1" x="1840"/>
        <item m="1" x="2446"/>
        <item m="1" x="1677"/>
        <item m="1" x="1991"/>
        <item m="1" x="3016"/>
        <item m="1" x="3355"/>
        <item m="1" x="3657"/>
        <item m="1" x="3993"/>
        <item m="1" x="3491"/>
        <item m="1" x="3629"/>
        <item m="1" x="3810"/>
        <item m="1" x="3971"/>
        <item m="1" x="4616"/>
        <item m="1" x="779"/>
        <item m="1" x="4662"/>
        <item m="1" x="1795"/>
        <item m="1" x="5355"/>
        <item m="1" x="4266"/>
        <item m="1" x="3213"/>
        <item m="1" x="1093"/>
        <item m="1" x="2850"/>
        <item m="1" x="2485"/>
        <item m="1" x="990"/>
        <item m="1" x="1312"/>
        <item m="1" x="3066"/>
        <item m="1" x="4109"/>
        <item m="1" x="5932"/>
        <item m="1" x="4461"/>
        <item m="1" x="176"/>
        <item m="1" x="1208"/>
        <item m="1" x="2963"/>
        <item m="1" x="4734"/>
        <item m="1" x="3291"/>
        <item m="1" x="4371"/>
        <item x="107"/>
        <item m="1" x="6113"/>
        <item m="1" x="5100"/>
        <item m="1" x="1847"/>
        <item x="100"/>
        <item m="1" x="4995"/>
        <item m="1" x="1752"/>
        <item m="1" x="5321"/>
        <item m="1" x="2088"/>
        <item m="1" x="4912"/>
        <item m="1" x="5507"/>
        <item m="1" x="2312"/>
        <item m="1" x="5117"/>
        <item m="1" x="2420"/>
        <item m="1" x="2642"/>
        <item m="1" x="2266"/>
        <item m="1" x="2836"/>
        <item m="1" x="4680"/>
        <item m="1" x="5111"/>
        <item m="1" x="5463"/>
        <item m="1" x="4503"/>
        <item m="1" x="1890"/>
        <item m="1" x="4716"/>
        <item m="1" x="3067"/>
        <item m="1" x="3197"/>
        <item m="1" x="3192"/>
        <item m="1" x="3138"/>
        <item m="1" x="2930"/>
        <item m="1" x="3343"/>
        <item m="1" x="2984"/>
        <item m="1" x="2715"/>
        <item m="1" x="1262"/>
        <item m="1" x="4175"/>
        <item m="1" x="1328"/>
        <item m="1" x="3869"/>
        <item m="1" x="1047"/>
        <item m="1" x="4293"/>
        <item m="1" x="3634"/>
        <item m="1" x="842"/>
        <item m="1" x="3374"/>
        <item m="1" x="6063"/>
        <item m="1" x="510"/>
        <item m="1" x="5351"/>
        <item m="1" x="4305"/>
        <item m="1" x="2575"/>
        <item m="1" x="777"/>
        <item m="1" x="5762"/>
        <item m="1" x="1154"/>
        <item m="1" x="5452"/>
        <item m="1" x="3681"/>
        <item m="1" x="4838"/>
        <item m="1" x="3774"/>
        <item m="1" x="2014"/>
        <item m="1" x="3482"/>
        <item m="1" x="1707"/>
        <item m="1" x="654"/>
        <item m="1" x="4941"/>
        <item m="1" x="3157"/>
        <item m="1" x="1155"/>
        <item m="1" x="3302"/>
        <item m="1" x="5441"/>
        <item m="1" x="1535"/>
        <item m="1" x="4394"/>
        <item m="1" x="459"/>
        <item m="1" x="4749"/>
        <item m="1" x="863"/>
        <item m="1" x="2995"/>
        <item m="1" x="5860"/>
        <item m="1" x="1897"/>
        <item m="1" x="2311"/>
        <item m="1" x="4470"/>
        <item m="1" x="1233"/>
        <item m="1" x="3397"/>
        <item m="1" x="5524"/>
        <item m="1" x="5943"/>
        <item m="1" x="2710"/>
        <item m="1" x="4844"/>
        <item m="1" x="945"/>
        <item m="1" x="3087"/>
        <item m="1" x="276"/>
        <item m="1" x="2424"/>
        <item m="1" x="4540"/>
        <item m="1" x="643"/>
        <item m="1" x="2789"/>
        <item m="1" x="1712"/>
        <item m="1" x="3856"/>
        <item m="1" x="6007"/>
        <item m="1" x="2097"/>
        <item m="1" x="4261"/>
        <item m="1" x="5309"/>
        <item m="1" x="1410"/>
        <item m="1" x="3565"/>
        <item m="1" x="5700"/>
        <item m="1" x="1766"/>
        <item m="1" x="5002"/>
        <item m="1" x="1103"/>
        <item m="1" x="3249"/>
        <item m="1" x="6103"/>
        <item m="1" x="1026"/>
        <item m="1" x="5110"/>
        <item m="1" x="3166"/>
        <item m="1" x="1217"/>
        <item m="1" x="1405"/>
        <item m="1" x="5506"/>
        <item m="1" x="3560"/>
        <item m="1" x="2296"/>
        <item m="1" x="351"/>
        <item m="1" x="529"/>
        <item m="1" x="2694"/>
        <item m="1" x="737"/>
        <item m="1" x="4826"/>
        <item m="1" x="4998"/>
        <item m="1" x="1774"/>
        <item m="1" x="3942"/>
        <item m="1" x="4116"/>
        <item m="1" x="2183"/>
        <item m="1" x="247"/>
        <item m="1" x="2403"/>
        <item m="1" x="3263"/>
        <item m="1" x="1303"/>
        <item m="1" x="5404"/>
        <item m="1" x="3463"/>
        <item m="1" x="1485"/>
        <item m="1" x="1695"/>
        <item m="1" x="5804"/>
        <item m="1" x="3827"/>
        <item m="1" x="1854"/>
        <item m="1" x="3347"/>
        <item m="1" x="1383"/>
        <item m="1" x="142"/>
        <item m="1" x="4245"/>
        <item m="1" x="4444"/>
        <item m="1" x="2504"/>
        <item m="1" x="500"/>
        <item m="1" x="4599"/>
        <item m="1" x="2677"/>
        <item m="1" x="2847"/>
        <item m="1" x="1589"/>
        <item m="1" x="5679"/>
        <item m="1" x="3726"/>
        <item m="1" x="1748"/>
        <item m="1" x="1963"/>
        <item m="1" x="6071"/>
        <item m="1" x="4098"/>
        <item m="1" x="2150"/>
        <item m="1" x="227"/>
        <item m="1" x="1092"/>
        <item m="1" x="5189"/>
        <item m="1" x="3236"/>
        <item m="1" x="1283"/>
        <item m="1" x="5382"/>
        <item m="1" x="5565"/>
        <item m="1" x="3612"/>
        <item m="1" x="1673"/>
        <item m="1" x="5777"/>
        <item m="1" x="4507"/>
        <item m="1" x="4690"/>
        <item m="1" x="2749"/>
        <item m="1" x="804"/>
        <item m="1" x="4897"/>
        <item m="1" x="3125"/>
        <item m="1" x="1172"/>
        <item m="1" x="1052"/>
        <item m="1" x="2116"/>
        <item m="1" x="3872"/>
        <item m="1" x="5641"/>
        <item m="1" x="4189"/>
        <item m="1" x="5253"/>
        <item m="1" x="960"/>
        <item m="1" x="2719"/>
        <item m="1" x="3796"/>
        <item m="1" x="2342"/>
        <item m="1" x="4076"/>
        <item m="1" x="5874"/>
        <item m="1" x="890"/>
        <item m="1" x="2660"/>
        <item m="1" x="1263"/>
        <item m="1" x="4103"/>
        <item m="1" x="1588"/>
        <item m="1" x="4423"/>
        <item m="1" x="1469"/>
        <item m="1" x="4313"/>
        <item m="1" x="1772"/>
        <item m="1" x="4607"/>
        <item m="1" x="1381"/>
        <item m="1" x="910"/>
        <item m="1" x="559"/>
        <item m="1" x="851"/>
        <item m="1" x="1118"/>
        <item m="1" x="4271"/>
        <item m="1" x="5072"/>
        <item m="1" x="4644"/>
        <item m="1" x="5952"/>
        <item m="1" x="4445"/>
        <item m="1" x="4119"/>
        <item m="1" x="1801"/>
        <item m="1" x="5061"/>
        <item m="1" x="1559"/>
        <item m="1" x="4790"/>
        <item m="1" x="1663"/>
        <item m="1" x="4857"/>
        <item m="1" x="1341"/>
        <item m="1" x="4563"/>
        <item m="1" x="1717"/>
        <item m="1" x="4277"/>
        <item m="1" x="5599"/>
        <item m="1" x="4539"/>
        <item m="1" x="2802"/>
        <item m="1" x="1014"/>
        <item m="1" x="6006"/>
        <item m="1" x="1409"/>
        <item m="1" x="5715"/>
        <item m="1" x="3930"/>
        <item m="1" x="2868"/>
        <item m="1" x="1113"/>
        <item m="1" x="825"/>
        <item m="1" x="5805"/>
        <item m="1" x="4031"/>
        <item m="1" x="2276"/>
        <item m="1" x="3727"/>
        <item m="1" x="2672"/>
        <item m="1" x="908"/>
        <item m="1" x="5190"/>
        <item m="1" x="4093"/>
        <item m="1" x="4310"/>
        <item x="92"/>
        <item m="1" x="410"/>
        <item m="1" x="2587"/>
        <item m="1" x="4681"/>
        <item m="1" x="1456"/>
        <item m="1" x="3994"/>
        <item m="1" x="2932"/>
        <item m="1" x="5066"/>
        <item m="1" x="5885"/>
        <item m="1" x="1921"/>
        <item m="1" x="4077"/>
        <item m="1" x="3418"/>
        <item m="1" x="1648"/>
        <item m="1" x="3785"/>
        <item m="1" x="4862"/>
        <item m="1" x="1845"/>
        <item m="1" x="1041"/>
        <item m="1" x="233"/>
        <item m="1" x="5438"/>
        <item m="1" x="2263"/>
        <item m="1" x="1428"/>
        <item m="1" x="5981"/>
        <item m="1" x="5132"/>
        <item m="1" x="4332"/>
        <item m="1" x="1140"/>
        <item m="1" x="326"/>
        <item m="1" x="5527"/>
        <item m="1" x="4006"/>
        <item m="1" x="3186"/>
        <item m="1" x="5235"/>
        <item m="1" x="4431"/>
        <item m="1" x="3581"/>
        <item m="1" x="2762"/>
        <item m="1" x="5624"/>
        <item m="1" x="4814"/>
        <item m="1" x="3292"/>
        <item m="1" x="2492"/>
        <item m="1" x="1632"/>
        <item m="1" x="3661"/>
        <item m="1" x="2854"/>
        <item m="1" x="1330"/>
        <item m="1" x="3702"/>
        <item m="1" x="542"/>
        <item m="1" x="5776"/>
        <item m="1" x="4265"/>
        <item m="1" x="3428"/>
        <item m="1" x="2618"/>
        <item m="1" x="5466"/>
        <item m="1" x="4626"/>
        <item m="1" x="3809"/>
        <item m="1" x="1449"/>
        <item m="1" x="4363"/>
        <item m="1" x="3519"/>
        <item m="1" x="2698"/>
        <item m="1" x="1825"/>
        <item m="1" x="1029"/>
        <item m="1" x="3909"/>
        <item m="1" x="3077"/>
        <item m="1" x="1557"/>
        <item m="1" x="746"/>
        <item m="1" x="5970"/>
        <item m="1" x="2788"/>
        <item m="1" x="1937"/>
        <item m="1" x="1126"/>
        <item m="1" x="5647"/>
        <item m="1" x="4831"/>
        <item m="1" x="1660"/>
        <item m="1" x="838"/>
        <item m="1" x="6050"/>
        <item m="1" x="5215"/>
        <item m="1" x="3684"/>
        <item m="1" x="1218"/>
        <item m="1" x="406"/>
        <item m="1" x="4927"/>
        <item m="1" x="4083"/>
        <item m="1" x="3275"/>
        <item m="1" x="5314"/>
        <item m="1" x="4496"/>
        <item m="1" x="2969"/>
        <item m="1" x="2139"/>
        <item m="1" x="5006"/>
        <item m="1" x="4192"/>
        <item m="1" x="3370"/>
        <item m="1" x="2582"/>
        <item m="1" x="1019"/>
        <item m="1" x="4581"/>
        <item m="1" x="2239"/>
        <item m="1" x="1412"/>
        <item m="1" x="590"/>
        <item m="1" x="2661"/>
        <item m="1" x="1779"/>
        <item m="1" x="301"/>
        <item m="1" x="5510"/>
        <item m="1" x="1492"/>
        <item m="1" x="699"/>
        <item m="1" x="5936"/>
        <item m="1" x="4407"/>
        <item m="1" x="1870"/>
        <item m="1" x="391"/>
        <item m="1" x="5598"/>
        <item m="1" x="4777"/>
        <item m="1" x="3951"/>
        <item m="1" x="793"/>
        <item m="1" x="6001"/>
        <item m="1" x="5168"/>
        <item m="1" x="3638"/>
        <item m="1" x="4866"/>
        <item m="1" x="923"/>
        <item m="1" x="3009"/>
        <item m="1" x="5105"/>
        <item m="1" x="733"/>
        <item m="1" x="2825"/>
        <item m="1" x="4240"/>
        <item m="1" x="2395"/>
        <item m="1" x="1895"/>
        <item m="1" x="4014"/>
        <item m="1" x="6132"/>
        <item m="1" x="2166"/>
        <item m="1" x="3576"/>
        <item m="1" x="5954"/>
        <item m="1" x="1276"/>
        <item m="1" x="3386"/>
        <item m="1" x="5478"/>
        <item m="1" x="2290"/>
        <item m="1" x="4414"/>
        <item m="1" x="437"/>
        <item m="1" x="2578"/>
        <item m="1" x="4187"/>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435">
      <pivotArea field="0" type="button" dataOnly="0" labelOnly="1" outline="0" axis="axisRow" fieldPosition="0"/>
    </format>
    <format dxfId="434">
      <pivotArea dataOnly="0" labelOnly="1" outline="0" fieldPosition="0">
        <references count="1">
          <reference field="4294967294" count="3">
            <x v="0"/>
            <x v="1"/>
            <x v="2"/>
          </reference>
        </references>
      </pivotArea>
    </format>
    <format dxfId="433">
      <pivotArea field="0" type="button" dataOnly="0" labelOnly="1" outline="0" axis="axisRow" fieldPosition="0"/>
    </format>
    <format dxfId="432">
      <pivotArea dataOnly="0" labelOnly="1" outline="0" fieldPosition="0">
        <references count="1">
          <reference field="4294967294" count="3">
            <x v="0"/>
            <x v="1"/>
            <x v="2"/>
          </reference>
        </references>
      </pivotArea>
    </format>
    <format dxfId="431">
      <pivotArea field="0" type="button" dataOnly="0" labelOnly="1" outline="0" axis="axisRow" fieldPosition="0"/>
    </format>
    <format dxfId="43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6" cacheId="23"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5" cacheId="2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1" cacheId="17"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13" s="1"/>
        <i x="65" s="1"/>
        <i x="239" s="1" nd="1"/>
        <i x="212" s="1" nd="1"/>
        <i x="139" s="1" nd="1"/>
        <i x="204" s="1" nd="1"/>
        <i x="247" s="1" nd="1"/>
        <i x="183" s="1" nd="1"/>
        <i x="185" s="1" nd="1"/>
        <i x="214" s="1" nd="1"/>
        <i x="265" s="1" nd="1"/>
        <i x="232" s="1" nd="1"/>
        <i x="137" s="1" nd="1"/>
        <i x="327" s="1" nd="1"/>
        <i x="225" s="1" nd="1"/>
        <i x="262" s="1" nd="1"/>
        <i x="166" s="1" nd="1"/>
        <i x="235" s="1" nd="1"/>
        <i x="157" s="1" nd="1"/>
        <i x="201" s="1" nd="1"/>
        <i x="233" s="1" nd="1"/>
        <i x="310" s="1" nd="1"/>
        <i x="148" s="1" nd="1"/>
        <i x="130" s="1" nd="1"/>
        <i x="115" s="1" nd="1"/>
        <i x="246" s="1" nd="1"/>
        <i x="282" s="1" nd="1"/>
        <i x="238" s="1" nd="1"/>
        <i x="145" s="1" nd="1"/>
        <i x="179" s="1" nd="1"/>
        <i x="277" s="1" nd="1"/>
        <i x="175" s="1" nd="1"/>
        <i x="187" s="1" nd="1"/>
        <i x="203" s="1" nd="1"/>
        <i x="208" s="1" nd="1"/>
        <i x="283" s="1" nd="1"/>
        <i x="320" s="1" nd="1"/>
        <i x="314" s="1" nd="1"/>
        <i x="317" s="1" nd="1"/>
        <i x="248" s="1" nd="1"/>
        <i x="151" s="1" nd="1"/>
        <i x="299" s="1" nd="1"/>
        <i x="230" s="1" nd="1"/>
        <i x="159" s="1" nd="1"/>
        <i x="330" s="1" nd="1"/>
        <i x="242" s="1" nd="1"/>
        <i x="298" s="1" nd="1"/>
        <i x="133" s="1" nd="1"/>
        <i x="199" s="1" nd="1"/>
        <i x="258" s="1" nd="1"/>
        <i x="114" s="1" nd="1"/>
        <i x="229" s="1" nd="1"/>
        <i x="135" s="1" nd="1"/>
        <i x="161" s="1" nd="1"/>
        <i x="164" s="1" nd="1"/>
        <i x="224" s="1" nd="1"/>
        <i x="193" s="1" nd="1"/>
        <i x="119" s="1" nd="1"/>
        <i x="110" s="1" nd="1"/>
        <i x="162" s="1" nd="1"/>
        <i x="300" s="1" nd="1"/>
        <i x="186" s="1" nd="1"/>
        <i x="109" s="1" nd="1"/>
        <i x="304" s="1" nd="1"/>
        <i x="118" s="1" nd="1"/>
        <i x="288" s="1" nd="1"/>
        <i x="289" s="1" nd="1"/>
        <i x="121" s="1" nd="1"/>
        <i x="303" s="1" nd="1"/>
        <i x="127" s="1" nd="1"/>
        <i x="245" s="1" nd="1"/>
        <i x="266" s="1" nd="1"/>
        <i x="271" s="1" nd="1"/>
        <i x="219" s="1" nd="1"/>
        <i x="160" s="1" nd="1"/>
        <i x="178" s="1" nd="1"/>
        <i x="274" s="1" nd="1"/>
        <i x="318" s="1" nd="1"/>
        <i x="182" s="1" nd="1"/>
        <i x="294" s="1" nd="1"/>
        <i x="136" s="1" nd="1"/>
        <i x="215" s="1" nd="1"/>
        <i x="113" s="1" nd="1"/>
        <i x="276" s="1" nd="1"/>
        <i x="202" s="1" nd="1"/>
        <i x="322" s="1" nd="1"/>
        <i x="174" s="1" nd="1"/>
        <i x="168" s="1" nd="1"/>
        <i x="218" s="1" nd="1"/>
        <i x="209" s="1" nd="1"/>
        <i x="316" s="1" nd="1"/>
        <i x="324" s="1" nd="1"/>
        <i x="301" s="1" nd="1"/>
        <i x="126" s="1" nd="1"/>
        <i x="287" s="1" nd="1"/>
        <i x="285" s="1" nd="1"/>
        <i x="272" s="1" nd="1"/>
        <i x="149" s="1" nd="1"/>
        <i x="244" s="1" nd="1"/>
        <i x="305" s="1" nd="1"/>
        <i x="205" s="1" nd="1"/>
        <i x="197" s="1" nd="1"/>
        <i x="279" s="1" nd="1"/>
        <i x="243" s="1" nd="1"/>
        <i x="325" s="1" nd="1"/>
        <i x="292" s="1" nd="1"/>
        <i x="275" s="1" nd="1"/>
        <i x="213" s="1" nd="1"/>
        <i x="123" s="1" nd="1"/>
        <i x="134" s="1" nd="1"/>
        <i x="315" s="1" nd="1"/>
        <i x="154" s="1" nd="1"/>
        <i x="181" s="1" nd="1"/>
        <i x="328" s="1" nd="1"/>
        <i x="268" s="1" nd="1"/>
        <i x="249" s="1" nd="1"/>
        <i x="250" s="1" nd="1"/>
        <i x="221" s="1" nd="1"/>
        <i x="198" s="1" nd="1"/>
        <i x="132" s="1" nd="1"/>
        <i x="138" s="1" nd="1"/>
        <i x="280" s="1" nd="1"/>
        <i x="269" s="1" nd="1"/>
        <i x="142" s="1" nd="1"/>
        <i x="257" s="1" nd="1"/>
        <i x="177" s="1" nd="1"/>
        <i x="321" s="1" nd="1"/>
        <i x="140" s="1" nd="1"/>
        <i x="184" s="1" nd="1"/>
        <i x="112" s="1" nd="1"/>
        <i x="207" s="1" nd="1"/>
        <i x="146" s="1" nd="1"/>
        <i x="308" s="1" nd="1"/>
        <i x="195" s="1" nd="1"/>
        <i x="309" s="1" nd="1"/>
        <i x="216" s="1" nd="1"/>
        <i x="278" s="1" nd="1"/>
        <i x="286" s="1" nd="1"/>
        <i x="152" s="1" nd="1"/>
        <i x="167" s="1" nd="1"/>
        <i x="319" s="1" nd="1"/>
        <i x="297" s="1" nd="1"/>
        <i x="254" s="1" nd="1"/>
        <i x="120" s="1" nd="1"/>
        <i x="296" s="1" nd="1"/>
        <i x="144" s="1" nd="1"/>
        <i x="252" s="1" nd="1"/>
        <i x="228" s="1" nd="1"/>
        <i x="128" s="1" nd="1"/>
        <i x="211" s="1" nd="1"/>
        <i x="158" s="1" nd="1"/>
        <i x="189" s="1" nd="1"/>
        <i x="270" s="1" nd="1"/>
        <i x="143" s="1" nd="1"/>
        <i x="261" s="1" nd="1"/>
        <i x="180" s="1" nd="1"/>
        <i x="170" s="1" nd="1"/>
        <i x="194" s="1" nd="1"/>
        <i x="312" s="1" nd="1"/>
        <i x="125" s="1" nd="1"/>
        <i x="290" s="1" nd="1"/>
        <i x="116" s="1" nd="1"/>
        <i x="191" s="1" nd="1"/>
        <i x="313" s="1" nd="1"/>
        <i x="226" s="1" nd="1"/>
        <i x="172" s="1" nd="1"/>
        <i x="255" s="1" nd="1"/>
        <i x="108" s="1" nd="1"/>
        <i x="267" s="1" nd="1"/>
        <i x="111" s="1" nd="1"/>
        <i x="156" s="1" nd="1"/>
        <i x="237" s="1" nd="1"/>
        <i x="240" s="1" nd="1"/>
        <i x="253" s="1" nd="1"/>
        <i x="264" s="1" nd="1"/>
        <i x="122" s="1" nd="1"/>
        <i x="234" s="1" nd="1"/>
        <i x="263" s="1" nd="1"/>
        <i x="227" s="1" nd="1"/>
        <i x="236" s="1" nd="1"/>
        <i x="165" s="1" nd="1"/>
        <i x="117" s="1" nd="1"/>
        <i x="291" s="1" nd="1"/>
        <i x="196" s="1" nd="1"/>
        <i x="220" s="1" nd="1"/>
        <i x="124" s="1" nd="1"/>
        <i x="147" s="1" nd="1"/>
        <i x="188" s="1" nd="1"/>
        <i x="163" s="1" nd="1"/>
        <i x="323" s="1" nd="1"/>
        <i x="281" s="1" nd="1"/>
        <i x="131" s="1" nd="1"/>
        <i x="284" s="1" nd="1"/>
        <i x="190" s="1" nd="1"/>
        <i x="155" s="1" nd="1"/>
        <i x="329" s="1" nd="1"/>
        <i x="169" s="1" nd="1"/>
        <i x="192" s="1" nd="1"/>
        <i x="256" s="1" nd="1"/>
        <i x="173" s="1" nd="1"/>
        <i x="222" s="1" nd="1"/>
        <i x="141" s="1" nd="1"/>
        <i x="206" s="1" nd="1"/>
        <i x="200" s="1" nd="1"/>
        <i x="311" s="1" nd="1"/>
        <i x="210" s="1" nd="1"/>
        <i x="129" s="1" nd="1"/>
        <i x="150" s="1" nd="1"/>
        <i x="251" s="1" nd="1"/>
        <i x="302" s="1" nd="1"/>
        <i x="295" s="1" nd="1"/>
        <i x="259" s="1" nd="1"/>
        <i x="326" s="1" nd="1"/>
        <i x="306" s="1" nd="1"/>
        <i x="176" s="1" nd="1"/>
        <i x="153" s="1" nd="1"/>
        <i x="307" s="1" nd="1"/>
        <i x="171" s="1" nd="1"/>
        <i x="293" s="1" nd="1"/>
        <i x="231" s="1" nd="1"/>
        <i x="260" s="1" nd="1"/>
        <i x="223" s="1" nd="1"/>
        <i x="241" s="1" nd="1"/>
        <i x="217" s="1" nd="1"/>
        <i x="27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434">
        <i x="1" s="1"/>
        <i x="0" s="1"/>
        <i x="2" s="1"/>
        <i x="3906" s="1" nd="1"/>
        <i x="813" s="1" nd="1"/>
        <i x="3581" s="1" nd="1"/>
        <i x="829" s="1" nd="1"/>
        <i x="2830" s="1" nd="1"/>
        <i x="455" s="1" nd="1"/>
        <i x="2489" s="1" nd="1"/>
        <i x="87" s="1" nd="1"/>
        <i x="2136" s="1" nd="1"/>
        <i x="4157" s="1" nd="1"/>
        <i x="1794" s="1" nd="1"/>
        <i x="3889" s="1" nd="1"/>
        <i x="1699" s="1" nd="1"/>
        <i x="475" s="1" nd="1"/>
        <i x="1527" s="1" nd="1"/>
        <i x="1758" s="1" nd="1"/>
        <i x="2518" s="1" nd="1"/>
        <i x="3885" s="1" nd="1"/>
        <i x="3528" s="1" nd="1"/>
        <i x="113" s="1" nd="1"/>
        <i x="4143" s="1" nd="1"/>
        <i x="1162" s="1" nd="1"/>
        <i x="2812" s="1" nd="1"/>
        <i x="2161" s="1" nd="1"/>
        <i x="2882" s="1" nd="1"/>
        <i x="788" s="1" nd="1"/>
        <i x="3150" s="1" nd="1"/>
        <i x="4179" s="1" nd="1"/>
        <i x="774" s="1" nd="1"/>
        <i x="1813" s="1" nd="1"/>
        <i x="975" s="1" nd="1"/>
        <i x="1622" s="1" nd="1"/>
        <i x="2787" s="1" nd="1"/>
        <i x="3809" s="1" nd="1"/>
        <i x="386" s="1" nd="1"/>
        <i x="1432" s="1" nd="1"/>
        <i x="2439" s="1" nd="1"/>
        <i x="3454" s="1" nd="1"/>
        <i x="1717" s="1" nd="1"/>
        <i x="37" s="1" nd="1"/>
        <i x="1216" s="1" nd="1"/>
        <i x="1090" s="1" nd="1"/>
        <i x="2087" s="1" nd="1"/>
        <i x="3073" s="1" nd="1"/>
        <i x="2224" s="1" nd="1"/>
        <i x="4110" s="1" nd="1"/>
        <i x="291" s="1" nd="1"/>
        <i x="795" s="1" nd="1"/>
        <i x="4137" s="1" nd="1"/>
        <i x="1073" s="1" nd="1"/>
        <i x="1742" s="1" nd="1"/>
        <i x="874" s="1" nd="1"/>
        <i x="2963" s="1" nd="1"/>
        <i x="1830" s="1" nd="1"/>
        <i x="2320" s="1" nd="1"/>
        <i x="2071" s="1" nd="1"/>
        <i x="462" s="1" nd="1"/>
        <i x="2805" s="1" nd="1"/>
        <i x="677" s="1" nd="1"/>
        <i x="4013" s="1" nd="1"/>
        <i x="1905" s="1" nd="1"/>
        <i x="3061" s="1" nd="1"/>
        <i x="3044" s="1" nd="1"/>
        <i x="3830" s="1" nd="1"/>
        <i x="4095" s="1" nd="1"/>
        <i x="3882" s="1" nd="1"/>
        <i x="415" s="1" nd="1"/>
        <i x="680" s="1" nd="1"/>
        <i x="139" s="1" nd="1"/>
        <i x="3122" s="1" nd="1"/>
        <i x="1728" s="1" nd="1"/>
        <i x="246" s="1" nd="1"/>
        <i x="3244" s="1" nd="1"/>
        <i x="1456" s="1" nd="1"/>
        <i x="368" s="1" nd="1"/>
        <i x="3373" s="1" nd="1"/>
        <i x="1955" s="1" nd="1"/>
        <i x="512" s="1" nd="1"/>
        <i x="1720" s="1" nd="1"/>
        <i x="2987" s="1" nd="1"/>
        <i x="2089" s="1" nd="1"/>
        <i x="2210" s="1" nd="1"/>
        <i x="2462" s="1" nd="1"/>
        <i x="766" s="1" nd="1"/>
        <i x="3743" s="1" nd="1"/>
        <i x="137" s="1" nd="1"/>
        <i x="2330" s="1" nd="1"/>
        <i x="883" s="1" nd="1"/>
        <i x="2692" s="1" nd="1"/>
        <i x="1028" s="1" nd="1"/>
        <i x="3986" s="1" nd="1"/>
        <i x="3790" s="1" nd="1"/>
        <i x="2558" s="1" nd="1"/>
        <i x="2969" s="1" nd="1"/>
        <i x="1160" s="1" nd="1"/>
        <i x="3474" s="1" nd="1"/>
        <i x="4127" s="1" nd="1"/>
        <i x="3219" s="1" nd="1"/>
        <i x="2794" s="1" nd="1"/>
        <i x="4230" s="1" nd="1"/>
        <i x="1388" s="1" nd="1"/>
        <i x="4351" s="1" nd="1"/>
        <i x="2900" s="1" nd="1"/>
        <i x="1415" s="1" nd="1"/>
        <i x="61" s="1" nd="1"/>
        <i x="4081" s="1" nd="1"/>
        <i x="3043" s="1" nd="1"/>
        <i x="1652" s="1" nd="1"/>
        <i x="2283" s="1" nd="1"/>
        <i x="1420" s="1" nd="1"/>
        <i x="3815" s="1" nd="1"/>
        <i x="827" s="1" nd="1"/>
        <i x="3981" s="1" nd="1"/>
        <i x="944" s="1" nd="1"/>
        <i x="3934" s="1" nd="1"/>
        <i x="1110" s="1" nd="1"/>
        <i x="1100" s="1" nd="1"/>
        <i x="431" s="1" nd="1"/>
        <i x="2984" s="1" nd="1"/>
        <i x="1225" s="1" nd="1"/>
        <i x="1858" s="1" nd="1"/>
        <i x="4180" s="1" nd="1"/>
        <i x="3661" s="1" nd="1"/>
        <i x="2726" s="1" nd="1"/>
        <i x="2179" s="1" nd="1"/>
        <i x="1334" s="1" nd="1"/>
        <i x="4288" s="1" nd="1"/>
        <i x="2105" s="1" nd="1"/>
        <i x="4419" s="1" nd="1"/>
        <i x="688" s="1" nd="1"/>
        <i x="2962" s="1" nd="1"/>
        <i x="1584" s="1" nd="1"/>
        <i x="720" s="1" nd="1"/>
        <i x="124" s="1" nd="1"/>
        <i x="2827" s="1" nd="1"/>
        <i x="3103" s="1" nd="1"/>
        <i x="348" s="1" nd="1"/>
        <i x="4026" s="1" nd="1"/>
        <i x="3217" s="1" nd="1"/>
        <i x="1831" s="1" nd="1"/>
        <i x="3094" s="1" nd="1"/>
        <i x="354" s="1" nd="1"/>
        <i x="3350" s="1" nd="1"/>
        <i x="2299" s="1" nd="1"/>
        <i x="486" s="1" nd="1"/>
        <i x="3599" s="1" nd="1"/>
        <i x="2886" s="1" nd="1"/>
        <i x="3490" s="1" nd="1"/>
        <i x="3864" s="1" nd="1"/>
        <i x="2060" s="1" nd="1"/>
        <i x="620" s="1" nd="1"/>
        <i x="3606" s="1" nd="1"/>
        <i x="2186" s="1" nd="1"/>
        <i x="742" s="1" nd="1"/>
        <i x="4128" s="1" nd="1"/>
        <i x="3894" s="1" nd="1"/>
        <i x="863" s="1" nd="1"/>
        <i x="3879" s="1" nd="1"/>
        <i x="1115" s="1" nd="1"/>
        <i x="3849" s="1" nd="1"/>
        <i x="2428" s="1" nd="1"/>
        <i x="452" s="1" nd="1"/>
        <i x="1001" s="1" nd="1"/>
        <i x="3967" s="1" nd="1"/>
        <i x="2500" s="1" nd="1"/>
        <i x="717" s="1" nd="1"/>
        <i x="2652" s="1" nd="1"/>
        <i x="1269" s="1" nd="1"/>
        <i x="3741" s="1" nd="1"/>
        <i x="4218" s="1" nd="1"/>
        <i x="2778" s="1" nd="1"/>
        <i x="1363" s="1" nd="1"/>
        <i x="1504" s="1" nd="1"/>
        <i x="2880" s="1" nd="1"/>
        <i x="1997" s="1" nd="1"/>
        <i x="549" s="1" nd="1"/>
        <i x="2564" s="1" nd="1"/>
        <i x="3547" s="1" nd="1"/>
        <i x="1752" s="1" nd="1"/>
        <i x="1861" s="1" nd="1"/>
        <i x="2117" s="1" nd="1"/>
        <i x="2242" s="1" nd="1"/>
        <i x="1398" s="1" nd="1"/>
        <i x="807" s="1" nd="1"/>
        <i x="2487" s="1" nd="1"/>
        <i x="3784" s="1" nd="1"/>
        <i x="2363" s="1" nd="1"/>
        <i x="915" s="1" nd="1"/>
        <i x="2723" s="1" nd="1"/>
        <i x="2828" s="1" nd="1"/>
        <i x="4022" s="1" nd="1"/>
        <i x="2588" s="1" nd="1"/>
        <i x="1203" s="1" nd="1"/>
        <i x="3511" s="1" nd="1"/>
        <i x="3964" s="1" nd="1"/>
        <i x="266" s="1" nd="1"/>
        <i x="1424" s="1" nd="1"/>
        <i x="3752" s="1" nd="1"/>
        <i x="4394" s="1" nd="1"/>
        <i x="2937" s="1" nd="1"/>
        <i x="1429" s="1" nd="1"/>
        <i x="3081" s="1" nd="1"/>
        <i x="85" s="1" nd="1"/>
        <i x="3504" s="1" nd="1"/>
        <i x="211" s="1" nd="1"/>
        <i x="3197" s="1" nd="1"/>
        <i x="4224" s="1" nd="1"/>
        <i x="1811" s="1" nd="1"/>
        <i x="3826" s="1" nd="1"/>
        <i x="331" s="1" nd="1"/>
        <i x="466" s="1" nd="1"/>
        <i x="2995" s="1" nd="1"/>
        <i x="3604" s="1" nd="1"/>
        <i x="3852" s="1" nd="1"/>
        <i x="2038" s="1" nd="1"/>
        <i x="1136" s="1" nd="1"/>
        <i x="3919" s="1" nd="1"/>
        <i x="719" s="1" nd="1"/>
        <i x="3701" s="1" nd="1"/>
        <i x="1376" s="1" nd="1"/>
        <i x="2290" s="1" nd="1"/>
        <i x="845" s="1" nd="1"/>
        <i x="3828" s="1" nd="1"/>
        <i x="3607" s="1" nd="1"/>
        <i x="2030" s="1" nd="1"/>
        <i x="177" s="1" nd="1"/>
        <i x="2135" s="1" nd="1"/>
        <i x="3946" s="1" nd="1"/>
        <i x="1280" s="1" nd="1"/>
        <i x="2526" s="1" nd="1"/>
        <i x="259" s="1" nd="1"/>
        <i x="1120" s="1" nd="1"/>
        <i x="154" s="1" nd="1"/>
        <i x="2512" s="1" nd="1"/>
        <i x="3140" s="1" nd="1"/>
        <i x="2387" s="1" nd="1"/>
        <i x="3289" s="1" nd="1"/>
        <i x="176" s="1" nd="1"/>
        <i x="4045" s="1" nd="1"/>
        <i x="1814" s="1" nd="1"/>
        <i x="1864" s="1" nd="1"/>
        <i x="390" s="1" nd="1"/>
        <i x="3129" s="1" nd="1"/>
        <i x="3397" s="1" nd="1"/>
        <i x="1967" s="1" nd="1"/>
        <i x="559" s="1" nd="1"/>
        <i x="2100" s="1" nd="1"/>
        <i x="3393" s="1" nd="1"/>
        <i x="2765" s="1" nd="1"/>
        <i x="2777" s="1" nd="1"/>
        <i x="3892" s="1" nd="1"/>
        <i x="1404" s="1" nd="1"/>
        <i x="4156" s="1" nd="1"/>
        <i x="895" s="1" nd="1"/>
        <i x="2236" s="1" nd="1"/>
        <i x="3890" s="1" nd="1"/>
        <i x="948" s="1" nd="1"/>
        <i x="4402" s="1" nd="1"/>
        <i x="3823" s="1" nd="1"/>
        <i x="4136" s="1" nd="1"/>
        <i x="2686" s="1" nd="1"/>
        <i x="750" s="1" nd="1"/>
        <i x="1294" s="1" nd="1"/>
        <i x="4258" s="1" nd="1"/>
        <i x="3536" s="1" nd="1"/>
        <i x="2809" s="1" nd="1"/>
        <i x="1538" s="1" nd="1"/>
        <i x="270" s="1" nd="1"/>
        <i x="1019" s="1" nd="1"/>
        <i x="1542" s="1" nd="1"/>
        <i x="1656" s="1" nd="1"/>
        <i x="3098" s="1" nd="1"/>
        <i x="2644" s="1" nd="1"/>
        <i x="3058" s="1" nd="1"/>
        <i x="1663" s="1" nd="1"/>
        <i x="1791" s="1" nd="1"/>
        <i x="1724" s="1" nd="1"/>
        <i x="1995" s="1" nd="1"/>
        <i x="3939" s="1" nd="1"/>
        <i x="3481" s="1" nd="1"/>
        <i x="547" s="1" nd="1"/>
        <i x="2124" s="1" nd="1"/>
        <i x="2056" s="1" nd="1"/>
        <i x="3546" s="1" nd="1"/>
        <i x="2407" s="1" nd="1"/>
        <i x="3212" s="1" nd="1"/>
        <i x="3601" s="1" nd="1"/>
        <i x="1062" s="1" nd="1"/>
        <i x="2492" s="1" nd="1"/>
        <i x="673" s="1" nd="1"/>
        <i x="2184" s="1" nd="1"/>
        <i x="735" s="1" nd="1"/>
        <i x="2370" s="1" nd="1"/>
        <i x="631" s="1" nd="1"/>
        <i x="802" s="1" nd="1"/>
        <i x="2311" s="1" nd="1"/>
        <i x="3618" s="1" nd="1"/>
        <i x="4278" s="1" nd="1"/>
        <i x="858" s="1" nd="1"/>
        <i x="2728" s="1" nd="1"/>
        <i x="3032" s="1" nd="1"/>
        <i x="4301" s="1" nd="1"/>
        <i x="2422" s="1" nd="1"/>
        <i x="3910" s="1" nd="1"/>
        <i x="3118" s="1" nd="1"/>
        <i x="3721" s="1" nd="1"/>
        <i x="997" s="1" nd="1"/>
        <i x="252" s="1" nd="1"/>
        <i x="2475" s="1" nd="1"/>
        <i x="3617" s="1" nd="1"/>
        <i x="3962" s="1" nd="1"/>
        <i x="556" s="1" nd="1"/>
        <i x="384" s="1" nd="1"/>
        <i x="3513" s="1" nd="1"/>
        <i x="4020" s="1" nd="1"/>
        <i x="1131" s="1" nd="1"/>
        <i x="2587" s="1" nd="1"/>
        <i x="4102" s="1" nd="1"/>
        <i x="2351" s="1" nd="1"/>
        <i x="1202" s="1" nd="1"/>
        <i x="3369" s="1" nd="1"/>
        <i x="2460" s="1" nd="1"/>
        <i x="2391" s="1" nd="1"/>
        <i x="1261" s="1" nd="1"/>
        <i x="1320" s="1" nd="1"/>
        <i x="4211" s="1" nd="1"/>
        <i x="3757" s="1" nd="1"/>
        <i x="481" s="1" nd="1"/>
        <i x="1310" s="1" nd="1"/>
        <i x="4370" s="1" nd="1"/>
        <i x="2776" s="1" nd="1"/>
        <i x="986" s="1" nd="1"/>
        <i x="1817" s="1" nd="1"/>
        <i x="2825" s="1" nd="1"/>
        <i x="4142" s="1" nd="1"/>
        <i x="4325" s="1" nd="1"/>
        <i x="2956" s="1" nd="1"/>
        <i x="1423" s="1" nd="1"/>
        <i x="2875" s="1" nd="1"/>
        <i x="2982" s="1" nd="1"/>
        <i x="89" s="1" nd="1"/>
        <i x="921" s="1" nd="1"/>
        <i x="1562" s="1" nd="1"/>
        <i x="1154" s="1" nd="1"/>
        <i x="3191" s="1" nd="1"/>
        <i x="3013" s="1" nd="1"/>
        <i x="92" s="1" nd="1"/>
        <i x="4382" s="1" nd="1"/>
        <i x="1623" s="1" nd="1"/>
        <i x="3117" s="1" nd="1"/>
        <i x="1195" s="1" nd="1"/>
        <i x="1685" s="1" nd="1"/>
        <i x="3141" s="1" nd="1"/>
        <i x="333" s="1" nd="1"/>
        <i x="210" s="1" nd="1"/>
        <i x="809" s="1" nd="1"/>
        <i x="1741" s="1" nd="1"/>
        <i x="3196" s="1" nd="1"/>
        <i x="853" s="1" nd="1"/>
        <i x="734" s="1" nd="1"/>
        <i x="3259" s="1" nd="1"/>
        <i x="329" s="1" nd="1"/>
        <i x="1867" s="1" nd="1"/>
        <i x="179" s="1" nd="1"/>
        <i x="3324" s="1" nd="1"/>
        <i x="3597" s="1" nd="1"/>
        <i x="394" s="1" nd="1"/>
        <i x="1138" s="1" nd="1"/>
        <i x="2782" s="1" nd="1"/>
        <i x="1970" s="1" nd="1"/>
        <i x="3464" s="1" nd="1"/>
        <i x="1003" s="1" nd="1"/>
        <i x="1878" s="1" nd="1"/>
        <i x="529" s="1" nd="1"/>
        <i x="786" s="1" nd="1"/>
        <i x="2393" s="1" nd="1"/>
        <i x="2543" s="1" nd="1"/>
        <i x="2198" s="1" nd="1"/>
        <i x="2584" s="1" nd="1"/>
        <i x="1378" s="1" nd="1"/>
        <i x="439" s="1" nd="1"/>
        <i x="2156" s="1" nd="1"/>
        <i x="4098" s="1" nd="1"/>
        <i x="1197" s="1" nd="1"/>
        <i x="3407" s="1" nd="1"/>
        <i x="2642" s="1" nd="1"/>
        <i x="2115" s="1" nd="1"/>
        <i x="4152" s="1" nd="1"/>
        <i x="1775" s="1" nd="1"/>
        <i x="2483" s="1" nd="1"/>
        <i x="3459" s="1" nd="1"/>
        <i x="1900" s="1" nd="1"/>
        <i x="1306" s="1" nd="1"/>
        <i x="2770" s="1" nd="1"/>
        <i x="777" s="1" nd="1"/>
        <i x="4271" s="1" nd="1"/>
        <i x="2138" s="1" nd="1"/>
        <i x="1353" s="1" nd="1"/>
        <i x="380" s="1" nd="1"/>
        <i x="4047" s="1" nd="1"/>
        <i x="1417" s="1" nd="1"/>
        <i x="2872" s="1" nd="1"/>
        <i x="2011" s="1" nd="1"/>
        <i x="4387" s="1" nd="1"/>
        <i x="4286" s="1" nd="1"/>
        <i x="1493" s="1" nd="1"/>
        <i x="1168" s="1" nd="1"/>
        <i x="2931" s="1" nd="1"/>
        <i x="3443" s="1" nd="1"/>
        <i x="3518" s="1" nd="1"/>
        <i x="3774" s="1" nd="1"/>
        <i x="2390" s="1" nd="1"/>
        <i x="3493" s="1" nd="1"/>
        <i x="3008" s="1" nd="1"/>
        <i x="1693" s="1" nd="1"/>
        <i x="3252" s="1" nd="1"/>
        <i x="637" s="1" nd="1"/>
        <i x="88" s="1" nd="1"/>
        <i x="1620" s="1" nd="1"/>
        <i x="370" s="1" nd="1"/>
        <i x="3075" s="1" nd="1"/>
        <i x="44" s="1" nd="1"/>
        <i x="150" s="1" nd="1"/>
        <i x="2745" s="1" nd="1"/>
        <i x="2716" s="1" nd="1"/>
        <i x="3023" s="1" nd="1"/>
        <i x="205" s="1" nd="1"/>
        <i x="2371" s="1" nd="1"/>
        <i x="3192" s="1" nd="1"/>
        <i x="3133" s="1" nd="1"/>
        <i x="260" s="1" nd="1"/>
        <i x="1805" s="1" nd="1"/>
        <i x="564" s="1" nd="1"/>
        <i x="1340" s="1" nd="1"/>
        <i x="1021" s="1" nd="1"/>
        <i x="1860" s="1" nd="1"/>
        <i x="2996" s="1" nd="1"/>
        <i x="3319" s="1" nd="1"/>
        <i x="387" s="1" nd="1"/>
        <i x="4318" s="1" nd="1"/>
        <i x="75" s="1" nd="1"/>
        <i x="3395" s="1" nd="1"/>
        <i x="964" s="1" nd="1"/>
        <i x="3398" s="1" nd="1"/>
        <i x="392" s="1" nd="1"/>
        <i x="4170" s="1" nd="1"/>
        <i x="3462" s="1" nd="1"/>
        <i x="526" s="1" nd="1"/>
        <i x="4338" s="1" nd="1"/>
        <i x="1472" s="1" nd="1"/>
        <i x="2031" s="1" nd="1"/>
        <i x="3770" s="1" nd="1"/>
        <i x="1020" s="1" nd="1"/>
        <i x="4103" s="1" nd="1"/>
        <i x="3522" s="1" nd="1"/>
        <i x="3449" s="1" nd="1"/>
        <i x="2160" s="1" nd="1"/>
        <i x="4159" s="1" nd="1"/>
        <i x="4199" s="1" nd="1"/>
        <i x="4019" s="1" nd="1"/>
        <i x="3037" s="1" nd="1"/>
        <i x="3758" s="1" nd="1"/>
        <i x="930" s="1" nd="1"/>
        <i x="1960" s="1" nd="1"/>
        <i x="2343" s="1" nd="1"/>
        <i x="814" s="1" nd="1"/>
        <i x="2550" s="1" nd="1"/>
        <i x="4408" s="1" nd="1"/>
        <i x="3616" s="1" nd="1"/>
        <i x="3785" s="1" nd="1"/>
        <i x="2155" s="1" nd="1"/>
        <i x="923" s="1" nd="1"/>
        <i x="2522" s="1" nd="1"/>
        <i x="4303" s="1" nd="1"/>
        <i x="353" s="1" nd="1"/>
        <i x="3880" s="1" nd="1"/>
        <i x="738" s="1" nd="1"/>
        <i x="133" s="1" nd="1"/>
        <i x="859" s="1" nd="1"/>
        <i x="1114" s="1" nd="1"/>
        <i x="1167" s="1" nd="1"/>
        <i x="754" s="1" nd="1"/>
        <i x="2116" s="1" nd="1"/>
        <i x="4075" s="1" nd="1"/>
        <i x="2617" s="1" nd="1"/>
        <i x="1159" s="1" nd="1"/>
        <i x="3390" s="1" nd="1"/>
        <i x="3251" s="1" nd="1"/>
        <i x="2684" s="1" nd="1"/>
        <i x="4197" s="1" nd="1"/>
        <i x="1328" s="1" nd="1"/>
        <i x="2218" s="1" nd="1"/>
        <i x="2575" s="1" nd="1"/>
        <i x="1024" s="1" nd="1"/>
        <i x="4145" s="1" nd="1"/>
        <i x="418" s="1" nd="1"/>
        <i x="793" s="1" nd="1"/>
        <i x="1397" s="1" nd="1"/>
        <i x="1394" s="1" nd="1"/>
        <i x="993" s="1" nd="1"/>
        <i x="4363" s="1" nd="1"/>
        <i x="522" s="1" nd="1"/>
        <i x="3591" s="1" nd="1"/>
        <i x="6" s="1" nd="1"/>
        <i x="1795" s="1" nd="1"/>
        <i x="2713" s="1" nd="1"/>
        <i x="1213" s="1" nd="1"/>
        <i x="1541" s="1" nd="1"/>
        <i x="3158" s="1" nd="1"/>
        <i x="3034" s="1" nd="1"/>
        <i x="3198" s="1" nd="1"/>
        <i x="586" s="1" nd="1"/>
        <i x="1603" s="1" nd="1"/>
        <i x="138" s="1" nd="1"/>
        <i x="2158" s="1" nd="1"/>
        <i x="107" s="1" nd="1"/>
        <i x="1140" s="1" nd="1"/>
        <i x="3120" s="1" nd="1"/>
        <i x="3600" s="1" nd="1"/>
        <i x="4034" s="1" nd="1"/>
        <i x="3933" s="1" nd="1"/>
        <i x="2028" s="1" nd="1"/>
        <i x="1339" s="1" nd="1"/>
        <i x="200" s="1" nd="1"/>
        <i x="1762" s="1" nd="1"/>
        <i x="2203" s="1" nd="1"/>
        <i x="2405" s="1" nd="1"/>
        <i x="2835" s="1" nd="1"/>
        <i x="889" s="1" nd="1"/>
        <i x="188" s="1" nd="1"/>
        <i x="1611" s="1" nd="1"/>
        <i x="2484" s="1" nd="1"/>
        <i x="1790" s="1" nd="1"/>
        <i x="836" s="1" nd="1"/>
        <i x="783" s="1" nd="1"/>
        <i x="2771" s="1" nd="1"/>
        <i x="4315" s="1" nd="1"/>
        <i x="4225" s="1" nd="1"/>
        <i x="3294" s="1" nd="1"/>
        <i x="2922" s="1" nd="1"/>
        <i x="3148" s="1" nd="1"/>
        <i x="3786" s="1" nd="1"/>
        <i x="3998" s="1" nd="1"/>
        <i x="1211" s="1" nd="1"/>
        <i x="568" s="1" nd="1"/>
        <i x="3492" s="1" nd="1"/>
        <i x="854" s="1" nd="1"/>
        <i x="1172" s="1" nd="1"/>
        <i x="3019" s="1" nd="1"/>
        <i x="1916" s="1" nd="1"/>
        <i x="377" s="1" nd="1"/>
        <i x="1632" s="1" nd="1"/>
        <i x="3414" s="1" nd="1"/>
        <i x="1291" s="1" nd="1"/>
        <i x="3920" s="1" nd="1"/>
        <i x="3550" s="1" nd="1"/>
        <i x="4251" s="1" nd="1"/>
        <i x="2628" s="1" nd="1"/>
        <i x="3731" s="1" nd="1"/>
        <i x="1029" s="1" nd="1"/>
        <i x="3791" s="1" nd="1"/>
        <i x="868" s="1" nd="1"/>
        <i x="2052" s="1" nd="1"/>
        <i x="4006" s="1" nd="1"/>
        <i x="2163" s="1" nd="1"/>
        <i x="4176" s="1" nd="1"/>
        <i x="2247" s="1" nd="1"/>
        <i x="1679" s="1" nd="1"/>
        <i x="3059" s="1" nd="1"/>
        <i x="2514" s="1" nd="1"/>
        <i x="3523" s="1" nd="1"/>
        <i x="1712" s="1" nd="1"/>
        <i x="71" s="1" nd="1"/>
        <i x="4041" s="1" nd="1"/>
        <i x="592" s="1" nd="1"/>
        <i x="1600" s="1" nd="1"/>
        <i x="2379" s="1" nd="1"/>
        <i x="3608" s="1" nd="1"/>
        <i x="1688" s="1" nd="1"/>
        <i x="2349" s="1" nd="1"/>
        <i x="4426" s="1" nd="1"/>
        <i x="1343" s="1" nd="1"/>
        <i x="671" s="1" nd="1"/>
        <i x="1721" s="1" nd="1"/>
        <i x="2582" s="1" nd="1"/>
        <i x="3174" s="1" nd="1"/>
        <i x="759" s="1" nd="1"/>
        <i x="3702" s="1" nd="1"/>
        <i x="141" s="1" nd="1"/>
        <i x="1782" s="1" nd="1"/>
        <i x="365" s="1" nd="1"/>
        <i x="3605" s="1" nd="1"/>
        <i x="416" s="1" nd="1"/>
        <i x="2804" s="1" nd="1"/>
        <i x="3760" s="1" nd="1"/>
        <i x="3303" s="1" nd="1"/>
        <i x="867" s="1" nd="1"/>
        <i x="771" s="1" nd="1"/>
        <i x="3290" s="1" nd="1"/>
        <i x="441" s="1" nd="1"/>
        <i x="15" s="1" nd="1"/>
        <i x="2034" s="1" nd="1"/>
        <i x="2364" s="1" nd="1"/>
        <i x="3016" s="1" nd="1"/>
        <i x="641" s="1" nd="1"/>
        <i x="228" s="1" nd="1"/>
        <i x="4162" s="1" nd="1"/>
        <i x="2012" s="1" nd="1"/>
        <i x="1405" s="1" nd="1"/>
        <i x="3502" s="1" nd="1"/>
        <i x="3399" s="1" nd="1"/>
        <i x="1046" s="1" nd="1"/>
        <i x="1646" s="1" nd="1"/>
        <i x="86" s="1" nd="1"/>
        <i x="2421" s="1" nd="1"/>
        <i x="325" s="1" nd="1"/>
        <i x="2935" s="1" nd="1"/>
        <i x="2824" s="1" nd="1"/>
        <i x="3131" s="1" nd="1"/>
        <i x="32" s="1" nd="1"/>
        <i x="1411" s="1" nd="1"/>
        <i x="784" s="1" nd="1"/>
        <i x="2958" s="1" nd="1"/>
        <i x="922" s="1" nd="1"/>
        <i x="3274" s="1" nd="1"/>
        <i x="3737" s="1" nd="1"/>
        <i x="1809" s="1" nd="1"/>
        <i x="3038" s="1" nd="1"/>
        <i x="820" s="1" nd="1"/>
        <i x="4343" s="1" nd="1"/>
        <i x="2324" s="1" nd="1"/>
        <i x="2571" s="1" nd="1"/>
        <i x="3801" s="1" nd="1"/>
        <i x="1036" s="1" nd="1"/>
        <i x="4300" s="1" nd="1"/>
        <i x="3076" s="1" nd="1"/>
        <i x="875" s="1" nd="1"/>
        <i x="1768" s="1" nd="1"/>
        <i x="2377" s="1" nd="1"/>
        <i x="1682" s="1" nd="1"/>
        <i x="3096" s="1" nd="1"/>
        <i x="1330" s="1" nd="1"/>
        <i x="2070" s="1" nd="1"/>
        <i x="70" s="1" nd="1"/>
        <i x="2433" s="1" nd="1"/>
        <i x="3782" s="1" nd="1"/>
        <i x="3817" s="1" nd="1"/>
        <i x="26" s="1" nd="1"/>
        <i x="3929" s="1" nd="1"/>
        <i x="1014" s="1" nd="1"/>
        <i x="3425" s="1" nd="1"/>
        <i x="2047" s="1" nd="1"/>
        <i x="2496" s="1" nd="1"/>
        <i x="2665" s="1" nd="1"/>
        <i x="214" s="1" nd="1"/>
        <i x="4125" s="1" nd="1"/>
        <i x="1998" s="1" nd="1"/>
        <i x="2736" s="1" nd="1"/>
        <i x="926" s="1" nd="1"/>
        <i x="570" s="1" nd="1"/>
        <i x="1414" s="1" nd="1"/>
        <i x="830" s="1" nd="1"/>
        <i x="4043" s="1" nd="1"/>
        <i x="2425" s="1" nd="1"/>
        <i x="1148" s="1" nd="1"/>
        <i x="2600" s="1" nd="1"/>
        <i x="3899" s="1" nd="1"/>
        <i x="2237" s="1" nd="1"/>
        <i x="4122" s="1" nd="1"/>
        <i x="3228" s="1" nd="1"/>
        <i x="2763" s="1" nd="1"/>
        <i x="2785" s="1" nd="1"/>
        <i x="1011" s="1" nd="1"/>
        <i x="1276" s="1" nd="1"/>
        <i x="4320" s="1" nd="1"/>
        <i x="3356" s="1" nd="1"/>
        <i x="2720" s="1" nd="1"/>
        <i x="1331" s="1" nd="1"/>
        <i x="4147" s="1" nd="1"/>
        <i x="4234" s="1" nd="1"/>
        <i x="1318" s="1" nd="1"/>
        <i x="1329" s="1" nd="1"/>
        <i x="2658" s="1" nd="1"/>
        <i x="2375" s="1" nd="1"/>
        <i x="1119" s="1" nd="1"/>
        <i x="1124" s="1" nd="1"/>
        <i x="3360" s="1" nd="1"/>
        <i x="3587" s="1" nd="1"/>
        <i x="3896" s="1" nd="1"/>
        <i x="3040" s="1" nd="1"/>
        <i x="3151" s="1" nd="1"/>
        <i x="3432" s="1" nd="1"/>
        <i x="3936" s="1" nd="1"/>
        <i x="2467" s="1" nd="1"/>
        <i x="3662" s="1" nd="1"/>
        <i x="3434" s="1" nd="1"/>
        <i x="563" s="1" nd="1"/>
        <i x="3537" s="1" nd="1"/>
        <i x="3965" s="1" nd="1"/>
        <i x="2076" s="1" nd="1"/>
        <i x="2239" s="1" nd="1"/>
        <i x="3561" s="1" nd="1"/>
        <i x="2697" s="1" nd="1"/>
        <i x="3835" s="1" nd="1"/>
        <i x="2529" s="1" nd="1"/>
        <i x="628" s="1" nd="1"/>
        <i x="2505" s="1" nd="1"/>
        <i x="1038" s="1" nd="1"/>
        <i x="3806" s="1" nd="1"/>
        <i x="2985" s="1" nd="1"/>
        <i x="2074" s="1" nd="1"/>
        <i x="4023" s="1" nd="1"/>
        <i x="690" s="1" nd="1"/>
        <i x="704" s="1" nd="1"/>
        <i x="2197" s="1" nd="1"/>
        <i x="1850" s="1" nd="1"/>
        <i x="792" s="1" nd="1"/>
        <i x="3668" s="1" nd="1"/>
        <i x="2146" s="1" nd="1"/>
        <i x="1135" s="1" nd="1"/>
        <i x="753" s="1" nd="1"/>
        <i x="3677" s="1" nd="1"/>
        <i x="1981" s="1" nd="1"/>
        <i x="2255" s="1" nd="1"/>
        <i x="2556" s="1" nd="1"/>
        <i x="4256" s="1" nd="1"/>
        <i x="2174" s="1" nd="1"/>
        <i x="2322" s="1" nd="1"/>
        <i x="919" s="1" nd="1"/>
        <i x="194" s="1" nd="1"/>
        <i x="3797" s="1" nd="1"/>
        <i x="1466" s="1" nd="1"/>
        <i x="4068" s="1" nd="1"/>
        <i x="872" s="1" nd="1"/>
        <i x="946" s="1" nd="1"/>
        <i x="2372" s="1" nd="1"/>
        <i x="4009" s="1" nd="1"/>
        <i x="610" s="1" nd="1"/>
        <i x="3859" s="1" nd="1"/>
        <i x="193" s="1" nd="1"/>
        <i x="4177" s="1" nd="1"/>
        <i x="591" s="1" nd="1"/>
        <i x="924" s="1" nd="1"/>
        <i x="400" s="1" nd="1"/>
        <i x="519" s="1" nd="1"/>
        <i x="3199" s="1" nd="1"/>
        <i x="13" s="1" nd="1"/>
        <i x="3927" s="1" nd="1"/>
        <i x="1777" s="1" nd="1"/>
        <i x="1183" s="1" nd="1"/>
        <i x="1009" s="1" nd="1"/>
        <i x="2527" s="1" nd="1"/>
        <i x="2488" s="1" nd="1"/>
        <i x="1359" s="1" nd="1"/>
        <i x="3974" s="1" nd="1"/>
        <i x="1091" s="1" nd="1"/>
        <i x="383" s="1" nd="1"/>
        <i x="1833" s="1" nd="1"/>
        <i x="3109" s="1" nd="1"/>
        <i x="3263" s="1" nd="1"/>
        <i x="1873" s="1" nd="1"/>
        <i x="2598" s="1" nd="1"/>
        <i x="3479" s="1" nd="1"/>
        <i x="4120" s="1" nd="1"/>
        <i x="3916" s="1" nd="1"/>
        <i x="253" s="1" nd="1"/>
        <i x="1220" s="1" nd="1"/>
        <i x="2663" s="1" nd="1"/>
        <i x="4414" s="1" nd="1"/>
        <i x="1583" s="1" nd="1"/>
        <i x="1638" s="1" nd="1"/>
        <i x="2733" s="1" nd="1"/>
        <i x="2715" s="1" nd="1"/>
        <i x="657" s="1" nd="1"/>
        <i x="4231" s="1" nd="1"/>
        <i x="2215" s="1" nd="1"/>
        <i x="3408" s="1" nd="1"/>
        <i x="3833" s="1" nd="1"/>
        <i x="2786" s="1" nd="1"/>
        <i x="206" s="1" nd="1"/>
        <i x="3234" s="1" nd="1"/>
        <i x="4282" s="1" nd="1"/>
        <i x="159" s="1" nd="1"/>
        <i x="304" s="1" nd="1"/>
        <i x="1066" s="1" nd="1"/>
        <i x="2795" s="1" nd="1"/>
        <i x="4336" s="1" nd="1"/>
        <i x="2508" s="1" nd="1"/>
        <i x="535" s="1" nd="1"/>
        <i x="1230" s="1" nd="1"/>
        <i x="1440" s="1" nd="1"/>
        <i x="1569" s="1" nd="1"/>
        <i x="1846" s="1" nd="1"/>
        <i x="440" s="1" nd="1"/>
        <i x="876" s="1" nd="1"/>
        <i x="4409" s="1" nd="1"/>
        <i x="1427" s="1" nd="1"/>
        <i x="1521" s="1" nd="1"/>
        <i x="4183" s="1" nd="1"/>
        <i x="2577" s="1" nd="1"/>
        <i x="1121" s="1" nd="1"/>
        <i x="550" s="1" nd="1"/>
        <i x="3526" s="1" nd="1"/>
        <i x="375" s="1" nd="1"/>
        <i x="1578" s="1" nd="1"/>
        <i x="2877" s="1" nd="1"/>
        <i x="3035" s="1" nd="1"/>
        <i x="1312" s="1" nd="1"/>
        <i x="1439" s="1" nd="1"/>
        <i x="108" s="1" nd="1"/>
        <i x="1156" s="1" nd="1"/>
        <i x="1639" s="1" nd="1"/>
        <i x="1271" s="1" nd="1"/>
        <i x="3092" s="1" nd="1"/>
        <i x="4106" s="1" nd="1"/>
        <i x="681" s="1" nd="1"/>
        <i x="1054" s="1" nd="1"/>
        <i x="1701" s="1" nd="1"/>
        <i x="3156" s="1" nd="1"/>
        <i x="1430" s="1" nd="1"/>
        <i x="514" s="1" nd="1"/>
        <i x="2507" s="1" nd="1"/>
        <i x="219" s="1" nd="1"/>
        <i x="886" s="1" nd="1"/>
        <i x="3136" s="1" nd="1"/>
        <i x="1757" s="1" nd="1"/>
        <i x="2675" s="1" nd="1"/>
        <i x="3264" s="1" nd="1"/>
        <i x="3210" s="1" nd="1"/>
        <i x="1262" s="1" nd="1"/>
        <i x="287" s="1" nd="1"/>
        <i x="2067" s="1" nd="1"/>
        <i x="2506" s="1" nd="1"/>
        <i x="3868" s="1" nd="1"/>
        <i x="1585" s="1" nd="1"/>
        <i x="115" s="1" nd="1"/>
        <i x="636" s="1" nd="1"/>
        <i x="343" s="1" nd="1"/>
        <i x="499" s="1" nd="1"/>
        <i x="1879" s="1" nd="1"/>
        <i x="2586" s="1" nd="1"/>
        <i x="1299" s="1" nd="1"/>
        <i x="760" s="1" nd="1"/>
        <i x="3341" s="1" nd="1"/>
        <i x="2438" s="1" nd="1"/>
        <i x="414" s="1" nd="1"/>
        <i x="1978" s="1" nd="1"/>
        <i x="823" s="1" nd="1"/>
        <i x="1930" s="1" nd="1"/>
        <i x="3624" s="1" nd="1"/>
        <i x="1766" s="1" nd="1"/>
        <i x="842" s="1" nd="1"/>
        <i x="2801" s="1" nd="1"/>
        <i x="1464" s="1" nd="1"/>
        <i x="3477" s="1" nd="1"/>
        <i x="240" s="1" nd="1"/>
        <i x="544" s="1" nd="1"/>
        <i x="2891" s="1" nd="1"/>
        <i x="543" s="1" nd="1"/>
        <i x="2051" s="1" nd="1"/>
        <i x="3539" s="1" nd="1"/>
        <i x="910" s="1" nd="1"/>
        <i x="398" s="1" nd="1"/>
        <i x="2673" s="1" nd="1"/>
        <i x="1086" s="1" nd="1"/>
        <i x="3569" s="1" nd="1"/>
        <i x="3598" s="1" nd="1"/>
        <i x="1123" s="1" nd="1"/>
        <i x="2464" s="1" nd="1"/>
        <i x="669" s="1" nd="1"/>
        <i x="1923" s="1" nd="1"/>
        <i x="970" s="1" nd="1"/>
        <i x="2180" s="1" nd="1"/>
        <i x="2307" s="1" nd="1"/>
        <i x="4296" s="1" nd="1"/>
        <i x="3651" s="1" nd="1"/>
        <i x="3053" s="1" nd="1"/>
        <i x="1977" s="1" nd="1"/>
        <i x="731" s="1" nd="1"/>
        <i x="502" s="1" nd="1"/>
        <i x="4354" s="1" nd="1"/>
        <i x="798" s="1" nd="1"/>
        <i x="3261" s="1" nd="1"/>
        <i x="2305" s="1" nd="1"/>
        <i x="3451" s="1" nd="1"/>
        <i x="3114" s="1" nd="1"/>
        <i x="557" s="1" nd="1"/>
        <i x="3777" s="1" nd="1"/>
        <i x="1433" s="1" nd="1"/>
        <i x="1882" s="1" nd="1"/>
        <i x="2569" s="1" nd="1"/>
        <i x="606" s="1" nd="1"/>
        <i x="1633" s="1" nd="1"/>
        <i x="3827" s="1" nd="1"/>
        <i x="2187" s="1" nd="1"/>
        <i x="3231" s="1" nd="1"/>
        <i x="91" s="1" nd="1"/>
        <i x="1589" s="1" nd="1"/>
        <i x="1045" s="1" nd="1"/>
        <i x="3764" s="1" nd="1"/>
        <i x="1515" s="1" nd="1"/>
        <i x="3820" s="1" nd="1"/>
        <i x="1740" s="1" nd="1"/>
        <i x="2949" s="1" nd="1"/>
        <i x="46" s="1" nd="1"/>
        <i x="3694" s="1" nd="1"/>
        <i x="796" s="1" nd="1"/>
        <i x="4386" s="1" nd="1"/>
        <i x="186" s="1" nd="1"/>
        <i x="2654" s="1" nd="1"/>
        <i x="1799" s="1" nd="1"/>
        <i x="103" s="1" nd="1"/>
        <i x="1228" s="1" nd="1"/>
        <i x="1065" s="1" nd="1"/>
        <i x="105" s="1" nd="1"/>
        <i x="1635" s="1" nd="1"/>
        <i x="1540" s="1" nd="1"/>
        <i x="3339" s="1" nd="1"/>
        <i x="3087" s="1" nd="1"/>
        <i x="313" s="1" nd="1"/>
        <i x="4088" s="1" nd="1"/>
        <i x="96" s="1" nd="1"/>
        <i x="163" s="1" nd="1"/>
        <i x="958" s="1" nd="1"/>
        <i x="1599" s="1" nd="1"/>
        <i x="1698" s="1" nd="1"/>
        <i x="1772" s="1" nd="1"/>
        <i x="152" s="1" nd="1"/>
        <i x="279" s="1" nd="1"/>
        <i x="3382" s="1" nd="1"/>
        <i x="3622" s="1" nd="1"/>
        <i x="1754" s="1" nd="1"/>
        <i x="35" s="1" nd="1"/>
        <i x="3209" s="1" nd="1"/>
        <i x="280" s="1" nd="1"/>
        <i x="322" s="1" nd="1"/>
        <i x="4052" s="1" nd="1"/>
        <i x="1689" s="1" nd="1"/>
        <i x="1818" s="1" nd="1"/>
        <i x="3924" s="1" nd="1"/>
        <i x="3272" s="1" nd="1"/>
        <i x="1696" s="1" nd="1"/>
        <i x="337" s="1" nd="1"/>
        <i x="408" s="1" nd="1"/>
        <i x="3211" s="1" nd="1"/>
        <i x="4298" s="1" nd="1"/>
        <i x="3336" s="1" nd="1"/>
        <i x="3532" s="1" nd="1"/>
        <i x="2081" s="1" nd="1"/>
        <i x="3070" s="1" nd="1"/>
        <i x="407" s="1" nd="1"/>
        <i x="1925" s="1" nd="1"/>
        <i x="3025" s="1" nd="1"/>
        <i x="3411" s="1" nd="1"/>
        <i x="2310" s="1" nd="1"/>
        <i x="271" s="1" nd="1"/>
        <i x="476" s="1" nd="1"/>
        <i x="4108" s="1" nd="1"/>
        <i x="1285" s="1" nd="1"/>
        <i x="2333" s="1" nd="1"/>
        <i x="2504" s="1" nd="1"/>
        <i x="571" s="1" nd="1"/>
        <i x="1461" s="1" nd="1"/>
        <i x="540" s="1" nd="1"/>
        <i x="4403" s="1" nd="1"/>
        <i x="4118" s="1" nd="1"/>
        <i x="2048" s="1" nd="1"/>
        <i x="674" s="1" nd="1"/>
        <i x="3534" s="1" nd="1"/>
        <i x="600" s="1" nd="1"/>
        <i x="2965" s="1" nd="1"/>
        <i x="2109" s="1" nd="1"/>
        <i x="2702" s="1" nd="1"/>
        <i x="1366" s="1" nd="1"/>
        <i x="536" s="1" nd="1"/>
        <i x="1088" s="1" nd="1"/>
        <i x="2178" s="1" nd="1"/>
        <i x="2032" s="1" nd="1"/>
        <i x="3991" s="1" nd="1"/>
        <i x="3648" s="1" nd="1"/>
        <i x="477" s="1" nd="1"/>
        <i x="727" s="1" nd="1"/>
        <i x="846" s="1" nd="1"/>
        <i x="1041" s="1" nd="1"/>
        <i x="2229" s="1" nd="1"/>
        <i x="3558" s="1" nd="1"/>
        <i x="3331" s="1" nd="1"/>
        <i x="3713" s="1" nd="1"/>
        <i x="1448" s="1" nd="1"/>
        <i x="396" s="1" nd="1"/>
        <i x="957" s="1" nd="1"/>
        <i x="2402" s="1" nd="1"/>
        <i x="850" s="1" nd="1"/>
        <i x="4104" s="1" nd="1"/>
        <i x="99" s="1" nd="1"/>
        <i x="2358" s="1" nd="1"/>
        <i x="1332" s="1" nd="1"/>
        <i x="3799" s="1" nd="1"/>
        <i x="3839" s="1" nd="1"/>
        <i x="2332" s="1" nd="1"/>
        <i x="903" s="1" nd="1"/>
        <i x="3529" s="1" nd="1"/>
        <i x="4295" s="1" nd="1"/>
        <i x="2414" s="1" nd="1"/>
        <i x="4131" s="1" nd="1"/>
        <i x="2660" s="1" nd="1"/>
        <i x="992" s="1" nd="1"/>
        <i x="1713" s="1" nd="1"/>
        <i x="2468" s="1" nd="1"/>
        <i x="3683" s="1" nd="1"/>
        <i x="3954" s="1" nd="1"/>
        <i x="2396" s="1" nd="1"/>
        <i x="1826" s="1" nd="1"/>
        <i x="1061" s="1" nd="1"/>
        <i x="2534" s="1" nd="1"/>
        <i x="2427" s="1" nd="1"/>
        <i x="2254" s="1" nd="1"/>
        <i x="2086" s="1" nd="1"/>
        <i x="2497" s="1" nd="1"/>
        <i x="639" s="1" nd="1"/>
        <i x="3207" s="1" nd="1"/>
        <i x="2580" s="1" nd="1"/>
        <i x="4213" s="1" nd="1"/>
        <i x="4094" s="1" nd="1"/>
        <i x="2199" s="1" nd="1"/>
        <i x="712" s="1" nd="1"/>
        <i x="1194" s="1" nd="1"/>
        <i x="3787" s="1" nd="1"/>
        <i x="2637" s="1" nd="1"/>
        <i x="2798" s="1" nd="1"/>
        <i x="2454" s="1" nd="1"/>
        <i x="425" s="1" nd="1"/>
        <i x="4146" s="1" nd="1"/>
        <i x="2020" s="1" nd="1"/>
        <i x="2699" s="1" nd="1"/>
        <i x="988" s="1" nd="1"/>
        <i x="1733" s="1" nd="1"/>
        <i x="1644" s="1" nd="1"/>
        <i x="741" s="1" nd="1"/>
        <i x="1303" s="1" nd="1"/>
        <i x="3287" s="1" nd="1"/>
        <i x="2335" s="1" nd="1"/>
        <i x="2762" s="1" nd="1"/>
        <i x="3371" s="1" nd="1"/>
        <i x="4266" s="1" nd="1"/>
        <i x="1436" s="1" nd="1"/>
        <i x="3615" s="1" nd="1"/>
        <i x="1352" s="1" nd="1"/>
        <i x="132" s="1" nd="1"/>
        <i x="2912" s="1" nd="1"/>
        <i x="2119" s="1" nd="1"/>
        <i x="2689" s="1" nd="1"/>
        <i x="2331" s="1" nd="1"/>
        <i x="308" s="1" nd="1"/>
        <i x="1127" s="1" nd="1"/>
        <i x="2868" s="1" nd="1"/>
        <i x="2918" s="1" nd="1"/>
        <i x="3972" s="1" nd="1"/>
        <i x="1134" s="1" nd="1"/>
        <i x="4380" s="1" nd="1"/>
        <i x="4051" s="1" nd="1"/>
        <i x="1491" s="1" nd="1"/>
        <i x="3484" s="1" nd="1"/>
        <i x="3153" s="1" nd="1"/>
        <i x="2926" s="1" nd="1"/>
        <i x="3072" s="1" nd="1"/>
        <i x="1725" s="1" nd="1"/>
        <i x="3003" s="1" nd="1"/>
        <i x="1838" s="1" nd="1"/>
        <i x="3940" s="1" nd="1"/>
        <i x="80" s="1" nd="1"/>
        <i x="2961" s="1" nd="1"/>
        <i x="3299" s="1" nd="1"/>
        <i x="2084" s="1" nd="1"/>
        <i x="3185" s="1" nd="1"/>
        <i x="841" s="1" nd="1"/>
        <i x="1617" s="1" nd="1"/>
        <i x="2990" s="1" nd="1"/>
        <i x="4232" s="1" nd="1"/>
        <i x="581" s="1" nd="1"/>
        <i x="3302" s="1" nd="1"/>
        <i x="2033" s="1" nd="1"/>
        <i x="1892" s="1" nd="1"/>
        <i x="3437" s="1" nd="1"/>
        <i x="2412" s="1" nd="1"/>
        <i x="2676" s="1" nd="1"/>
        <i x="3975" s="1" nd="1"/>
        <i x="3359" s="1" nd="1"/>
        <i x="3577" s="1" nd="1"/>
        <i x="1677" s="1" nd="1"/>
        <i x="509" s="1" nd="1"/>
        <i x="4204" s="1" nd="1"/>
        <i x="434" s="1" nd="1"/>
        <i x="882" s="1" nd="1"/>
        <i x="3363" s="1" nd="1"/>
        <i x="2219" s="1" nd="1"/>
        <i x="201" s="1" nd="1"/>
        <i x="3722" s="1" nd="1"/>
        <i x="1744" s="1" nd="1"/>
        <i x="1199" s="1" nd="1"/>
        <i x="127" s="1" nd="1"/>
        <i x="1735" s="1" nd="1"/>
        <i x="3530" s="1" nd="1"/>
        <i x="2365" s="1" nd="1"/>
        <i x="3813" s="1" nd="1"/>
        <i x="3370" s="1" nd="1"/>
        <i x="3188" s="1" nd="1"/>
        <i x="21" s="1" nd="1"/>
        <i x="933" s="1" nd="1"/>
        <i x="1514" s="1" nd="1"/>
        <i x="2897" s="1" nd="1"/>
        <i x="3496" s="1" nd="1"/>
        <i x="3167" s="1" nd="1"/>
        <i x="2272" s="1" nd="1"/>
        <i x="1452" s="1" nd="1"/>
        <i x="1803" s="1" nd="1"/>
        <i x="3744" s="1" nd="1"/>
        <i x="560" s="1" nd="1"/>
        <i x="665" s="1" nd="1"/>
        <i x="2072" s="1" nd="1"/>
        <i x="3625" s="1" nd="1"/>
        <i x="471" s="1" nd="1"/>
        <i x="237" s="1" nd="1"/>
        <i x="4417" s="1" nd="1"/>
        <i x="3679" s="1" nd="1"/>
        <i x="936" s="1" nd="1"/>
        <i x="1856" s="1" nd="1"/>
        <i x="3642" s="1" nd="1"/>
        <i x="2321" s="1" nd="1"/>
        <i x="625" s="1" nd="1"/>
        <i x="2374" s="1" nd="1"/>
        <i x="4016" s="1" nd="1"/>
        <i x="510" s="1" nd="1"/>
        <i x="3315" s="1" nd="1"/>
        <i x="1518" s="1" nd="1"/>
        <i x="409" s="1" nd="1"/>
        <i x="1956" s="1" nd="1"/>
        <i x="2635" s="1" nd="1"/>
        <i x="2129" s="1" nd="1"/>
        <i x="3620" s="1" nd="1"/>
        <i x="381" s="1" nd="1"/>
        <i x="4132" s="1" nd="1"/>
        <i x="3714" s="1" nd="1"/>
        <i x="2284" s="1" nd="1"/>
        <i x="523" s="1" nd="1"/>
        <i x="3515" s="1" nd="1"/>
        <i x="687" s="1" nd="1"/>
        <i x="1151" s="1" nd="1"/>
        <i x="3388" s="1" nd="1"/>
        <i x="1871" s="1" nd="1"/>
        <i x="2193" s="1" nd="1"/>
        <i x="4310" s="1" nd="1"/>
        <i x="864" s="1" nd="1"/>
        <i x="4071" s="1" nd="1"/>
        <i x="458" s="1" nd="1"/>
        <i x="2988" s="1" nd="1"/>
        <i x="1565" s="1" nd="1"/>
        <i x="3665" s="1" nd="1"/>
        <i x="1431" s="1" nd="1"/>
        <i x="4349" s="1" nd="1"/>
        <i x="2347" s="1" nd="1"/>
        <i x="3358" s="1" nd="1"/>
        <i x="573" s="1" nd="1"/>
        <i x="3524" s="1" nd="1"/>
        <i x="4365" s="1" nd="1"/>
        <i x="3997" s="1" nd="1"/>
        <i x="857" s="1" nd="1"/>
        <i x="2323" s="1" nd="1"/>
        <i x="1252" s="1" nd="1"/>
        <i x="3548" s="1" nd="1"/>
        <i x="1889" s="1" nd="1"/>
        <i x="2194" s="1" nd="1"/>
        <i x="3203" s="1" nd="1"/>
        <i x="1608" s="1" nd="1"/>
        <i x="3729" s="1" nd="1"/>
        <i x="17" s="1" nd="1"/>
        <i x="623" s="1" nd="1"/>
        <i x="1628" s="1" nd="1"/>
        <i x="583" s="1" nd="1"/>
        <i x="4244" s="1" nd="1"/>
        <i x="4149" s="1" nd="1"/>
        <i x="3794" s="1" nd="1"/>
        <i x="3364" s="1" nd="1"/>
        <i x="588" s="1" nd="1"/>
        <i x="1951" s="1" nd="1"/>
        <i x="2573" s="1" nd="1"/>
        <i x="1594" s="1" nd="1"/>
        <i x="4371" s="1" nd="1"/>
        <i x="3631" s="1" nd="1"/>
        <i x="871" s="1" nd="1"/>
        <i x="3590" s="1" nd="1"/>
        <i x="3254" s="1" nd="1"/>
        <i x="1059" s="1" nd="1"/>
        <i x="1750" s="1" nd="1"/>
        <i x="1191" s="1" nd="1"/>
        <i x="158" s="1" nd="1"/>
        <i x="2646" s="1" nd="1"/>
        <i x="3858" s="1" nd="1"/>
        <i x="976" s="1" nd="1"/>
        <i x="388" s="1" nd="1"/>
        <i x="2630" s="1" nd="1"/>
        <i x="2817" s="1" nd="1"/>
        <i x="932" s="1" nd="1"/>
        <i x="2810" s="1" nd="1"/>
        <i x="1931" s="1" nd="1"/>
        <i x="4144" s="1" nd="1"/>
        <i x="1760" s="1" nd="1"/>
        <i x="2740" s="1" nd="1"/>
        <i x="180" s="1" nd="1"/>
        <i x="3007" s="1" nd="1"/>
        <i x="323" s="1" nd="1"/>
        <i x="1206" s="1" nd="1"/>
        <i x="3925" s="1" nd="1"/>
        <i x="2939" s="1" nd="1"/>
        <i x="2694" s="1" nd="1"/>
        <i x="2252" s="1" nd="1"/>
        <i x="1008" s="1" nd="1"/>
        <i x="2913" s="1" nd="1"/>
        <i x="772" s="1" nd="1"/>
        <i x="3908" s="1" nd="1"/>
        <i x="3654" s="1" nd="1"/>
        <i x="4206" s="1" nd="1"/>
        <i x="3811" s="1" nd="1"/>
        <i x="1568" s="1" nd="1"/>
        <i x="2486" s="1" nd="1"/>
        <i x="2285" s="1" nd="1"/>
        <i x="254" s="1" nd="1"/>
        <i x="2418" s="1" nd="1"/>
        <i x="3357" s="1" nd="1"/>
        <i x="3767" s="1" nd="1"/>
        <i x="49" s="1" nd="1"/>
        <i x="1747" s="1" nd="1"/>
        <i x="2759" s="1" nd="1"/>
        <i x="4155" s="1" nd="1"/>
        <i x="1087" s="1" nd="1"/>
        <i x="3699" s="1" nd="1"/>
        <i x="241" s="1" nd="1"/>
        <i x="3465" s="1" nd="1"/>
        <i x="4265" s="1" nd="1"/>
        <i x="358" s="1" nd="1"/>
        <i x="723" s="1" nd="1"/>
        <i x="4182" s="1" nd="1"/>
        <i x="2548" s="1" nd="1"/>
        <i x="1613" s="1" nd="1"/>
        <i x="1350" s="1" nd="1"/>
        <i x="1737" s="1" nd="1"/>
        <i x="2606" s="1" nd="1"/>
        <i x="428" s="1" nd="1"/>
        <i x="2080" s="1" nd="1"/>
        <i x="1821" s="1" nd="1"/>
        <i x="295" s="1" nd="1"/>
        <i x="2975" s="1" nd="1"/>
        <i x="1142" s="1" nd="1"/>
        <i x="2881" s="1" nd="1"/>
        <i x="3444" s="1" nd="1"/>
        <i x="660" s="1" nd="1"/>
        <i x="4236" s="1" nd="1"/>
        <i x="4238" s="1" nd="1"/>
        <i x="4314" s="1" nd="1"/>
        <i x="1837" s="1" nd="1"/>
        <i x="1239" s="1" nd="1"/>
        <i x="294" s="1" nd="1"/>
        <i x="2597" s="1" nd="1"/>
        <i x="1309" s="1" nd="1"/>
        <i x="1410" s="1" nd="1"/>
        <i x="1670" s="1" nd="1"/>
        <i x="3480" s="1" nd="1"/>
        <i x="4115" s="1" nd="1"/>
        <i x="1661" s="1" nd="1"/>
        <i x="2315" s="1" nd="1"/>
        <i x="594" s="1" nd="1"/>
        <i x="1212" s="1" nd="1"/>
        <i x="2923" s="1" nd="1"/>
        <i x="4376" s="1" nd="1"/>
        <i x="2661" s="1" nd="1"/>
        <i x="2360" s="1" nd="1"/>
        <i x="3897" s="1" nd="1"/>
        <i x="3768" s="1" nd="1"/>
        <i x="66" s="1" nd="1"/>
        <i x="1487" s="1" nd="1"/>
        <i x="4275" s="1" nd="1"/>
        <i x="4167" s="1" nd="1"/>
        <i x="1618" s="1" nd="1"/>
        <i x="1070" s="1" nd="1"/>
        <i x="2924" s="1" nd="1"/>
        <i x="1093" s="1" nd="1"/>
        <i x="604" s="1" nd="1"/>
        <i x="4292" s="1" nd="1"/>
        <i x="3829" s="1" nd="1"/>
        <i x="1574" s="1" nd="1"/>
        <i x="2821" s="1" nd="1"/>
        <i x="3565" s="1" nd="1"/>
        <i x="4239" s="1" nd="1"/>
        <i x="2714" s="1" nd="1"/>
        <i x="1552" s="1" nd="1"/>
        <i x="1412" s="1" nd="1"/>
        <i x="996" s="1" nd="1"/>
        <i x="148" s="1" nd="1"/>
        <i x="3074" s="1" nd="1"/>
        <i x="4227" s="1" nd="1"/>
        <i x="3162" s="1" nd="1"/>
        <i x="2991" s="1" nd="1"/>
        <i x="4312" s="1" nd="1"/>
        <i x="2997" s="1" nd="1"/>
        <i x="2775" s="1" nd="1"/>
        <i x="324" s="1" nd="1"/>
        <i x="4063" s="1" nd="1"/>
        <i x="1434" s="1" nd="1"/>
        <i x="2175" s="1" nd="1"/>
        <i x="63" s="1" nd="1"/>
        <i x="1610" s="1" nd="1"/>
        <i x="4280" s="1" nd="1"/>
        <i x="4172" s="1" nd="1"/>
        <i x="762" s="1" nd="1"/>
        <i x="3068" s="1" nd="1"/>
        <i x="374" s="1" nd="1"/>
        <i x="1077" s="1" nd="1"/>
        <i x="1374" s="1" nd="1"/>
        <i x="4361" s="1" nd="1"/>
        <i x="1567" s="1" nd="1"/>
        <i x="3551" s="1" nd="1"/>
        <i x="145" s="1" nd="1"/>
        <i x="1369" s="1" nd="1"/>
        <i x="2258" s="1" nd="1"/>
        <i x="2453" s="1" nd="1"/>
        <i x="3895" s="1" nd="1"/>
        <i x="1297" s="1" nd="1"/>
        <i x="102" s="1" nd="1"/>
        <i x="4334" s="1" nd="1"/>
        <i x="2275" s="1" nd="1"/>
        <i x="2755" s="1" nd="1"/>
        <i x="3069" s="1" nd="1"/>
        <i x="3132" s="1" nd="1"/>
        <i x="3704" s="1" nd="1"/>
        <i x="3540" s="1" nd="1"/>
        <i x="1437" s="1" nd="1"/>
        <i x="2905" s="1" nd="1"/>
        <i x="1316" s="1" nd="1"/>
        <i x="199" s="1" nd="1"/>
        <i x="4422" s="1" nd="1"/>
        <i x="2887" s="1" nd="1"/>
        <i x="3135" s="1" nd="1"/>
        <i x="3175" s="1" nd="1"/>
        <i x="2925" s="1" nd="1"/>
        <i x="4328" s="1" nd="1"/>
        <i x="3036" s="1" nd="1"/>
        <i x="3000" s="1" nd="1"/>
        <i x="4269" s="1" nd="1"/>
        <i x="3184" s="1" nd="1"/>
        <i x="1765" s="1" nd="1"/>
        <i x="1516" s="1" nd="1"/>
        <i x="3126" s="1" nd="1"/>
        <i x="1560" s="1" nd="1"/>
        <i x="250" s="1" nd="1"/>
        <i x="844" s="1" nd="1"/>
        <i x="2482" s="1" nd="1"/>
        <i x="4168" s="1" nd="1"/>
        <i x="2950" s="1" nd="1"/>
        <i x="4173" s="1" nd="1"/>
        <i x="2953" s="1" nd="1"/>
        <i x="1800" s="1" nd="1"/>
        <i x="1919" s="1" nd="1"/>
        <i x="3957" s="1" nd="1"/>
        <i x="2143" s="1" nd="1"/>
        <i x="4201" s="1" nd="1"/>
        <i x="3531" s="1" nd="1"/>
        <i x="1885" s="1" nd="1"/>
        <i x="1706" s="1" nd="1"/>
        <i x="2981" s="1" nd="1"/>
        <i x="1384" s="1" nd="1"/>
        <i x="2133" s="1" nd="1"/>
        <i x="819" s="1" nd="1"/>
        <i x="319" s="1" nd="1"/>
        <i x="1806" s="1" nd="1"/>
        <i x="446" s="1" nd="1"/>
        <i x="1302" s="1" nd="1"/>
        <i x="3011" s="1" nd="1"/>
        <i x="3030" s="1" nd="1"/>
        <i x="2682" s="1" nd="1"/>
        <i x="51" s="1" nd="1"/>
        <i x="1851" s="1" nd="1"/>
        <i x="2130" s="1" nd="1"/>
        <i x="106" s="1" nd="1"/>
        <i x="134" s="1" nd="1"/>
        <i x="4007" s="1" nd="1"/>
        <i x="1987" s="1" nd="1"/>
        <i x="81" s="1" nd="1"/>
        <i x="1687" s="1" nd="1"/>
        <i x="1553" s="1" nd="1"/>
        <i x="376" s="1" nd="1"/>
        <i x="959" s="1" nd="1"/>
        <i x="909" s="1" nd="1"/>
        <i x="2188" s="1" nd="1"/>
        <i x="3090" s="1" nd="1"/>
        <i x="1200" s="1" nd="1"/>
        <i x="2069" s="1" nd="1"/>
        <i x="1907" s="1" nd="1"/>
        <i x="2420" s="1" nd="1"/>
        <i x="2979" s="1" nd="1"/>
        <i x="166" s="1" nd="1"/>
        <i x="1634" s="1" nd="1"/>
        <i x="955" s="1" nd="1"/>
        <i x="4416" s="1" nd="1"/>
        <i x="967" s="1" nd="1"/>
        <i x="1486" s="1" nd="1"/>
        <i x="3383" s="1" nd="1"/>
        <i x="2846" s="1" nd="1"/>
        <i x="4069" s="1" nd="1"/>
        <i x="2002" s="1" nd="1"/>
        <i x="3154" s="1" nd="1"/>
        <i x="47" s="1" nd="1"/>
        <i x="1957" s="1" nd="1"/>
        <i x="977" s="1" nd="1"/>
        <i x="950" s="1" nd="1"/>
        <i x="1543" s="1" nd="1"/>
        <i x="218" s="1" nd="1"/>
        <i x="3574" s="1" nd="1"/>
        <i x="2933" s="1" nd="1"/>
        <i x="1825" s="1" nd="1"/>
        <i x="347" s="1" nd="1"/>
        <i x="3452" s="1" nd="1"/>
        <i x="490" s="1" nd="1"/>
        <i x="2306" s="1" nd="1"/>
        <i x="156" s="1" nd="1"/>
        <i x="2442" s="1" nd="1"/>
        <i x="618" s="1" nd="1"/>
        <i x="1551" s="1" nd="1"/>
        <i x="579" s="1" nd="1"/>
        <i x="4124" s="1" nd="1"/>
        <i x="935" s="1" nd="1"/>
        <i x="1034" s="1" nd="1"/>
        <i x="338" s="1" nd="1"/>
        <i x="3626" s="1" nd="1"/>
        <i x="1040" s="1" nd="1"/>
        <i x="553" s="1" nd="1"/>
        <i x="2968" s="1" nd="1"/>
        <i x="3886" s="1" nd="1"/>
        <i x="208" s="1" nd="1"/>
        <i x="2382" s="1" nd="1"/>
        <i x="1221" s="1" nd="1"/>
        <i x="2350" s="1" nd="1"/>
        <i x="1097" s="1" nd="1"/>
        <i x="42" s="1" nd="1"/>
        <i x="3693" s="1" nd="1"/>
        <i x="3947" s="1" nd="1"/>
        <i x="3649" s="1" nd="1"/>
        <i x="2930" s="1" nd="1"/>
        <i x="340" s="1" nd="1"/>
        <i x="2325" s="1" nd="1"/>
        <i x="2559" s="1" nd="1"/>
        <i x="3576" s="1" nd="1"/>
        <i x="2126" s="1" nd="1"/>
        <i x="1877" s="1" nd="1"/>
        <i x="217" s="1" nd="1"/>
        <i x="2707" s="1" nd="1"/>
        <i x="1545" s="1" nd="1"/>
        <i x="645" s="1" nd="1"/>
        <i x="2287" s="1" nd="1"/>
        <i x="2398" s="1" nd="1"/>
        <i x="1482" s="1" nd="1"/>
        <i x="2735" s="1" nd="1"/>
        <i x="1994" s="1" nd="1"/>
        <i x="2472" s="1" nd="1"/>
        <i x="3508" s="1" nd="1"/>
        <i x="3703" s="1" nd="1"/>
        <i x="442" s="1" nd="1"/>
        <i x="3486" s="1" nd="1"/>
        <i x="605" s="1" nd="1"/>
        <i x="3917" s="1" nd="1"/>
        <i x="3656" s="1" nd="1"/>
        <i x="3795" s="1" nd="1"/>
        <i x="2677" s="1" nd="1"/>
        <i x="546" s="1" nd="1"/>
        <i x="2216" s="1" nd="1"/>
        <i x="4357" s="1" nd="1"/>
        <i x="1798" s="1" nd="1"/>
        <i x="487" s="1" nd="1"/>
        <i x="3472" s="1" nd="1"/>
        <i x="2440" s="1" nd="1"/>
        <i x="4189" s="1" nd="1"/>
        <i x="288" s="1" nd="1"/>
        <i x="3750" s="1" nd="1"/>
        <i x="773" s="1" nd="1"/>
        <i x="3121" s="1" nd="1"/>
        <i x="3970" s="1" nd="1"/>
        <i x="101" s="1" nd="1"/>
        <i x="3542" s="1" nd="1"/>
        <i x="2279" s="1" nd="1"/>
        <i x="1095" s="1" nd="1"/>
        <i x="654" s="1" nd="1"/>
        <i x="3427" s="1" nd="1"/>
        <i x="1083" s="1" nd="1"/>
        <i x="984" s="1" nd="1"/>
        <i x="262" s="1" nd="1"/>
        <i x="3751" s="1" nd="1"/>
        <i x="1986" s="1" nd="1"/>
        <i x="2751" s="1" nd="1"/>
        <i x="3772" s="1" nd="1"/>
        <i x="670" s="1" nd="1"/>
        <i x="3056" s="1" nd="1"/>
        <i x="833" s="1" nd="1"/>
        <i x="4216" s="1" nd="1"/>
        <i x="4031" s="1" nd="1"/>
        <i x="3804" s="1" nd="1"/>
        <i x="542" s="1" nd="1"/>
        <i x="2334" s="1" nd="1"/>
        <i x="1703" s="1" nd="1"/>
        <i x="1950" s="1" nd="1"/>
        <i x="1137" s="1" nd="1"/>
        <i x="2738" s="1" nd="1"/>
        <i x="708" s="1" nd="1"/>
        <i x="756" s="1" nd="1"/>
        <i x="3816" s="1" nd="1"/>
        <i x="3775" s="1" nd="1"/>
        <i x="3186" s="1" nd="1"/>
        <i x="2986" s="1" nd="1"/>
        <i x="2593" s="1" nd="1"/>
        <i x="877" s="1" nd="1"/>
        <i x="525" s="1" nd="1"/>
        <i x="2027" s="1" nd="1"/>
        <i x="2035" s="1" nd="1"/>
        <i x="1857" s="1" nd="1"/>
        <i x="3005" s="1" nd="1"/>
        <i x="1949" s="1" nd="1"/>
        <i x="4112" s="1" nd="1"/>
        <i x="2041" s="1" nd="1"/>
        <i x="2853" s="1" nd="1"/>
        <i x="4322" s="1" nd="1"/>
        <i x="2394" s="1" nd="1"/>
        <i x="2251" s="1" nd="1"/>
        <i x="3337" s="1" nd="1"/>
        <i x="1207" s="1" nd="1"/>
        <i x="3455" s="1" nd="1"/>
        <i x="2748" s="1" nd="1"/>
        <i x="3497" s="1" nd="1"/>
        <i x="3881" s="1" nd="1"/>
        <i x="1937" s="1" nd="1"/>
        <i x="2656" s="1" nd="1"/>
        <i x="757" s="1" nd="1"/>
        <i x="4133" s="1" nd="1"/>
        <i x="1658" s="1" nd="1"/>
        <i x="3874" s="1" nd="1"/>
        <i x="4100" s="1" nd="1"/>
        <i x="2373" s="1" nd="1"/>
        <i x="2532" s="1" nd="1"/>
        <i x="538" s="1" nd="1"/>
        <i x="2451" s="1" nd="1"/>
        <i x="3384" s="1" nd="1"/>
        <i x="1272" s="1" nd="1"/>
        <i x="335" s="1" nd="1"/>
        <i x="3942" s="1" nd="1"/>
        <i x="3400" s="1" nd="1"/>
        <i x="4367" s="1" nd="1"/>
        <i x="961" s="1" nd="1"/>
        <i x="2712" s="1" nd="1"/>
        <i x="356" s="1" nd="1"/>
        <i x="2025" s="1" nd="1"/>
        <i x="1035" s="1" nd="1"/>
        <i x="281" s="1" nd="1"/>
        <i x="1163" s="1" nd="1"/>
        <i x="59" s="1" nd="1"/>
        <i x="31" s="1" nd="1"/>
        <i x="3311" s="1" nd="1"/>
        <i x="1421" s="1" nd="1"/>
        <i x="1913" s="1" nd="1"/>
        <i x="1647" s="1" nd="1"/>
        <i x="2043" s="1" nd="1"/>
        <i x="1881" s="1" nd="1"/>
        <i x="3995" s="1" nd="1"/>
        <i x="1235" s="1" nd="1"/>
        <i x="1607" s="1" nd="1"/>
        <i x="2781" s="1" nd="1"/>
        <i x="2466" s="1" nd="1"/>
        <i x="3447" s="1" nd="1"/>
        <i x="2094" s="1" nd="1"/>
        <i x="1106" s="1" nd="1"/>
        <i x="1368" s="1" nd="1"/>
        <i x="3762" s="1" nd="1"/>
        <i x="4277" s="1" nd="1"/>
        <i x="326" s="1" nd="1"/>
        <i x="397" s="1" nd="1"/>
        <i x="1496" s="1" nd="1"/>
        <i x="2302" s="1" nd="1"/>
        <i x="3866" s="1" nd="1"/>
        <i x="4066" s="1" nd="1"/>
        <i x="1697" s="1" nd="1"/>
        <i x="1783" s="1" nd="1"/>
        <i x="2831" s="1" nd="1"/>
        <i x="3698" s="1" nd="1"/>
        <i x="1166" s="1" nd="1"/>
        <i x="1731" s="1" nd="1"/>
        <i x="366" s="1" nd="1"/>
        <i x="4330" s="1" nd="1"/>
        <i x="2960" s="1" nd="1"/>
        <i x="157" s="1" nd="1"/>
        <i x="1963" s="1" nd="1"/>
        <i x="2082" s="1" nd="1"/>
        <i x="2611" s="1" nd="1"/>
        <i x="506" s="1" nd="1"/>
        <i x="3500" s="1" nd="1"/>
        <i x="54" s="1" nd="1"/>
        <i x="3488" s="1" nd="1"/>
        <i x="1477" s="1" nd="1"/>
        <i x="767" s="1" nd="1"/>
        <i x="1082" s="1" nd="1"/>
        <i x="4148" s="1" nd="1"/>
        <i x="2884" s="1" nd="1"/>
        <i x="147" s="1" nd="1"/>
        <i x="1234" s="1" nd="1"/>
        <i x="4406" s="1" nd="1"/>
        <i x="258" s="1" nd="1"/>
        <i x="531" s="1" nd="1"/>
        <i x="2679" s="1" nd="1"/>
        <i x="3026" s="1" nd="1"/>
        <i x="1382" s="1" nd="1"/>
        <i x="213" s="1" nd="1"/>
        <i x="1512" s="1" nd="1"/>
        <i x="4093" s="1" nd="1"/>
        <i x="3101" s="1" nd="1"/>
        <i x="3780" s="1" nd="1"/>
        <i x="4061" s="1" nd="1"/>
        <i x="4344" s="1" nd="1"/>
        <i x="1141" s="1" nd="1"/>
        <i x="2016" s="1" nd="1"/>
        <i x="1000" s="1" nd="1"/>
        <i x="45" s="1" nd="1"/>
        <i x="565" s="1" nd="1"/>
        <i x="1796" s="1" nd="1"/>
        <i x="4012" s="1" nd="1"/>
        <i x="1576" s="1" nd="1"/>
        <i x="4059" s="1" nd="1"/>
        <i x="3482" s="1" nd="1"/>
        <i x="548" s="1" nd="1"/>
        <i x="4246" s="1" nd="1"/>
        <i x="3077" s="1" nd="1"/>
        <i x="3258" s="1" nd="1"/>
        <i x="1069" s="1" nd="1"/>
        <i x="3831" s="1" nd="1"/>
        <i x="2208" s="1" nd="1"/>
        <i x="3422" s="1" nd="1"/>
        <i x="4404" s="1" nd="1"/>
        <i x="3682" s="1" nd="1"/>
        <i x="39" s="1" nd="1"/>
        <i x="527" s="1" nd="1"/>
        <i x="3012" s="1" nd="1"/>
        <i x="3256" s="1" nd="1"/>
        <i x="3807" s="1" nd="1"/>
        <i x="3343" s="1" nd="1"/>
        <i x="4359" s="1" nd="1"/>
        <i x="2557" s="1" nd="1"/>
        <i x="2262" s="1" nd="1"/>
        <i x="2864" s="1" nd="1"/>
        <i x="1196" s="1" nd="1"/>
        <i x="3125" s="1" nd="1"/>
        <i x="2999" s="1" nd="1"/>
        <i x="4395" s="1" nd="1"/>
        <i x="190" s="1" nd="1"/>
        <i x="27" s="1" nd="1"/>
        <i x="2338" s="1" nd="1"/>
        <i x="1694" s="1" nd="1"/>
        <i x="1820" s="1" nd="1"/>
        <i x="4119" s="1" nd="1"/>
        <i x="3478" s="1" nd="1"/>
        <i x="143" s="1" nd="1"/>
        <i x="4356" s="1" nd="1"/>
        <i x="511" s="1" nd="1"/>
        <i x="3756" s="1" nd="1"/>
        <i x="1367" s="1" nd="1"/>
        <i x="3215" s="1" nd="1"/>
        <i x="3149" s="1" nd="1"/>
        <i x="713" s="1" nd="1"/>
        <i x="4326" s="1" nd="1"/>
        <i x="2668" s="1" nd="1"/>
        <i x="2455" s="1" nd="1"/>
        <i x="521" s="1" nd="1"/>
        <i x="1643" s="1" nd="1"/>
        <i x="890" s="1" nd="1"/>
        <i x="77" s="1" nd="1"/>
        <i x="1999" s="1" nd="1"/>
        <i x="2680" s="1" nd="1"/>
        <i x="2664" s="1" nd="1"/>
        <i x="4431" s="1" nd="1"/>
        <i x="1683" s="1" nd="1"/>
        <i x="4283" s="1" nd="1"/>
        <i x="341" s="1" nd="1"/>
        <i x="1268" s="1" nd="1"/>
        <i x="2007" s="1" nd="1"/>
        <i x="3134" s="1" nd="1"/>
        <i x="1532" s="1" nd="1"/>
        <i x="273" s="1" nd="1"/>
        <i x="1771" s="1" nd="1"/>
        <i x="1626" s="1" nd="1"/>
        <i x="2297" s="1" nd="1"/>
        <i x="1495" s="1" nd="1"/>
        <i x="2710" s="1" nd="1"/>
        <i x="971" s="1" nd="1"/>
        <i x="282" s="1" nd="1"/>
        <i x="3475" s="1" nd="1"/>
        <i x="69" s="1" nd="1"/>
        <i x="3658" s="1" nd="1"/>
        <i x="1755" s="1" nd="1"/>
        <i x="3269" s="1" nd="1"/>
        <i x="4046" s="1" nd="1"/>
        <i x="3009" s="1" nd="1"/>
        <i x="1595" s="1" nd="1"/>
        <i x="1102" s="1" nd="1"/>
        <i x="1067" s="1" nd="1"/>
        <i x="2792" s="1" nd="1"/>
        <i x="1483" s="1" nd="1"/>
        <i x="336" s="1" nd="1"/>
        <i x="3948" s="1" nd="1"/>
        <i x="2533" s="1" nd="1"/>
        <i x="1475" s="1" nd="1"/>
        <i x="1051" s="1" nd="1"/>
        <i x="3050" s="1" nd="1"/>
        <i x="743" s="1" nd="1"/>
        <i x="3639" s="1" nd="1"/>
        <i x="1282" s="1" nd="1"/>
        <i x="2766" s="1" nd="1"/>
        <i x="1324" s="1" nd="1"/>
        <i x="4360" s="1" nd="1"/>
        <i x="3335" s="1" nd="1"/>
        <i x="3516" s="1" nd="1"/>
        <i x="1654" s="1" nd="1"/>
        <i x="4105" s="1" nd="1"/>
        <i x="3368" s="1" nd="1"/>
        <i x="404" s="1" nd="1"/>
        <i x="678" s="1" nd="1"/>
        <i x="2336" s="1" nd="1"/>
        <i x="3116" s="1" nd="1"/>
        <i x="711" s="1" nd="1"/>
        <i x="1924" s="1" nd="1"/>
        <i x="1012" s="1" nd="1"/>
        <i x="3623" s="1" nd="1"/>
        <i x="277" s="1" nd="1"/>
        <i x="2811" s="1" nd="1"/>
        <i x="1714" s="1" nd="1"/>
        <i x="615" s="1" nd="1"/>
        <i x="473" s="1" nd="1"/>
        <i x="1048" s="1" nd="1"/>
        <i x="3684" s="1" nd="1"/>
        <i x="3727" s="1" nd="1"/>
        <i x="405" s="1" nd="1"/>
        <i x="1982" s="1" nd="1"/>
        <i x="1533" s="1" nd="1"/>
        <i x="768" s="1" nd="1"/>
        <i x="207" s="1" nd="1"/>
        <i x="1379" s="1" nd="1"/>
        <i x="3332" s="1" nd="1"/>
        <i x="865" s="1" nd="1"/>
        <i x="1092" s="1" nd="1"/>
        <i x="2501" s="1" nd="1"/>
        <i x="178" s="1" nd="1"/>
        <i x="2779" s="1" nd="1"/>
        <i x="3052" s="1" nd="1"/>
        <i x="2376" s="1" nd="1"/>
        <i x="4307" s="1" nd="1"/>
        <i x="3745" s="1" nd="1"/>
        <i x="2253" s="1" nd="1"/>
        <i x="2844" s="1" nd="1"/>
        <i x="2223" s="1" nd="1"/>
        <i x="2045" s="1" nd="1"/>
        <i x="3958" s="1" nd="1"/>
        <i x="4200" s="1" nd="1"/>
        <i x="4087" s="1" nd="1"/>
        <i x="831" s="1" nd="1"/>
        <i x="2366" s="1" nd="1"/>
        <i x="2618" s="1" nd="1"/>
        <i x="1010" s="1" nd="1"/>
        <i x="3533" s="1" nd="1"/>
        <i x="684" s="1" nd="1"/>
        <i x="3805" s="1" nd="1"/>
        <i x="1125" s="1" nd="1"/>
        <i x="3123" s="1" nd="1"/>
        <i x="78" s="1" nd="1"/>
        <i x="1044" s="1" nd="1"/>
        <i x="3415" s="1" nd="1"/>
        <i x="3814" s="1" nd="1"/>
        <i x="1161" s="1" nd="1"/>
        <i x="758" s="1" nd="1"/>
        <i x="2108" s="1" nd="1"/>
        <i x="184" s="1" nd="1"/>
        <i x="931" s="1" nd="1"/>
        <i x="1946" s="1" nd="1"/>
        <i x="3592" s="1" nd="1"/>
        <i x="884" s="1" nd="1"/>
        <i x="4355" s="1" nd="1"/>
        <i x="3278" s="1" nd="1"/>
        <i x="3594" s="1" nd="1"/>
        <i x="4432" s="1" nd="1"/>
        <i x="2493" s="1" nd="1"/>
        <i x="2388" s="1" nd="1"/>
        <i x="1478" s="1" nd="1"/>
        <i x="4129" s="1" nd="1"/>
        <i x="65" s="1" nd="1"/>
        <i x="3304" s="1" nd="1"/>
        <i x="4057" s="1" nd="1"/>
        <i x="2266" s="1" nd="1"/>
        <i x="3681" s="1" nd="1"/>
        <i x="1385" s="1" nd="1"/>
        <i x="1263" s="1" nd="1"/>
        <i x="3267" s="1" nd="1"/>
        <i x="953" s="1" nd="1"/>
        <i x="1469" s="1" nd="1"/>
        <i x="3645" s="1" nd="1"/>
        <i x="2137" s="1" nd="1"/>
        <i x="900" s="1" nd="1"/>
        <i x="1774" s="1" nd="1"/>
        <i x="344" s="1" nd="1"/>
        <i x="3875" s="1" nd="1"/>
        <i x="1605" s="1" nd="1"/>
        <i x="1335" s="1" nd="1"/>
        <i x="2560" s="1" nd="1"/>
        <i x="2750" s="1" nd="1"/>
        <i x="2691" s="1" nd="1"/>
        <i x="518" s="1" nd="1"/>
        <i x="3873" s="1" nd="1"/>
        <i x="691" s="1" nd="1"/>
        <i x="451" s="1" nd="1"/>
        <i x="3470" s="1" nd="1"/>
        <i x="797" s="1" nd="1"/>
        <i x="1640" s="1" nd="1"/>
        <i x="2523" s="1" nd="1"/>
        <i x="1784" s="1" nd="1"/>
        <i x="2263" s="1" nd="1"/>
        <i x="4263" s="1" nd="1"/>
        <i x="4178" s="1" nd="1"/>
        <i x="1823" s="1" nd="1"/>
        <i x="301" s="1" nd="1"/>
        <i x="3836" s="1" nd="1"/>
        <i x="1257" s="1" nd="1"/>
        <i x="3291" s="1" nd="1"/>
        <i x="3949" s="1" nd="1"/>
        <i x="2806" s="1" nd="1"/>
        <i x="1085" s="1" nd="1"/>
        <i x="2822" s="1" nd="1"/>
        <i x="3239" s="1" nd="1"/>
        <i x="2249" s="1" nd="1"/>
        <i x="3419" s="1" nd="1"/>
        <i x="1716" s="1" nd="1"/>
        <i x="1179" s="1" nd="1"/>
        <i x="785" s="1" nd="1"/>
        <i x="2075" s="1" nd="1"/>
        <i x="1032" s="1" nd="1"/>
        <i x="4029" s="1" nd="1"/>
        <i x="4017" s="1" nd="1"/>
        <i x="3888" s="1" nd="1"/>
        <i x="1602" s="1" nd="1"/>
        <i x="1746" s="1" nd="1"/>
        <i x="1655" s="1" nd="1"/>
        <i x="1488" s="1" nd="1"/>
        <i x="420" s="1" nd="1"/>
        <i x="808" s="1" nd="1"/>
        <i x="2485" s="1" nd="1"/>
        <i x="2620" s="1" nd="1"/>
        <i x="3320" s="1" nd="1"/>
        <i x="1525" s="1" nd="1"/>
        <i x="293" s="1" nd="1"/>
        <i x="2196" s="1" nd="1"/>
        <i x="1244" s="1" nd="1"/>
        <i x="2120" s="1" nd="1"/>
        <i x="1058" s="1" nd="1"/>
        <i x="2465" s="1" nd="1"/>
        <i x="2090" s="1" nd="1"/>
        <i x="1052" s="1" nd="1"/>
        <i x="3431" s="1" nd="1"/>
        <i x="1935" s="1" nd="1"/>
        <i x="3171" s="1" nd="1"/>
        <i x="3489" s="1" nd="1"/>
        <i x="2609" s="1" nd="1"/>
        <i x="1547" s="1" nd="1"/>
        <i x="694" s="1" nd="1"/>
        <i x="626" s="1" nd="1"/>
        <i x="1497" s="1" nd="1"/>
        <i x="2535" s="1" nd="1"/>
        <i x="843" s="1" nd="1"/>
        <i x="1218" s="1" nd="1"/>
        <i x="2019" s="1" nd="1"/>
        <i x="1869" s="1" nd="1"/>
        <i x="2176" s="1" nd="1"/>
        <i x="682" s="1" nd="1"/>
        <i x="2230" s="1" nd="1"/>
        <i x="1934" s="1" nd="1"/>
        <i x="1776" s="1" nd="1"/>
        <i x="2291" s="1" nd="1"/>
        <i x="507" s="1" nd="1"/>
        <i x="2459" s="1" nd="1"/>
        <i x="4123" s="1" nd="1"/>
        <i x="4171" s="1" nd="1"/>
        <i x="2688" s="1" nd="1"/>
        <i x="3435" s="1" nd="1"/>
        <i x="1254" s="1" nd="1"/>
        <i x="2220" s="1" nd="1"/>
        <i x="3930" s="1" nd="1"/>
        <i x="2399" s="1" nd="1"/>
        <i x="2607" s="1" nd="1"/>
        <i x="4073" s="1" nd="1"/>
        <i x="203" s="1" nd="1"/>
        <i x="2238" s="1" nd="1"/>
        <i x="1278" s="1" nd="1"/>
        <i x="421" s="1" nd="1"/>
        <i x="508" s="1" nd="1"/>
        <i x="3911" s="1" nd="1"/>
        <i x="2476" s="1" nd="1"/>
        <i x="2340" s="1" nd="1"/>
        <i x="2209" s="1" nd="1"/>
        <i x="1076" s="1" nd="1"/>
        <i x="3904" s="1" nd="1"/>
        <i x="3042" s="1" nd="1"/>
        <i x="144" s="1" nd="1"/>
        <i x="4369" s="1" nd="1"/>
        <i x="491" s="1" nd="1"/>
        <i x="4056" s="1" nd="1"/>
        <i x="1169" s="1" nd="1"/>
        <i x="920" s="1" nd="1"/>
        <i x="2270" s="1" nd="1"/>
        <i x="3944" s="1" nd="1"/>
        <i x="3247" s="1" nd="1"/>
        <i x="2757" s="1" nd="1"/>
        <i x="229" s="1" nd="1"/>
        <i x="3549" s="1" nd="1"/>
        <i x="686" s="1" nd="1"/>
        <i x="183" s="1" nd="1"/>
        <i x="1013" s="1" nd="1"/>
        <i x="2145" s="1" nd="1"/>
        <i x="4004" s="1" nd="1"/>
        <i x="4078" s="1" nd="1"/>
        <i x="1827" s="1" nd="1"/>
        <i x="1727" s="1" nd="1"/>
        <i x="2871" s="1" nd="1"/>
        <i x="3394" s="1" nd="1"/>
        <i x="2690" s="1" nd="1"/>
        <i x="590" s="1" nd="1"/>
        <i x="3525" s="1" nd="1"/>
        <i x="2317" s="1" nd="1"/>
        <i x="3010" s="1" nd="1"/>
        <i x="3314" s="1" nd="1"/>
        <i x="3110" s="1" nd="1"/>
        <i x="2793" s="1" nd="1"/>
        <i x="2820" s="1" nd="1"/>
        <i x="4391" s="1" nd="1"/>
        <i x="524" s="1" nd="1"/>
        <i x="67" s="1" nd="1"/>
        <i x="3792" s="1" nd="1"/>
        <i x="111" s="1" nd="1"/>
        <i x="2625" s="1" nd="1"/>
        <i x="3753" s="1" nd="1"/>
        <i x="3176" s="1" nd="1"/>
        <i x="2341" s="1" nd="1"/>
        <i x="2803" s="1" nd="1"/>
        <i x="2572" s="1" nd="1"/>
        <i x="1874" s="1" nd="1"/>
        <i x="3235" s="1" nd="1"/>
        <i x="4038" s="1" nd="1"/>
        <i x="484" s="1" nd="1"/>
        <i x="3673" s="1" nd="1"/>
        <i x="3160" s="1" nd="1"/>
        <i x="2381" s="1" nd="1"/>
        <i x="1530" s="1" nd="1"/>
        <i x="3078" s="1" nd="1"/>
        <i x="4090" s="1" nd="1"/>
        <i x="1126" s="1" nd="1"/>
        <i x="2511" s="1" nd="1"/>
        <i x="2836" s="1" nd="1"/>
        <i x="2601" s="1" nd="1"/>
        <i x="4121" s="1" nd="1"/>
        <i x="4109" s="1" nd="1"/>
        <i x="838" s="1" nd="1"/>
        <i x="1792" s="1" nd="1"/>
        <i x="1911" s="1" nd="1"/>
        <i x="3006" s="1" nd="1"/>
        <i x="4287" s="1" nd="1"/>
        <i x="109" s="1" nd="1"/>
        <i x="3204" s="1" nd="1"/>
        <i x="1922" s="1" nd="1"/>
        <i x="2852" s="1" nd="1"/>
        <i x="3246" s="1" nd="1"/>
        <i x="14" s="1" nd="1"/>
        <i x="2641" s="1" nd="1"/>
        <i x="1563" s="1" nd="1"/>
        <i x="1959" s="1" nd="1"/>
        <i x="3168" s="1" nd="1"/>
        <i x="114" s="1" nd="1"/>
        <i x="3245" s="1" nd="1"/>
        <i x="2061" s="1" nd="1"/>
        <i x="2874" s="1" nd="1"/>
        <i x="1356" s="1" nd="1"/>
        <i x="3473" s="1" nd="1"/>
        <i x="3602" s="1" nd="1"/>
        <i x="940" s="1" nd="1"/>
        <i x="1627" s="1" nd="1"/>
        <i x="1455" s="1" nd="1"/>
        <i x="1528" s="1" nd="1"/>
        <i x="3039" s="1" nd="1"/>
        <i x="3555" s="1" nd="1"/>
        <i x="2725" s="1" nd="1"/>
        <i x="460" s="1" nd="1"/>
        <i x="3255" s="1" nd="1"/>
        <i x="121" s="1" nd="1"/>
        <i x="2444" s="1" nd="1"/>
        <i x="962" s="1" nd="1"/>
        <i x="1441" s="1" nd="1"/>
        <i x="3409" s="1" nd="1"/>
        <i x="1854" s="1" nd="1"/>
        <i x="2551" s="1" nd="1"/>
        <i x="1165" s="1" nd="1"/>
        <i x="2938" s="1" nd="1"/>
        <i x="1265" s="1" nd="1"/>
        <i x="160" s="1" nd="1"/>
        <i x="624" s="1" nd="1"/>
        <i x="492" s="1" nd="1"/>
        <i x="2920" s="1" nd="1"/>
        <i x="3446" s="1" nd="1"/>
        <i x="1591" s="1" nd="1"/>
        <i x="41" s="1" nd="1"/>
        <i x="943" s="1" nd="1"/>
        <i x="1523" s="1" nd="1"/>
        <i x="839" s="1" nd="1"/>
        <i x="3330" s="1" nd="1"/>
        <i x="2799" s="1" nd="1"/>
        <i x="2708" s="1" nd="1"/>
        <i x="2623" s="1" nd="1"/>
        <i x="1078" s="1" nd="1"/>
        <i x="2131" s="1" nd="1"/>
        <i x="268" s="1" nd="1"/>
        <i x="824" s="1" nd="1"/>
        <i x="1030" s="1" nd="1"/>
        <i x="2554" s="1" nd="1"/>
        <i x="2946" s="1" nd="1"/>
        <i x="385" s="1" nd="1"/>
        <i x="419" s="1" nd="1"/>
        <i x="2227" s="1" nd="1"/>
        <i x="4220" s="1" nd="1"/>
        <i x="3778" s="1" nd="1"/>
        <i x="744" s="1" nd="1"/>
        <i x="1111" s="1" nd="1"/>
        <i x="4346" s="1" nd="1"/>
        <i x="1570" s="1" nd="1"/>
        <i x="3049" s="1" nd="1"/>
        <i x="1917" s="1" nd="1"/>
        <i x="1321" s="1" nd="1"/>
        <i x="4321" s="1" nd="1"/>
        <i x="1460" s="1" nd="1"/>
        <i x="1205" s="1" nd="1"/>
        <i x="2839" s="1" nd="1"/>
        <i x="697" s="1" nd="1"/>
        <i x="3719" s="1" nd="1"/>
        <i x="79" s="1" nd="1"/>
        <i x="2205" s="1" nd="1"/>
        <i x="1972" s="1" nd="1"/>
        <i x="3403" s="1" nd="1"/>
        <i x="4184" s="1" nd="1"/>
        <i x="4" s="1" nd="1"/>
        <i x="1904" s="1" nd="1"/>
        <i x="649" s="1" nd="1"/>
        <i x="4306" s="1" nd="1"/>
        <i x="2162" s="1" nd="1"/>
        <i x="2791" s="1" nd="1"/>
        <i x="1616" s="1" nd="1"/>
        <i x="3652" s="1" nd="1"/>
        <i x="470" s="1" nd="1"/>
        <i x="3853" s="1" nd="1"/>
        <i x="4284" s="1" nd="1"/>
        <i x="1550" s="1" nd="1"/>
        <i x="3680" s="1" nd="1"/>
        <i x="3071" s="1" nd="1"/>
        <i x="3345" s="1" nd="1"/>
        <i x="3711" s="1" nd="1"/>
        <i x="2110" s="1" nd="1"/>
        <i x="803" s="1" nd="1"/>
        <i x="2928" s="1" nd="1"/>
        <i x="4113" s="1" nd="1"/>
        <i x="769" s="1" nd="1"/>
        <i x="1079" s="1" nd="1"/>
        <i x="1157" s="1" nd="1"/>
        <i x="151" s="1" nd="1"/>
        <i x="24" s="1" nd="1"/>
        <i x="274" s="1" nd="1"/>
        <i x="4385" s="1" nd="1"/>
        <i x="4054" s="1" nd="1"/>
        <i x="1893" s="1" nd="1"/>
        <i x="2845" s="1" nd="1"/>
        <i x="1400" s="1" nd="1"/>
        <i x="4030" s="1" nd="1"/>
        <i x="3351" s="1" nd="1"/>
        <i x="2278" s="1" nd="1"/>
        <i x="191" s="1" nd="1"/>
        <i x="2761" s="1" nd="1"/>
        <i x="170" s="1" nd="1"/>
        <i x="4348" s="1" nd="1"/>
        <i x="2936" s="1" nd="1"/>
        <i x="848" s="1" nd="1"/>
        <i x="2687" s="1" nd="1"/>
        <i x="3755" s="1" nd="1"/>
        <i x="1214" s="1" nd="1"/>
        <i x="2678" s="1" nd="1"/>
        <i x="57" s="1" nd="1"/>
        <i x="3143" s="1" nd="1"/>
        <i x="692" s="1" nd="1"/>
        <i x="3669" s="1" nd="1"/>
        <i x="1781" s="1" nd="1"/>
        <i x="2545" s="1" nd="1"/>
        <i x="2231" s="1" nd="1"/>
        <i x="2746" s="1" nd="1"/>
        <i x="1453" s="1" nd="1"/>
        <i x="3647" s="1" nd="1"/>
        <i x="2068" s="1" nd="1"/>
        <i x="745" s="1" nd="1"/>
        <i x="1510" s="1" nd="1"/>
        <i x="68" s="1" nd="1"/>
        <i x="4413" s="1" nd="1"/>
        <i x="4040" s="1" nd="1"/>
        <i x="2638" s="1" nd="1"/>
        <i x="306" s="1" nd="1"/>
        <i x="2649" s="1" nd="1"/>
        <i x="4427" s="1" nd="1"/>
        <i x="482" s="1" nd="1"/>
        <i x="2907" s="1" nd="1"/>
        <i x="2260" s="1" nd="1"/>
        <i x="1264" s="1" nd="1"/>
        <i x="3759" s="1" nd="1"/>
        <i x="2345" s="1" nd="1"/>
        <i x="4252" s="1" nd="1"/>
        <i x="1748" s="1" nd="1"/>
        <i x="3189" s="1" nd="1"/>
        <i x="2741" s="1" nd="1"/>
        <i x="2568" s="1" nd="1"/>
        <i x="1150" s="1" nd="1"/>
        <i x="2189" s="1" nd="1"/>
        <i x="2546" s="1" nd="1"/>
        <i x="1511" s="1" nd="1"/>
        <i x="4341" s="1" nd="1"/>
        <i x="3429" s="1" nd="1"/>
        <i x="4410" s="1" nd="1"/>
        <i x="4237" s="1" nd="1"/>
        <i x="1756" s="1" nd="1"/>
        <i x="3695" s="1" nd="1"/>
        <i x="3869" s="1" nd="1"/>
        <i x="3208" s="1" nd="1"/>
        <i x="622" s="1" nd="1"/>
        <i x="849" s="1" nd="1"/>
        <i x="2605" s="1" nd="1"/>
        <i x="3956" s="1" nd="1"/>
        <i x="2919" s="1" nd="1"/>
        <i x="1535" s="1" nd="1"/>
        <i x="1300" s="1" nd="1"/>
        <i x="122" s="1" nd="1"/>
        <i x="361" s="1" nd="1"/>
        <i x="898" s="1" nd="1"/>
        <i x="1745" s="1" nd="1"/>
        <i x="1722" s="1" nd="1"/>
        <i x="284" s="1" nd="1"/>
        <i x="2894" s="1" nd="1"/>
        <i x="50" s="1" nd="1"/>
        <i x="4308" s="1" nd="1"/>
        <i x="4423" s="1" nd="1"/>
        <i x="230" s="1" nd="1"/>
        <i x="2980" s="1" nd="1"/>
        <i x="2406" s="1" nd="1"/>
        <i x="2833" s="1" nd="1"/>
        <i x="1187" s="1" nd="1"/>
        <i x="4257" s="1" nd="1"/>
        <i x="296" s="1" nd="1"/>
        <i x="1824" s="1" nd="1"/>
        <i x="3346" s="1" nd="1"/>
        <i x="663" s="1" nd="1"/>
        <i x="3802" s="1" nd="1"/>
        <i x="1789" s="1" nd="1"/>
        <i x="3781" s="1" nd="1"/>
        <i x="1227" s="1" nd="1"/>
        <i x="825" s="1" nd="1"/>
        <i x="1507" s="1" nd="1"/>
        <i x="584" s="1" nd="1"/>
        <i x="2784" s="1" nd="1"/>
        <i x="1953" s="1" nd="1"/>
        <i x="3902" s="1" nd="1"/>
        <i x="1479" s="1" nd="1"/>
        <i x="3779" s="1" nd="1"/>
        <i x="3283" s="1" nd="1"/>
        <i x="2903" s="1" nd="1"/>
        <i x="423" s="1" nd="1"/>
        <i x="233" s="1" nd="1"/>
        <i x="443" s="1" nd="1"/>
        <i x="3629" s="1" nd="1"/>
        <i x="545" s="1" nd="1"/>
        <i x="3960" s="1" nd="1"/>
        <i x="990" s="1" nd="1"/>
        <i x="2629" s="1" nd="1"/>
        <i x="3705" s="1" nd="1"/>
        <i x="2103" s="1" nd="1"/>
        <i x="352" s="1" nd="1"/>
        <i x="4290" s="1" nd="1"/>
        <i x="2655" s="1" nd="1"/>
        <i x="4192" s="1" nd="1"/>
        <i x="635" s="1" nd="1"/>
        <i x="870" s="1" nd="1"/>
        <i x="2344" s="1" nd="1"/>
        <i x="3584" s="1" nd="1"/>
        <i x="700" s="1" nd="1"/>
        <i x="3318" s="1" nd="1"/>
        <i x="4140" s="1" nd="1"/>
        <i x="2966" s="1" nd="1"/>
        <i x="2206" s="1" nd="1"/>
        <i x="3333" s="1" nd="1"/>
        <i x="1289" s="1" nd="1"/>
        <i x="905" s="1" nd="1"/>
        <i x="1393" s="1" nd="1"/>
        <i x="3361" s="1" nd="1"/>
        <i x="1988" s="1" nd="1"/>
        <i x="656" s="1" nd="1"/>
        <i x="155" s="1" nd="1"/>
        <i x="3298" s="1" nd="1"/>
        <i x="4008" s="1" nd="1"/>
        <i x="3392" s="1" nd="1"/>
        <i x="3959" s="1" nd="1"/>
        <i x="632" s="1" nd="1"/>
        <i x="4055" s="1" nd="1"/>
        <i x="3355" s="1" nd="1"/>
        <i x="4337" s="1" nd="1"/>
        <i x="911" s="1" nd="1"/>
        <i x="2743" s="1" nd="1"/>
        <i x="3953" s="1" nd="1"/>
        <i x="1043" s="1" nd="1"/>
        <i x="2631" s="1" nd="1"/>
        <i x="3458" s="1" nd="1"/>
        <i x="4072" s="1" nd="1"/>
        <i x="149" s="1" nd="1"/>
        <i x="676" s="1" nd="1"/>
        <i x="4024" s="1" nd="1"/>
        <i x="1596" s="1" nd="1"/>
        <i x="433" s="1" nd="1"/>
        <i x="1107" s="1" nd="1"/>
        <i x="1598" s="1" nd="1"/>
        <i x="1918" s="1" nd="1"/>
        <i x="4255" s="1" nd="1"/>
        <i x="2383" s="1" nd="1"/>
        <i x="495" s="1" nd="1"/>
        <i x="3643" s="1" nd="1"/>
        <i x="1426" s="1" nd="1"/>
        <i x="3963" s="1" nd="1"/>
        <i x="2941" s="1" nd="1"/>
        <i x="1580" s="1" nd="1"/>
        <i x="3559" s="1" nd="1"/>
        <i x="861" s="1" nd="1"/>
        <i x="4381" s="1" nd="1"/>
        <i x="980" s="1" nd="1"/>
        <i x="1370" s="1" nd="1"/>
        <i x="3824" s="1" nd="1"/>
        <i x="1033" s="1" nd="1"/>
        <i x="4196" s="1" nd="1"/>
        <i x="1984" s="1" nd="1"/>
        <i x="406" s="1" nd="1"/>
        <i x="2308" s="1" nd="1"/>
        <i x="3240" s="1" nd="1"/>
        <i x="3438" s="1" nd="1"/>
        <i x="3022" s="1" nd="1"/>
        <i x="2085" s="1" nd="1"/>
        <i x="3165" s="1" nd="1"/>
        <i x="2816" s="1" nd="1"/>
        <i x="2989" s="1" nd="1"/>
        <i x="3041" s="1" nd="1"/>
        <i x="3450" s="1" nd="1"/>
        <i x="2232" s="1" nd="1"/>
        <i x="956" s="1" nd="1"/>
        <i x="321" s="1" nd="1"/>
        <i x="4039" s="1" nd="1"/>
        <i x="1650" s="1" nd="1"/>
        <i x="1932" s="1" nd="1"/>
        <i x="2621" s="1" nd="1"/>
        <i x="503" s="1" nd="1"/>
        <i x="2168" s="1" nd="1"/>
        <i x="3342" s="1" nd="1"/>
        <i x="1921" s="1" nd="1"/>
        <i x="2277" s="1" nd="1"/>
        <i x="2760" s="1" nd="1"/>
        <i x="18" s="1" nd="1"/>
        <i x="775" s="1" nd="1"/>
        <i x="3720" s="1" nd="1"/>
        <i x="2066" s="1" nd="1"/>
        <i x="2352" s="1" nd="1"/>
        <i x="3106" s="1" nd="1"/>
        <i x="1399" s="1" nd="1"/>
        <i x="644" s="1" nd="1"/>
        <i x="2594" s="1" nd="1"/>
        <i x="2017" s="1" nd="1"/>
        <i x="2327" s="1" nd="1"/>
        <i x="1413" s="1" nd="1"/>
        <i x="173" s="1" nd="1"/>
        <i x="1236" s="1" nd="1"/>
        <i x="805" s="1" nd="1"/>
        <i x="4207" s="1" nd="1"/>
        <i x="1887" s="1" nd="1"/>
        <i x="3973" s="1" nd="1"/>
        <i x="2944" s="1" nd="1"/>
        <i x="1704" s="1" nd="1"/>
        <i x="555" s="1" nd="1"/>
        <i x="1290" s="1" nd="1"/>
        <i x="3512" s="1" nd="1"/>
        <i x="1342" s="1" nd="1"/>
        <i x="2869" s="1" nd="1"/>
        <i x="972" s="1" nd="1"/>
        <i x="2640" s="1" nd="1"/>
        <i x="1147" s="1" nd="1"/>
        <i x="249" s="1" nd="1"/>
        <i x="2316" s="1" nd="1"/>
        <i x="2004" s="1" nd="1"/>
        <i x="1897" s="1" nd="1"/>
        <i x="3520" s="1" nd="1"/>
        <i x="580" s="1" nd="1"/>
        <i x="128" s="1" nd="1"/>
        <i x="1715" s="1" nd="1"/>
        <i x="965" s="1" nd="1"/>
        <i x="776" s="1" nd="1"/>
        <i x="576" s="1" nd="1"/>
        <i x="359" s="1" nd="1"/>
        <i x="3706" s="1" nd="1"/>
        <i x="4388" s="1" nd="1"/>
        <i x="1293" s="1" nd="1"/>
        <i x="3225" s="1" nd="1"/>
        <i x="2495" s="1" nd="1"/>
        <i x="2993" s="1" nd="1"/>
        <i x="4185" s="1" nd="1"/>
        <i x="488" s="1" nd="1"/>
        <i x="3789" s="1" nd="1"/>
        <i x="2095" s="1" nd="1"/>
        <i x="1364" s="1" nd="1"/>
        <i x="1996" s="1" nd="1"/>
        <i x="1346" s="1" nd="1"/>
        <i x="607" s="1" nd="1"/>
        <i x="224" s="1" nd="1"/>
        <i x="2093" s="1" nd="1"/>
        <i x="1498" s="1" nd="1"/>
        <i x="1942" s="1" nd="1"/>
        <i x="1539" s="1" nd="1"/>
        <i x="869" s="1" nd="1"/>
        <i x="1973" s="1" nd="1"/>
        <i x="1734" s="1" nd="1"/>
        <i x="3441" s="1" nd="1"/>
        <i x="1671" s="1" nd="1"/>
        <i x="239" s="1" nd="1"/>
        <i x="500" s="1" nd="1"/>
        <i x="1383" s="1" nd="1"/>
        <i x="4086" s="1" nd="1"/>
        <i x="3232" s="1" nd="1"/>
        <i x="4335" s="1" nd="1"/>
        <i x="448" s="1" nd="1"/>
        <i x="2337" s="1" nd="1"/>
        <i x="1915" s="1" nd="1"/>
        <i x="1695" s="1" nd="1"/>
        <i x="1556" s="1" nd="1"/>
        <i x="2561" s="1" nd="1"/>
        <i x="3440" s="1" nd="1"/>
        <i x="2671" s="1" nd="1"/>
        <i x="4270" s="1" nd="1"/>
        <i x="2502" s="1" nd="1"/>
        <i x="655" s="1" nd="1"/>
        <i x="1788" s="1" nd="1"/>
        <i x="1673" s="1" nd="1"/>
        <i x="2858" s="1" nd="1"/>
        <i x="3850" s="1" nd="1"/>
        <i x="1192" s="1" nd="1"/>
        <i x="2657" s="1" nd="1"/>
        <i x="1845" s="1" nd="1"/>
        <i x="40" s="1" nd="1"/>
        <i x="667" s="1" nd="1"/>
        <i x="3860" s="1" nd="1"/>
        <i x="483" s="1" nd="1"/>
        <i x="2202" s="1" nd="1"/>
        <i x="4373" s="1" nd="1"/>
        <i x="968" s="1" nd="1"/>
        <i x="3242" s="1" nd="1"/>
        <i x="3709" s="1" nd="1"/>
        <i x="3378" s="1" nd="1"/>
        <i x="3293" s="1" nd="1"/>
        <i x="683" s="1" nd="1"/>
        <i x="1614" s="1" nd="1"/>
        <i x="2267" s="1" nd="1"/>
        <i x="2104" s="1" nd="1"/>
        <i x="3912" s="1" nd="1"/>
        <i x="3961" s="1" nd="1"/>
        <i x="3688" s="1" nd="1"/>
        <i x="938" s="1" nd="1"/>
        <i x="187" s="1" nd="1"/>
        <i x="318" s="1" nd="1"/>
        <i x="4368" s="1" nd="1"/>
        <i x="316" s="1" nd="1"/>
        <i x="3865" s="1" nd="1"/>
        <i x="4150" s="1" nd="1"/>
        <i x="2190" s="1" nd="1"/>
        <i x="162" s="1" nd="1"/>
        <i x="2037" s="1" nd="1"/>
        <i x="1985" s="1" nd="1"/>
        <i x="3107" s="1" nd="1"/>
        <i x="3028" s="1" nd="1"/>
        <i x="2036" s="1" nd="1"/>
        <i x="4032" s="1" nd="1"/>
        <i x="90" s="1" nd="1"/>
        <i x="1360" s="1" nd="1"/>
        <i x="1323" s="1" nd="1"/>
        <i x="2441" s="1" nd="1"/>
        <i x="816" s="1" nd="1"/>
        <i x="2449" s="1" nd="1"/>
        <i x="4210" s="1" nd="1"/>
        <i x="2590" s="1" nd="1"/>
        <i x="1604" s="1" nd="1"/>
        <i x="3769" s="1" nd="1"/>
        <i x="1391" s="1" nd="1"/>
        <i x="231" s="1" nd="1"/>
        <i x="3935" s="1" nd="1"/>
        <i x="480" s="1" nd="1"/>
        <i x="1968" s="1" nd="1"/>
        <i x="222" s="1" nd="1"/>
        <i x="3312" s="1" nd="1"/>
        <i x="25" s="1" nd="1"/>
        <i x="3017" s="1" nd="1"/>
        <i x="2829" s="1" nd="1"/>
        <i x="3521" s="1" nd="1"/>
        <i x="2705" s="1" nd="1"/>
        <i x="3674" s="1" nd="1"/>
        <i x="1641" s="1" nd="1"/>
        <i x="3099" s="1" nd="1"/>
        <i x="1026" s="1" nd="1"/>
        <i x="2099" s="1" nd="1"/>
        <i x="2885" s="1" nd="1"/>
        <i x="2309" s="1" nd="1"/>
        <i x="1004" s="1" nd="1"/>
        <i x="2703" s="1" nd="1"/>
        <i x="472" s="1" nd="1"/>
        <i x="4331" s="1" nd="1"/>
        <i x="2415" s="1" nd="1"/>
        <i x="2044" s="1" nd="1"/>
        <i x="2645" s="1" nd="1"/>
        <i x="4217" s="1" nd="1"/>
        <i x="2896" s="1" nd="1"/>
        <i x="3102" s="1" nd="1"/>
        <i x="3612" s="1" nd="1"/>
        <i x="283" s="1" nd="1"/>
        <i x="1386" s="1" nd="1"/>
        <i x="437" s="1" nd="1"/>
        <i x="2515" s="1" nd="1"/>
        <i x="1865" s="1" nd="1"/>
        <i x="3837" s="1" nd="1"/>
        <i x="1914" s="1" nd="1"/>
        <i x="3380" s="1" nd="1"/>
        <i x="1666" s="1" nd="1"/>
        <i x="2280" s="1" nd="1"/>
        <i x="3280" s="1" nd="1"/>
        <i x="3803" s="1" nd="1"/>
        <i x="1648" s="1" nd="1"/>
        <i x="3421" s="1" nd="1"/>
        <i x="1317" s="1" nd="1"/>
        <i x="2024" s="1" nd="1"/>
        <i x="2356" s="1" nd="1"/>
        <i x="810" s="1" nd="1"/>
        <i x="2201" s="1" nd="1"/>
        <i x="2553" s="1" nd="1"/>
        <i x="1232" s="1" nd="1"/>
        <i x="3300" s="1" nd="1"/>
        <i x="3401" s="1" nd="1"/>
        <i x="1428" s="1" nd="1"/>
        <i x="3582" s="1" nd="1"/>
        <i x="937" s="1" nd="1"/>
        <i x="55" s="1" nd="1"/>
        <i x="4058" s="1" nd="1"/>
        <i x="2457" s="1" nd="1"/>
        <i x="3276" s="1" nd="1"/>
        <i x="2783" s="1" nd="1"/>
        <i x="2698" s="1" nd="1"/>
        <i x="3984" s="1" nd="1"/>
        <i x="1587" s="1" nd="1"/>
        <i x="328" s="1" nd="1"/>
        <i x="2204" s="1" nd="1"/>
        <i x="2295" s="1" nd="1"/>
        <i x="1112" s="1" nd="1"/>
        <i x="3732" s="1" nd="1"/>
        <i x="469" s="1" nd="1"/>
        <i x="1709" s="1" nd="1"/>
        <i x="3194" s="1" nd="1"/>
        <i x="3884" s="1" nd="1"/>
        <i x="4281" s="1" nd="1"/>
        <i x="1146" s="1" nd="1"/>
        <i x="2977" s="1" nd="1"/>
        <i x="789" s="1" nd="1"/>
        <i x="36" s="1" nd="1"/>
        <i x="3650" s="1" nd="1"/>
        <i x="2706" s="1" nd="1"/>
        <i x="812" s="1" nd="1"/>
        <i x="1976" s="1" nd="1"/>
        <i x="3563" s="1" nd="1"/>
        <i x="1377" s="1" nd="1"/>
        <i x="2112" s="1" nd="1"/>
        <i x="3725" s="1" nd="1"/>
        <i x="4299" s="1" nd="1"/>
        <i x="1991" s="1" nd="1"/>
        <i x="3726" s="1" nd="1"/>
        <i x="765" s="1" nd="1"/>
        <i x="2273" s="1" nd="1"/>
        <i x="4042" s="1" nd="1"/>
        <i x="748" s="1" nd="1"/>
        <i x="2164" s="1" nd="1"/>
        <i x="3001" s="1" nd="1"/>
        <i x="4077" s="1" nd="1"/>
        <i x="4096" s="1" nd="1"/>
        <i x="1390" s="1" nd="1"/>
        <i x="2005" s="1" nd="1"/>
        <i x="118" s="1" nd="1"/>
        <i x="3905" s="1" nd="1"/>
        <i x="1739" s="1" nd="1"/>
        <i x="662" s="1" nd="1"/>
        <i x="2647" s="1" nd="1"/>
        <i x="974" s="1" nd="1"/>
        <i x="1577" s="1" nd="1"/>
        <i x="3027" s="1" nd="1"/>
        <i x="1681" s="1" nd="1"/>
        <i x="1313" s="1" nd="1"/>
        <i x="2463" s="1" nd="1"/>
        <i x="175" s="1" nd="1"/>
        <i x="315" s="1" nd="1"/>
        <i x="763" s="1" nd="1"/>
        <i x="539" s="1" nd="1"/>
        <i x="4313" s="1" nd="1"/>
        <i x="2683" s="1" nd="1"/>
        <i x="4345" s="1" nd="1"/>
        <i x="497" s="1" nd="1"/>
        <i x="3091" s="1" nd="1"/>
        <i x="3748" s="1" nd="1"/>
        <i x="5" s="1" nd="1"/>
        <i x="3564" s="1" nd="1"/>
        <i x="3931" s="1" nd="1"/>
        <i x="1178" s="1" nd="1"/>
        <i x="1286" s="1" nd="1"/>
        <i x="3847" s="1" nd="1"/>
        <i x="1445" s="1" nd="1"/>
        <i x="82" s="1" nd="1"/>
        <i x="851" s="1" nd="1"/>
        <i x="1449" s="1" nd="1"/>
        <i x="3909" s="1" nd="1"/>
        <i x="3689" s="1" nd="1"/>
        <i x="1053" s="1" nd="1"/>
        <i x="837" s="1" nd="1"/>
        <i x="3079" s="1" nd="1"/>
        <i x="2581" s="1" nd="1"/>
        <i x="2392" s="1" nd="1"/>
        <i x="3031" s="1" nd="1"/>
        <i x="1557" s="1" nd="1"/>
        <i x="3979" s="1" nd="1"/>
        <i x="2813" s="1" nd="1"/>
        <i x="212" s="1" nd="1"/>
        <i x="1301" s="1" nd="1"/>
        <i x="232" s="1" nd="1"/>
        <i x="2057" s="1" nd="1"/>
        <i x="3544" s="1" nd="1"/>
        <i x="1250" s="1" nd="1"/>
        <i x="1729" s="1" nd="1"/>
        <i x="4407" s="1" nd="1"/>
        <i x="2901" s="1" nd="1"/>
        <i x="1182" s="1" nd="1"/>
        <i x="350" s="1" nd="1"/>
        <i x="174" s="1" nd="1"/>
        <i x="4161" s="1" nd="1"/>
        <i x="391" s="1" nd="1"/>
        <i x="2947" s="1" nd="1"/>
        <i x="2221" s="1" nd="1"/>
        <i x="860" s="1" nd="1"/>
        <i x="612" s="1" nd="1"/>
        <i x="907" s="1" nd="1"/>
        <i x="1508" s="1" nd="1"/>
        <i x="1241" s="1" nd="1"/>
        <i x="4428" s="1" nd="1"/>
        <i x="2610" s="1" nd="1"/>
        <i x="794" s="1" nd="1"/>
        <i x="2602" s="1" nd="1"/>
        <i x="1081" s="1" nd="1"/>
        <i x="804" s="1" nd="1"/>
        <i x="3821" s="1" nd="1"/>
        <i x="2228" s="1" nd="1"/>
        <i x="3205" s="1" nd="1"/>
        <i x="2632" s="1" nd="1"/>
        <i x="1402" s="1" nd="1"/>
        <i x="2870" s="1" nd="1"/>
        <i x="2123" s="1" nd="1"/>
        <i x="28" s="1" nd="1"/>
        <i x="3891" s="1" nd="1"/>
        <i x="3420" s="1" nd="1"/>
        <i x="1609" s="1" nd="1"/>
        <i x="4195" s="1" nd="1"/>
        <i x="3535" s="1" nd="1"/>
        <i x="689" s="1" nd="1"/>
        <i x="3553" s="1" nd="1"/>
        <i x="3063" s="1" nd="1"/>
        <i x="721" s="1" nd="1"/>
        <i x="1371" s="1" nd="1"/>
        <i x="278" s="1" nd="1"/>
        <i x="2235" s="1" nd="1"/>
        <i x="3227" s="1" nd="1"/>
        <i x="234" s="1" nd="1"/>
        <i x="48" s="1" nd="1"/>
        <i x="38" s="1" nd="1"/>
        <i x="3161" s="1" nd="1"/>
        <i x="2591" s="1" nd="1"/>
        <i x="4389" s="1" nd="1"/>
        <i x="2978" s="1" nd="1"/>
        <i x="2040" s="1" nd="1"/>
        <i x="2669" s="1" nd="1"/>
        <i x="220" s="1" nd="1"/>
        <i x="3417" s="1" nd="1"/>
        <i x="1184" s="1" nd="1"/>
        <i x="3349" s="1" nd="1"/>
        <i x="161" s="1" nd="1"/>
        <i x="3229" s="1" nd="1"/>
        <i x="1822" s="1" nd="1"/>
        <i x="1395" s="1" nd="1"/>
        <i x="3593" s="1" nd="1"/>
        <i x="2889" s="1" nd="1"/>
        <i x="4153" s="1" nd="1"/>
        <i x="3992" s="1" nd="1"/>
        <i x="3646" s="1" nd="1"/>
        <i x="1579" s="1" nd="1"/>
        <i x="4267" s="1" nd="1"/>
        <i x="73" s="1" nd="1"/>
        <i x="1103" s="1" nd="1"/>
        <i x="3301" s="1" nd="1"/>
        <i x="3898" s="1" nd="1"/>
        <i x="3800" s="1" nd="1"/>
        <i x="2878" s="1" nd="1"/>
        <i x="10" s="1" nd="1"/>
        <i x="4083" s="1" nd="1"/>
        <i x="1660" s="1" nd="1"/>
        <i x="3279" s="1" nd="1"/>
        <i x="1155" s="1" nd="1"/>
        <i x="2265" s="1" nd="1"/>
        <i x="3926" s="1" nd="1"/>
        <i x="1224" s="1" nd="1"/>
        <i x="1908" s="1" nd="1"/>
        <i x="2672" s="1" nd="1"/>
        <i x="2863" s="1" nd="1"/>
        <i x="181" s="1" nd="1"/>
        <i x="72" s="1" nd="1"/>
        <i x="2165" s="1" nd="1"/>
        <i x="4262" s="1" nd="1"/>
        <i x="847" s="1" nd="1"/>
        <i x="2098" s="1" nd="1"/>
        <i x="2183" s="1" nd="1"/>
        <i x="4160" s="1" nd="1"/>
        <i x="985" s="1" nd="1"/>
        <i x="349" s="1" nd="1"/>
        <i x="83" s="1" nd="1"/>
        <i x="4048" s="1" nd="1"/>
        <i x="987" s="1" nd="1"/>
        <i x="3733" s="1" nd="1"/>
        <i x="1980" s="1" nd="1"/>
        <i x="537" s="1" nd="1"/>
        <i x="1940" s="1" nd="1"/>
        <i x="2704" s="1" nd="1"/>
        <i x="3062" s="1" nd="1"/>
        <i x="3746" s="1" nd="1"/>
        <i x="3691" s="1" nd="1"/>
        <i x="3517" s="1" nd="1"/>
        <i x="2469" s="1" nd="1"/>
        <i x="1256" s="1" nd="1"/>
        <i x="2749" s="1" nd="1"/>
        <i x="1886" s="1" nd="1"/>
        <i x="2450" s="1" nd="1"/>
        <i x="806" s="1" nd="1"/>
        <i x="1287" s="1" nd="1"/>
        <i x="1222" s="1" nd="1"/>
        <i x="2768" s="1" nd="1"/>
        <i x="3667" s="1" nd="1"/>
        <i x="1145" s="1" nd="1"/>
        <i x="140" s="1" nd="1"/>
        <i x="1561" s="1" nd="1"/>
        <i x="1499" s="1" nd="1"/>
        <i x="1593" s="1" nd="1"/>
        <i x="1223" s="1" nd="1"/>
        <i x="995" s="1" nd="1"/>
        <i x="2139" s="1" nd="1"/>
        <i x="1894" s="1" nd="1"/>
        <i x="4107" s="1" nd="1"/>
        <i x="3436" s="1" nd="1"/>
        <i x="4062" s="1" nd="1"/>
        <i x="3918" s="1" nd="1"/>
        <i x="364" s="1" nd="1"/>
        <i x="1764" s="1" nd="1"/>
        <i x="3124" s="1" nd="1"/>
        <i x="2739" s="1" nd="1"/>
        <i x="2296" s="1" nd="1"/>
        <i x="1492" s="1" nd="1"/>
        <i x="520" s="1" nd="1"/>
        <i x="3851" s="1" nd="1"/>
        <i x="2018" s="1" nd="1"/>
        <i x="3020" s="1" nd="1"/>
        <i x="1672" s="1" nd="1"/>
        <i x="4390" s="1" nd="1"/>
        <i x="1015" s="1" nd="1"/>
        <i x="1920" s="1" nd="1"/>
        <i x="4126" s="1" nd="1"/>
        <i x="1071" s="1" nd="1"/>
        <i x="2528" s="1" nd="1"/>
        <i x="429" s="1" nd="1"/>
        <i x="2578" s="1" nd="1"/>
        <i x="981" s="1" nd="1"/>
        <i x="2717" s="1" nd="1"/>
        <i x="4396" s="1" nd="1"/>
        <i x="2477" s="1" nd="1"/>
        <i x="3366" s="1" nd="1"/>
        <i x="908" s="1" nd="1"/>
        <i x="3344" s="1" nd="1"/>
        <i x="3236" s="1" nd="1"/>
        <i x="2525" s="1" nd="1"/>
        <i x="1520" s="1" nd="1"/>
        <i x="3200" s="1" nd="1"/>
        <i x="467" s="1" nd="1"/>
        <i x="3634" s="1" nd="1"/>
        <i x="3193" s="1" nd="1"/>
        <i x="891" s="1" nd="1"/>
        <i x="4053" s="1" nd="1"/>
        <i x="2908" s="1" nd="1"/>
        <i x="84" s="1" nd="1"/>
        <i x="2613" s="1" nd="1"/>
        <i x="1365" s="1" nd="1"/>
        <i x="1080" s="1" nd="1"/>
        <i x="724" s="1" nd="1"/>
        <i x="2603" s="1" nd="1"/>
        <i x="2516" s="1" nd="1"/>
        <i x="3410" s="1" nd="1"/>
        <i x="463" s="1" nd="1"/>
        <i x="1906" s="1" nd="1"/>
        <i x="3921" s="1" nd="1"/>
        <i x="3365" s="1" nd="1"/>
        <i x="2378" s="1" nd="1"/>
        <i x="945" s="1" nd="1"/>
        <i x="3978" s="1" nd="1"/>
        <i x="3950" s="1" nd="1"/>
        <i x="285" s="1" nd="1"/>
        <i x="1443" s="1" nd="1"/>
        <i x="3856" s="1" nd="1"/>
        <i x="1180" s="1" nd="1"/>
        <i x="3685" s="1" nd="1"/>
        <i x="2303" s="1" nd="1"/>
        <i x="4134" s="1" nd="1"/>
        <i x="2001" s="1" nd="1"/>
        <i x="501" s="1" nd="1"/>
        <i x="1308" s="1" nd="1"/>
        <i x="2952" s="1" nd="1"/>
        <i x="2718" s="1" nd="1"/>
        <i x="2233" s="1" nd="1"/>
        <i x="709" s="1" nd="1"/>
        <i x="4309" s="1" nd="1"/>
        <i x="4291" s="1" nd="1"/>
        <i x="2417" s="1" nd="1"/>
        <i x="587" s="1" nd="1"/>
        <i x="3" s="1" nd="1"/>
        <i x="3499" s="1" nd="1"/>
        <i x="3717" s="1" nd="1"/>
        <i x="2256" s="1" nd="1"/>
        <i x="2583" s="1" nd="1"/>
        <i x="2452" s="1" nd="1"/>
        <i x="52" s="1" nd="1"/>
        <i x="4163" s="1" nd="1"/>
        <i x="2595" s="1" nd="1"/>
        <i x="317" s="1" nd="1"/>
        <i x="4165" s="1" nd="1"/>
        <i x="2312" s="1" nd="1"/>
        <i x="2873" s="1" nd="1"/>
        <i x="2443" s="1" nd="1"/>
        <i x="1505" s="1" nd="1"/>
        <i x="215" s="1" nd="1"/>
        <i x="1625" s="1" nd="1"/>
        <i x="4085" s="1" nd="1"/>
        <i x="4117" s="1" nd="1"/>
        <i x="2859" s="1" nd="1"/>
        <i x="251" s="1" nd="1"/>
        <i x="1418" s="1" nd="1"/>
        <i x="800" s="1" nd="1"/>
        <i x="2838" s="1" nd="1"/>
        <i x="3735" s="1" nd="1"/>
        <i x="4358" s="1" nd="1"/>
        <i x="4116" s="1" nd="1"/>
        <i x="1572" s="1" nd="1"/>
        <i x="3322" s="1" nd="1"/>
        <i x="3510" s="1" nd="1"/>
        <i x="29" s="1" nd="1"/>
        <i x="3671" s="1" nd="1"/>
        <i x="2865" s="1" nd="1"/>
        <i x="2773" s="1" nd="1"/>
        <i x="3413" s="1" nd="1"/>
        <i x="1116" s="1" nd="1"/>
        <i x="2313" s="1" nd="1"/>
        <i x="1281" s="1" nd="1"/>
        <i x="2579" s="1" nd="1"/>
        <i x="2604" s="1" nd="1"/>
        <i x="2945" s="1" nd="1"/>
        <i x="371" s="1" nd="1"/>
        <i x="1442" s="1" nd="1"/>
        <i x="4276" s="1" nd="1"/>
        <i x="2643" s="1" nd="1"/>
        <i x="3843" s="1" nd="1"/>
        <i x="973" s="1" nd="1"/>
        <i x="3572" s="1" nd="1"/>
        <i x="4383" s="1" nd="1"/>
        <i x="840" s="1" nd="1"/>
        <i x="4240" s="1" nd="1"/>
        <i x="4319" s="1" nd="1"/>
        <i x="1629" s="1" nd="1"/>
        <i x="1872" s="1" nd="1"/>
        <i x="3788" s="1" nd="1"/>
        <i x="2059" s="1" nd="1"/>
        <i x="569" s="1" nd="1"/>
        <i x="2666" s="1" nd="1"/>
        <i x="1662" s="1" nd="1"/>
        <i x="2294" s="1" nd="1"/>
        <i x="2091" s="1" nd="1"/>
        <i x="3309" s="1" nd="1"/>
        <i x="3723" s="1" nd="1"/>
        <i x="693" s="1" nd="1"/>
        <i x="2434" s="1" nd="1"/>
        <i x="314" s="1" nd="1"/>
        <i x="1494" s="1" nd="1"/>
        <i x="2458" s="1" nd="1"/>
        <i x="2815" s="1" nd="1"/>
        <i x="866" s="1" nd="1"/>
        <i x="426" s="1" nd="1"/>
        <i x="125" s="1" nd="1"/>
        <i x="619" s="1" nd="1"/>
        <i x="2021" s="1" nd="1"/>
        <i x="873" s="1" nd="1"/>
        <i x="880" s="1" nd="1"/>
        <i x="3883" s="1" nd="1"/>
        <i x="3321" s="1" nd="1"/>
        <i x="3575" s="1" nd="1"/>
        <i x="3374" s="1" nd="1"/>
        <i x="1240" s="1" nd="1"/>
        <i x="3560" s="1" nd="1"/>
        <i x="989" s="1" nd="1"/>
        <i x="2934" s="1" nd="1"/>
        <i x="100" s="1" nd="1"/>
        <i x="3317" s="1" nd="1"/>
        <i x="1958" s="1" nd="1"/>
        <i x="3505" s="1" nd="1"/>
        <i x="2369" s="1" nd="1"/>
        <i x="244" s="1" nd="1"/>
        <i x="4268" s="1" nd="1"/>
        <i x="4028" s="1" nd="1"/>
        <i x="1786" s="1" nd="1"/>
        <i x="4324" s="1" nd="1"/>
        <i x="3201" s="1" nd="1"/>
        <i x="2298" s="1" nd="1"/>
        <i x="648" s="1" nd="1"/>
        <i x="3844" s="1" nd="1"/>
        <i x="53" s="1" nd="1"/>
        <i x="3641" s="1" nd="1"/>
        <i x="2973" s="1" nd="1"/>
        <i x="2711" s="1" nd="1"/>
        <i x="2353" s="1" nd="1"/>
        <i x="3281" s="1" nd="1"/>
        <i x="1173" s="1" nd="1"/>
        <i x="1338" s="1" nd="1"/>
        <i x="2850" s="1" nd="1"/>
        <i x="1859" s="1" nd="1"/>
        <i x="3819" s="1" nd="1"/>
        <i x="1174" s="1" nd="1"/>
        <i x="3237" s="1" nd="1"/>
        <i x="715" s="1" nd="1"/>
        <i x="2752" s="1" nd="1"/>
        <i x="4316" s="1" nd="1"/>
        <i x="2157" s="1" nd="1"/>
        <i x="3983" s="1" nd="1"/>
        <i x="2906" s="1" nd="1"/>
        <i x="1226" s="1" nd="1"/>
        <i x="2547" s="1" nd="1"/>
        <i x="1573" s="1" nd="1"/>
        <i x="3372" s="1" nd="1"/>
        <i x="2531" s="1" nd="1"/>
        <i x="934" s="1" nd="1"/>
        <i x="4169" s="1" nd="1"/>
        <i x="4374" s="1" nd="1"/>
        <i x="311" s="1" nd="1"/>
        <i x="2029" s="1" nd="1"/>
        <i x="255" s="1" nd="1"/>
        <i x="3825" s="1" nd="1"/>
        <i x="1454" s="1" nd="1"/>
        <i x="1834" s="1" nd="1"/>
        <i x="650" s="1" nd="1"/>
        <i x="1489" s="1" nd="1"/>
        <i x="3810" s="1" nd="1"/>
        <i x="4400" s="1" nd="1"/>
        <i x="3142" s="1" nd="1"/>
        <i x="2685" s="1" nd="1"/>
        <i x="3494" s="1" nd="1"/>
        <i x="2435" s="1" nd="1"/>
        <i x="2121" s="1" nd="1"/>
        <i x="372" s="1" nd="1"/>
        <i x="3460" s="1" nd="1"/>
        <i x="1098" s="1" nd="1"/>
        <i x="1847" s="1" nd="1"/>
        <i x="2890" s="1" nd="1"/>
        <i x="2167" s="1" nd="1"/>
        <i x="779" s="1" nd="1"/>
        <i x="718" s="1" nd="1"/>
        <i x="275" s="1" nd="1"/>
        <i x="3213" s="1" nd="1"/>
        <i x="221" s="1" nd="1"/>
        <i x="1481" s="1" nd="1"/>
        <i x="3433" s="1" nd="1"/>
        <i x="104" s="1" nd="1"/>
        <i x="582" s="1" nd="1"/>
        <i x="2107" s="1" nd="1"/>
        <i x="949" s="1" nd="1"/>
        <i x="4259" s="1" nd="1"/>
        <i x="299" s="1" nd="1"/>
        <i x="3932" s="1" nd="1"/>
        <i x="3571" s="1" nd="1"/>
        <i x="746" s="1" nd="1"/>
        <i x="309" s="1" nd="1"/>
        <i x="373" s="1" nd="1"/>
        <i x="601" s="1" nd="1"/>
        <i x="3579" s="1" nd="1"/>
        <i x="2899" s="1" nd="1"/>
        <i x="1751" s="1" nd="1"/>
        <i x="4253" s="1" nd="1"/>
        <i x="3985" s="1" nd="1"/>
        <i x="1637" s="1" nd="1"/>
        <i x="3937" s="1" nd="1"/>
        <i x="478" s="1" nd="1"/>
        <i x="749" s="1" nd="1"/>
        <i x="3273" s="1" nd="1"/>
        <i x="401" s="1" nd="1"/>
        <i x="1025" s="1" nd="1"/>
        <i x="1055" s="1" nd="1"/>
        <i x="2633" s="1" nd="1"/>
        <i x="1566" s="1" nd="1"/>
        <i x="1094" s="1" nd="1"/>
        <i x="378" s="1" nd="1"/>
        <i x="339" s="1" nd="1"/>
        <i x="1708" s="1" nd="1"/>
        <i x="2940" s="1" nd="1"/>
        <i x="3250" s="1" nd="1"/>
        <i x="4214" s="1" nd="1"/>
        <i x="3485" s="1" nd="1"/>
        <i x="732" s="1" nd="1"/>
        <i x="4398" s="1" nd="1"/>
        <i x="2911" s="1" nd="1"/>
        <i x="2342" s="1" nd="1"/>
        <i x="2257" s="1" nd="1"/>
        <i x="1804" s="1" nd="1"/>
        <i x="1209" s="1" nd="1"/>
        <i x="1832" s="1" nd="1"/>
        <i x="4203" s="1" nd="1"/>
        <i x="1555" s="1" nd="1"/>
        <i x="722" s="1" nd="1"/>
        <i x="1253" s="1" nd="1"/>
        <i x="2758" s="1" nd="1"/>
        <i x="362" s="1" nd="1"/>
        <i x="2994" s="1" nd="1"/>
        <i x="978" s="1" nd="1"/>
        <i x="1315" s="1" nd="1"/>
        <i x="172" s="1" nd="1"/>
        <i x="1726" s="1" nd="1"/>
        <i x="1381" s="1" nd="1"/>
        <i x="3428" s="1" nd="1"/>
        <i x="3989" s="1" nd="1"/>
        <i x="2288" s="1" nd="1"/>
        <i x="2281" s="1" nd="1"/>
        <i x="3047" s="1" nd="1"/>
        <i x="3157" s="1" nd="1"/>
        <i x="913" s="1" nd="1"/>
        <i x="289" s="1" nd="1"/>
        <i x="3396" s="1" nd="1"/>
        <i x="4254" s="1" nd="1"/>
        <i x="2271" s="1" nd="1"/>
        <i x="4175" s="1" nd="1"/>
        <i x="1944" s="1" nd="1"/>
        <i x="828" s="1" nd="1"/>
        <i x="3004" s="1" nd="1"/>
        <i x="4304" s="1" nd="1"/>
        <i x="2780" s="1" nd="1"/>
        <i x="1419" s="1" nd="1"/>
        <i x="3327" s="1" nd="1"/>
        <i x="4190" s="1" nd="1"/>
        <i x="1554" s="1" nd="1"/>
        <i x="653" s="1" nd="1"/>
        <i x="1108" s="1" nd="1"/>
        <i x="422" s="1" nd="1"/>
        <i x="1929" s="1" nd="1"/>
        <i x="464" s="1" nd="1"/>
        <i x="2264" s="1" nd="1"/>
        <i x="1763" s="1" nd="1"/>
        <i x="3678" s="1" nd="1"/>
        <i x="4279" s="1" nd="1"/>
        <i x="790" s="1" nd="1"/>
        <i x="3170" s="1" nd="1"/>
        <i x="2732" s="1" nd="1"/>
        <i x="1711" s="1" nd="1"/>
        <i x="2615" s="1" nd="1"/>
        <i x="4393" s="1" nd="1"/>
        <i x="1779" s="1" nd="1"/>
        <i x="3169" s="1" nd="1"/>
        <i x="1870" s="1" nd="1"/>
        <i x="112" s="1" nd="1"/>
        <i x="1354" s="1" nd="1"/>
        <i x="2565" s="1" nd="1"/>
        <i x="801" s="1" nd="1"/>
        <i x="1974" s="1" nd="1"/>
        <i x="34" s="1" nd="1"/>
        <i x="2159" s="1" nd="1"/>
        <i x="3060" s="1" nd="1"/>
        <i x="2000" s="1" nd="1"/>
        <i x="1862" s="1" nd="1"/>
        <i x="2470" s="1" nd="1"/>
        <i x="2046" s="1" nd="1"/>
        <i x="1753" s="1" nd="1"/>
        <i x="3988" s="1" nd="1"/>
        <i x="1896" s="1" nd="1"/>
        <i x="1467" s="1" nd="1"/>
        <i x="3580" s="1" nd="1"/>
        <i x="1909" s="1" nd="1"/>
        <i x="267" s="1" nd="1"/>
        <i x="3841" s="1" nd="1"/>
        <i x="782" s="1" nd="1"/>
        <i x="4074" s="1" nd="1"/>
        <i x="3715" s="1" nd="1"/>
        <i x="4193" s="1" nd="1"/>
        <i x="3707" s="1" nd="1"/>
        <i x="1305" s="1" nd="1"/>
        <i x="3832" s="1" nd="1"/>
        <i x="3471" s="1" nd="1"/>
        <i x="3340" s="1" nd="1"/>
        <i x="131" s="1" nd="1"/>
        <i x="454" s="1" nd="1"/>
        <i x="3796" s="1" nd="1"/>
        <i x="2841" s="1" nd="1"/>
        <i x="1407" s="1" nd="1"/>
        <i x="2888" s="1" nd="1"/>
        <i x="2274" s="1" nd="1"/>
        <i x="633" s="1" nd="1"/>
        <i x="1249" s="1" nd="1"/>
        <i x="3083" s="1" nd="1"/>
        <i x="94" s="1" nd="1"/>
        <i x="1181" s="1" nd="1"/>
        <i x="2173" s="1" nd="1"/>
        <i x="1785" s="1" nd="1"/>
        <i x="2169" s="1" nd="1"/>
        <i x="120" s="1" nd="1"/>
        <i x="3113" s="1" nd="1"/>
        <i x="815" s="1" nd="1"/>
        <i x="887" s="1" nd="1"/>
        <i x="1749" s="1" nd="1"/>
        <i x="3206" s="1" nd="1"/>
        <i x="2240" s="1" nd="1"/>
        <i x="1517" s="1" nd="1"/>
        <i x="939" s="1" nd="1"/>
        <i x="8" s="1" nd="1"/>
        <i x="3619" s="1" nd="1"/>
        <i x="701" s="1" nd="1"/>
        <i x="2026" s="1" nd="1"/>
        <i x="2622" s="1" nd="1"/>
        <i x="3763" s="1" nd="1"/>
        <i x="1546" s="1" nd="1"/>
        <i x="1037" s="1" nd="1"/>
        <i x="2049" s="1" nd="1"/>
        <i x="1519" s="1" nd="1"/>
        <i x="1344" s="1" nd="1"/>
        <i x="2774" s="1" nd="1"/>
        <i x="2170" s="1" nd="1"/>
        <i x="1351" s="1" nd="1"/>
        <i x="12" s="1" nd="1"/>
        <i x="1447" s="1" nd="1"/>
        <i x="927" s="1" nd="1"/>
        <i x="1691" s="1" nd="1"/>
        <i x="1463" s="1" nd="1"/>
        <i x="834" s="1" nd="1"/>
        <i x="3541" s="1" nd="1"/>
        <i x="2241" s="1" nd="1"/>
        <i x="747" s="1" nd="1"/>
        <i x="2015" s="1" nd="1"/>
        <i x="2211" s="1" nd="1"/>
        <i x="3163" s="1" nd="1"/>
        <i x="360" s="1" nd="1"/>
        <i x="2917" s="1" nd="1"/>
        <i x="1979" s="1" nd="1"/>
        <i x="2898" s="1" nd="1"/>
        <i x="1665" s="1" nd="1"/>
        <i x="2192" s="1" nd="1"/>
        <i x="1002" s="1" nd="1"/>
        <i x="1730" s="1" nd="1"/>
        <i x="2540" s="1" nd="1"/>
        <i x="1233" s="1" nd="1"/>
        <i x="2339" s="1" nd="1"/>
        <i x="4415" s="1" nd="1"/>
        <i x="1630" s="1" nd="1"/>
        <i x="2695" s="1" nd="1"/>
        <i x="2832" s="1" nd="1"/>
        <i x="1251" s="1" nd="1"/>
        <i x="3663" s="1" nd="1"/>
        <i x="611" s="1" nd="1"/>
        <i x="1738" s="1" nd="1"/>
        <i x="963" s="1" nd="1"/>
        <i x="3014" s="1" nd="1"/>
        <i x="2764" s="1" nd="1"/>
        <i x="4084" s="1" nd="1"/>
        <i x="4425" s="1" nd="1"/>
        <i x="3670" s="1" nd="1"/>
        <i x="1089" s="1" nd="1"/>
        <i x="489" s="1" nd="1"/>
        <i x="1237" s="1" nd="1"/>
        <i x="2478" s="1" nd="1"/>
        <i x="2851" s="1" nd="1"/>
        <i x="22" s="1" nd="1"/>
        <i x="3182" s="1" nd="1"/>
        <i x="3224" s="1" nd="1"/>
        <i x="1787" s="1" nd="1"/>
        <i x="2696" s="1" nd="1"/>
        <i x="2843" s="1" nd="1"/>
        <i x="2054" s="1" nd="1"/>
        <i x="2118" s="1" nd="1"/>
        <i x="2902" s="1" nd="1"/>
        <i x="3002" s="1" nd="1"/>
        <i x="994" s="1" nd="1"/>
        <i x="4082" s="1" nd="1"/>
        <i x="1531" s="1" nd="1"/>
        <i x="116" s="1" nd="1"/>
        <i x="1031" s="1" nd="1"/>
        <i x="1459" s="1" nd="1"/>
        <i x="893" s="1" nd="1"/>
        <i x="479" s="1" nd="1"/>
        <i x="1575" s="1" nd="1"/>
        <i x="4208" s="1" nd="1"/>
        <i x="3080" s="1" nd="1"/>
        <i x="192" s="1" nd="1"/>
        <i x="23" s="1" nd="1"/>
        <i x="4226" s="1" nd="1"/>
        <i x="3353" s="1" nd="1"/>
        <i x="4222" s="1" nd="1"/>
        <i x="1457" s="1" nd="1"/>
        <i x="2053" s="1" nd="1"/>
        <i x="1992" s="1" nd="1"/>
        <i x="2140" s="1" nd="1"/>
        <i x="3568" s="1" nd="1"/>
        <i x="4392" s="1" nd="1"/>
        <i x="2883" s="1" nd="1"/>
        <i x="1462" s="1" nd="1"/>
        <i x="3527" s="1" nd="1"/>
        <i x="227" s="1" nd="1"/>
        <i x="3877" s="1" nd="1"/>
        <i x="2744" s="1" nd="1"/>
        <i x="3226" s="1" nd="1"/>
        <i x="1819" s="1" nd="1"/>
        <i x="290" s="1" nd="1"/>
        <i x="598" s="1" nd="1"/>
        <i x="3270" s="1" nd="1"/>
        <i x="142" s="1" nd="1"/>
        <i x="736" s="1" nd="1"/>
        <i x="4089" s="1" nd="1"/>
        <i x="706" s="1" nd="1"/>
        <i x="2430" s="1" nd="1"/>
        <i x="302" s="1" nd="1"/>
        <i x="3111" s="1" nd="1"/>
        <i x="2348" s="1" nd="1"/>
        <i x="1314" s="1" nd="1"/>
        <i x="3557" s="1" nd="1"/>
        <i x="3406" s="1" nd="1"/>
        <i x="4050" s="1" nd="1"/>
        <i x="146" s="1" nd="1"/>
        <i x="3710" s="1" nd="1"/>
        <i x="3181" s="1" nd="1"/>
        <i x="4364" s="1" nd="1"/>
        <i x="4273" s="1" nd="1"/>
        <i x="4011" s="1" nd="1"/>
        <i x="799" s="1" nd="1"/>
        <i x="1674" s="1" nd="1"/>
        <i x="1208" s="1" nd="1"/>
        <i x="3566" s="1" nd="1"/>
        <i x="1952" s="1" nd="1"/>
        <i x="1451" s="1" nd="1"/>
        <i x="982" s="1" nd="1"/>
        <i x="2796" s="1" nd="1"/>
        <i x="2368" s="1" nd="1"/>
        <i x="3018" s="1" nd="1"/>
        <i x="652" s="1" nd="1"/>
        <i x="1357" s="1" nd="1"/>
        <i x="345" s="1" nd="1"/>
        <i x="3627" s="1" nd="1"/>
        <i x="2134" s="1" nd="1"/>
        <i x="3666" s="1" nd="1"/>
        <i x="3664" s="1" nd="1"/>
        <i x="1668" s="1" nd="1"/>
        <i x="1548" s="1" nd="1"/>
        <i x="3057" s="1" nd="1"/>
        <i x="1259" s="1" nd="1"/>
        <i x="2860" s="1" nd="1"/>
        <i x="1718" s="1" nd="1"/>
        <i x="202" s="1" nd="1"/>
        <i x="3144" s="1" nd="1"/>
        <i x="1883" s="1" nd="1"/>
        <i x="1056" s="1" nd="1"/>
        <i x="2147" s="1" nd="1"/>
        <i x="2524" s="1" nd="1"/>
        <i x="2318" s="1" nd="1"/>
        <i x="2639" s="1" nd="1"/>
        <i x="4243" s="1" nd="1"/>
        <i x="3867" s="1" nd="1"/>
        <i x="621" s="1" nd="1"/>
        <i x="1888" s="1" nd="1"/>
        <i x="1571" s="1" nd="1"/>
        <i x="2246" s="1" nd="1"/>
        <i x="2840" s="1" nd="1"/>
        <i x="1153" s="1" nd="1"/>
        <i x="2127" s="1" nd="1"/>
        <i x="2541" s="1" nd="1"/>
        <i x="3138" s="1" nd="1"/>
        <i x="3976" s="1" nd="1"/>
        <i x="3659" s="1" nd="1"/>
        <i x="1659" s="1" nd="1"/>
        <i x="3907" s="1" nd="1"/>
        <i x="2384" s="1" nd="1"/>
        <i x="4014" s="1" nd="1"/>
        <i x="3105" s="1" nd="1"/>
        <i x="3857" s="1" nd="1"/>
        <i x="2261" s="1" nd="1"/>
        <i x="2700" s="1" nd="1"/>
        <i x="4186" s="1" nd="1"/>
        <i x="2722" s="1" nd="1"/>
        <i x="1669" s="1" nd="1"/>
        <i x="614" s="1" nd="1"/>
        <i x="4412" s="1" nd="1"/>
        <i x="1113" s="1" nd="1"/>
        <i x="243" s="1" nd="1"/>
        <i x="126" s="1" nd="1"/>
        <i x="918" s="1" nd="1"/>
        <i x="1719" s="1" nd="1"/>
        <i x="3913" s="1" nd="1"/>
        <i x="739" s="1" nd="1"/>
        <i x="2446" s="1" nd="1"/>
        <i x="647" s="1" nd="1"/>
        <i x="3130" s="1" nd="1"/>
        <i x="3054" s="1" nd="1"/>
        <i x="2419" s="1" nd="1"/>
        <i x="2409" s="1" nd="1"/>
        <i x="640" s="1" nd="1"/>
        <i x="2667" s="1" nd="1"/>
        <i x="3216" s="1" nd="1"/>
        <i x="4005" s="1" nd="1"/>
        <i x="2876" s="1" nd="1"/>
        <i x="2538" s="1" nd="1"/>
        <i x="413" s="1" nd="1"/>
        <i x="1945" s="1" nd="1"/>
        <i x="3914" s="1" nd="1"/>
        <i x="1743" s="1" nd="1"/>
        <i x="892" s="1" nd="1"/>
        <i x="1341" s="1" nd="1"/>
        <i x="4097" s="1" nd="1"/>
        <i x="577" s="1" nd="1"/>
        <i x="1355" s="1" nd="1"/>
        <i x="459" s="1" nd="1"/>
        <i x="327" s="1" nd="1"/>
        <i x="1275" s="1" nd="1"/>
        <i x="1158" s="1" nd="1"/>
        <i x="2599" s="1" nd="1"/>
        <i x="1732" s="1" nd="1"/>
        <i x="2730" s="1" nd="1"/>
        <i x="3430" s="1" nd="1"/>
        <i x="3313" s="1" nd="1"/>
        <i x="4260" s="1" nd="1"/>
        <i x="3773" s="1" nd="1"/>
        <i x="3742" s="1" nd="1"/>
        <i x="3543" s="1" nd="1"/>
        <i x="2808" s="1" nd="1"/>
        <i x="98" s="1" nd="1"/>
        <i x="3348" s="1" nd="1"/>
        <i x="2481" s="1" nd="1"/>
        <i x="2456" s="1" nd="1"/>
        <i x="737" s="1" nd="1"/>
        <i x="4433" s="1" nd="1"/>
        <i x="1736" s="1" nd="1"/>
        <i x="3064" s="1" nd="1"/>
        <i x="1863" s="1" nd="1"/>
        <i x="2636" s="1" nd="1"/>
        <i x="781" s="1" nd="1"/>
        <i x="1948" s="1" nd="1"/>
        <i x="1133" s="1" nd="1"/>
        <i x="969" s="1" nd="1"/>
        <i x="2248" s="1" nd="1"/>
        <i x="2555" s="1" nd="1"/>
        <i x="496" s="1" nd="1"/>
        <i x="3765" s="1" nd="1"/>
        <i x="2659" s="1" nd="1"/>
        <i x="3046" s="1" nd="1"/>
        <i x="1484" s="1" nd="1"/>
        <i x="2063" s="1" nd="1"/>
        <i x="4305" s="1" nd="1"/>
        <i x="3854" s="1" nd="1"/>
        <i x="1017" s="1" nd="1"/>
        <i x="881" s="1" nd="1"/>
        <i x="4249" s="1" nd="1"/>
        <i x="1621" s="1" nd="1"/>
        <i x="4327" s="1" nd="1"/>
        <i x="702" s="1" nd="1"/>
        <i x="1217" s="1" nd="1"/>
        <i x="2592" s="1" nd="1"/>
        <i x="3412" s="1" nd="1"/>
        <i x="1891" s="1" nd="1"/>
        <i x="954" s="1" nd="1"/>
        <i x="1962" s="1" nd="1"/>
        <i x="2013" s="1" nd="1"/>
        <i x="436" s="1" nd="1"/>
        <i x="1099" s="1" nd="1"/>
        <i x="1403" s="1" nd="1"/>
        <i x="3761" s="1" nd="1"/>
        <i x="2362" s="1" nd="1"/>
        <i x="1246" s="1" nd="1"/>
        <i x="2510" s="1" nd="1"/>
        <i x="2967" s="1" nd="1"/>
        <i x="699" s="1" nd="1"/>
        <i x="263" s="1" nd="1"/>
        <i x="1152" s="1" nd="1"/>
        <i x="272" s="1" nd="1"/>
        <i x="1260" s="1" nd="1"/>
        <i x="4114" s="1" nd="1"/>
        <i x="453" s="1" nd="1"/>
        <i x="1392" s="1" nd="1"/>
        <i x="1866" s="1" nd="1"/>
        <i x="552" s="1" nd="1"/>
        <i x="1242" s="1" nd="1"/>
        <i x="821" s="1" nd="1"/>
        <i x="424" s="1" nd="1"/>
        <i x="2566" s="1" nd="1"/>
        <i x="2214" s="1" nd="1"/>
        <i x="1582" s="1" nd="1"/>
        <i x="363" s="1" nd="1"/>
        <i x="2096" s="1" nd="1"/>
        <i x="1938" s="1" nd="1"/>
        <i x="1812" s="1" nd="1"/>
        <i x="43" s="1" nd="1"/>
        <i x="3439" s="1" nd="1"/>
        <i x="2243" s="1" nd="1"/>
        <i x="2807" s="1" nd="1"/>
        <i x="1215" s="1" nd="1"/>
        <i x="1372" s="1" nd="1"/>
        <i x="3506" s="1" nd="1"/>
        <i x="572" s="1" nd="1"/>
        <i x="1023" s="1" nd="1"/>
        <i x="4002" s="1" nd="1"/>
        <i x="4060" s="1" nd="1"/>
        <i x="171" s="1" nd="1"/>
        <i x="2416" s="1" nd="1"/>
        <i x="2549" s="1" nd="1"/>
        <i x="4323" s="1" nd="1"/>
        <i x="4378" s="1" nd="1"/>
        <i x="56" s="1" nd="1"/>
        <i x="1509" s="1" nd="1"/>
        <i x="3848" s="1" nd="1"/>
        <i x="3265" s="1" nd="1"/>
        <i x="3943" s="1" nd="1"/>
        <i x="1283" s="1" nd="1"/>
        <i x="3308" s="1" nd="1"/>
        <i x="3872" s="1" nd="1"/>
        <i x="3367" s="1" nd="1"/>
        <i x="2088" s="1" nd="1"/>
        <i x="2734" s="1" nd="1"/>
        <i x="599" s="1" nd="1"/>
        <i x="1700" s="1" nd="1"/>
        <i x="3326" s="1" nd="1"/>
        <i x="1408" s="1" nd="1"/>
        <i x="787" s="1" nd="1"/>
        <i x="3297" s="1" nd="1"/>
        <i x="3818" s="1" nd="1"/>
        <i x="778" s="1" nd="1"/>
        <i x="1702" s="1" nd="1"/>
        <i x="862" s="1" nd="1"/>
        <i x="2892" s="1" nd="1"/>
        <i x="2567" s="1" nd="1"/>
        <i x="2355" s="1" nd="1"/>
        <i x="3483" s="1" nd="1"/>
        <i x="1273" s="1" nd="1"/>
        <i x="4174" s="1" nd="1"/>
        <i x="818" s="1" nd="1"/>
        <i x="450" s="1" nd="1"/>
        <i x="3491" s="1" nd="1"/>
        <i x="1588" s="1" nd="1"/>
        <i x="3603" s="1" nd="1"/>
        <i x="1458" s="1" nd="1"/>
        <i x="3573" s="1" nd="1"/>
        <i x="1961" s="1" nd="1"/>
        <i x="2106" s="1" nd="1"/>
        <i x="1401" s="1" nd="1"/>
        <i x="3305" s="1" nd="1"/>
        <i x="2932" s="1" nd="1"/>
        <i x="1849" s="1" nd="1"/>
        <i x="811" s="1" nd="1"/>
        <i x="3771" s="1" nd="1"/>
        <i x="3583" s="1" nd="1"/>
        <i x="3922" s="1" nd="1"/>
        <i x="1939" s="1" nd="1"/>
        <i x="3945" s="1" nd="1"/>
        <i x="646" s="1" nd="1"/>
        <i x="2097" s="1" nd="1"/>
        <i x="3152" s="1" nd="1"/>
        <i x="1117" s="1" nd="1"/>
        <i x="2964" s="1" nd="1"/>
        <i x="3675" s="1" nd="1"/>
        <i x="33" s="1" nd="1"/>
        <i x="2276" s="1" nd="1"/>
        <i x="651" s="1" nd="1"/>
        <i x="3159" s="1" nd="1"/>
        <i x="1990" s="1" nd="1"/>
        <i x="515" s="1" nd="1"/>
        <i x="3749" s="1" nd="1"/>
        <i x="2914" s="1" nd="1"/>
        <i x="3855" s="1" nd="1"/>
        <i x="2747" s="1" nd="1"/>
        <i x="2445" s="1" nd="1"/>
        <i x="3286" s="1" nd="1"/>
        <i x="2729" s="1" nd="1"/>
        <i x="608" s="1" nd="1"/>
        <i x="3405" s="1" nd="1"/>
        <i x="2282" s="1" nd="1"/>
        <i x="2154" s="1" nd="1"/>
        <i x="3692" s="1" nd="1"/>
        <i x="2195" s="1" nd="1"/>
        <i x="551" s="1" nd="1"/>
        <i x="791" s="1" nd="1"/>
        <i x="4362" s="1" nd="1"/>
        <i x="3469" s="1" nd="1"/>
        <i x="3687" s="1" nd="1"/>
        <i x="726" s="1" nd="1"/>
        <i x="1149" s="1" nd="1"/>
        <i x="4242" s="1" nd="1"/>
        <i x="449" s="1" nd="1"/>
        <i x="2319" s="1" nd="1"/>
        <i x="999" s="1" nd="1"/>
        <i x="2769" s="1" nd="1"/>
        <i x="3630" s="1" nd="1"/>
        <i x="3051" s="1" nd="1"/>
        <i x="1852" s="1" nd="1"/>
        <i x="894" s="1" nd="1"/>
        <i x="1502" s="1" nd="1"/>
        <i x="1274" s="1" nd="1"/>
        <i x="3021" s="1" nd="1"/>
        <i x="3260" s="1" nd="1"/>
        <i x="705" s="1" nd="1"/>
        <i x="2432" s="1" nd="1"/>
        <i x="1723" s="1" nd="1"/>
        <i x="3487" s="1" nd="1"/>
        <i x="1104" s="1" nd="1"/>
        <i x="2461" s="1" nd="1"/>
        <i x="1678" s="1" nd="1"/>
        <i x="1337" s="1" nd="1"/>
        <i x="1936" s="1" nd="1"/>
        <i x="658" s="1" nd="1"/>
        <i x="2207" s="1" nd="1"/>
        <i x="4138" s="1" nd="1"/>
        <i x="2756" s="1" nd="1"/>
        <i x="1780" s="1" nd="1"/>
        <i x="2536" s="1" nd="1"/>
        <i x="4405" s="1" nd="1"/>
        <i x="4000" s="1" nd="1"/>
        <i x="3812" s="1" nd="1"/>
        <i x="2596" s="1" nd="1"/>
        <i x="3519" s="1" nd="1"/>
        <i x="2542" s="1" nd="1"/>
        <i x="3173" s="1" nd="1"/>
        <i x="1615" s="1" nd="1"/>
        <i x="3310" s="1" nd="1"/>
        <i x="3108" s="1" nd="1"/>
        <i x="4247" s="1" nd="1"/>
        <i x="1816" s="1" nd="1"/>
        <i x="1005" s="1" nd="1"/>
        <i x="2904" s="1" nd="1"/>
        <i x="2225" s="1" nd="1"/>
        <i x="2927" s="1" nd="1"/>
        <i x="1890" s="1" nd="1"/>
        <i x="395" s="1" nd="1"/>
        <i x="899" s="1" nd="1"/>
        <i x="4079" s="1" nd="1"/>
        <i x="2268" s="1" nd="1"/>
        <i x="1636" s="1" nd="1"/>
        <i x="901" s="1" nd="1"/>
        <i x="1022" s="1" nd="1"/>
        <i x="1060" s="1" nd="1"/>
        <i x="1074" s="1" nd="1"/>
        <i x="885" s="1" nd="1"/>
        <i x="2250" s="1" nd="1"/>
        <i x="4035" s="1" nd="1"/>
        <i x="2447" s="1" nd="1"/>
        <i x="1927" s="1" nd="1"/>
        <i x="2854" s="1" nd="1"/>
        <i x="3783" s="1" nd="1"/>
        <i x="4044" s="1" nd="1"/>
        <i x="1975" s="1" nd="1"/>
        <i x="1176" s="1" nd="1"/>
        <i x="3453" s="1" nd="1"/>
        <i x="3466" s="1" nd="1"/>
        <i x="261" s="1" nd="1"/>
        <i x="2563" s="1" nd="1"/>
        <i x="286" s="1" nd="1"/>
        <i x="3115" s="1" nd="1"/>
        <i x="558" s="1" nd="1"/>
        <i x="1761" s="1" nd="1"/>
        <i x="4001" s="1" nd="1"/>
        <i x="3376" s="1" nd="1"/>
        <i x="3893" s="1" nd="1"/>
        <i x="2259" s="1" nd="1"/>
        <i x="1933" s="1" nd="1"/>
        <i x="3284" s="1" nd="1"/>
        <i x="3306" s="1" nd="1"/>
        <i x="456" s="1" nd="1"/>
        <i x="3969" s="1" nd="1"/>
        <i x="1801" s="1" nd="1"/>
        <i x="2424" s="1" nd="1"/>
        <i x="3296" s="1" nd="1"/>
        <i x="3588" s="1" nd="1"/>
        <i x="574" s="1" nd="1"/>
        <i x="1664" s="1" nd="1"/>
        <i x="3776" s="1" nd="1"/>
        <i x="3990" s="1" nd="1"/>
        <i x="1810" s="1" nd="1"/>
        <i x="659" s="1" nd="1"/>
        <i x="393" s="1" nd="1"/>
        <i x="20" s="1" nd="1"/>
        <i x="403" s="1" nd="1"/>
        <i x="1327" s="1" nd="1"/>
        <i x="4333" s="1" nd="1"/>
        <i x="3214" s="1" nd="1"/>
        <i x="1042" s="1" nd="1"/>
        <i x="1129" s="1" nd="1"/>
        <i x="2948" s="1" nd="1"/>
        <i x="2171" s="1" nd="1"/>
        <i x="1707" s="1" nd="1"/>
        <i x="3610" s="1" nd="1"/>
        <i x="3585" s="1" nd="1"/>
        <i x="1105" s="1" nd="1"/>
        <i x="928" s="1" nd="1"/>
        <i x="3846" s="1" nd="1"/>
        <i x="2971" s="1" nd="1"/>
        <i x="3900" s="1" nd="1"/>
        <i x="461" s="1" nd="1"/>
        <i x="3657" s="1" nd="1"/>
        <i x="438" s="1" nd="1"/>
        <i x="3545" s="1" nd="1"/>
        <i x="60" s="1" nd="1"/>
        <i x="3146" s="1" nd="1"/>
        <i x="1642" s="1" nd="1"/>
        <i x="904" s="1" nd="1"/>
        <i x="4377" s="1" nd="1"/>
        <i x="3285" s="1" nd="1"/>
        <i x="3640" s="1" nd="1"/>
        <i x="4191" s="1" nd="1"/>
        <i x="2055" s="1" nd="1"/>
        <i x="2300" s="1" nd="1"/>
        <i x="1322" s="1" nd="1"/>
        <i x="2269" s="1" nd="1"/>
        <i x="4221" s="1" nd="1"/>
        <i x="1047" s="1" nd="1"/>
        <i x="2326" s="1" nd="1"/>
        <i x="1941" s="1" nd="1"/>
        <i x="1853" s="1" nd="1"/>
        <i x="2818" s="1" nd="1"/>
        <i x="402" s="1" nd="1"/>
        <i x="225" s="1" nd="1"/>
        <i x="4101" s="1" nd="1"/>
        <i x="4353" s="1" nd="1"/>
        <i x="1928" s="1" nd="1"/>
        <i x="698" s="1" nd="1"/>
        <i x="1361" s="1" nd="1"/>
        <i x="856" s="1" nd="1"/>
        <i x="3556" s="1" nd="1"/>
        <i x="585" s="1" nd="1"/>
        <i x="1536" s="1" nd="1"/>
        <i x="1296" s="1" nd="1"/>
        <i x="4311" s="1" nd="1"/>
        <i x="135" s="1" nd="1"/>
        <i x="1311" s="1" nd="1"/>
        <i x="1903" s="1" nd="1"/>
        <i x="4209" s="1" nd="1"/>
        <i x="764" s="1" nd="1"/>
        <i x="4070" s="1" nd="1"/>
        <i x="733" s="1" nd="1"/>
        <i x="493" s="1" nd="1"/>
        <i x="947" s="1" nd="1"/>
        <i x="1189" s="1" nd="1"/>
        <i x="3644" s="1" nd="1"/>
        <i x="3468" s="1" nd="1"/>
        <i x="3381" s="1" nd="1"/>
        <i x="3218" s="1" nd="1"/>
        <i x="3385" s="1" nd="1"/>
        <i x="770" s="1" nd="1"/>
        <i x="2674" s="1" nd="1"/>
        <i x="1793" s="1" nd="1"/>
        <i x="3586" s="1" nd="1"/>
        <i x="2837" s="1" nd="1"/>
        <i x="169" s="1" nd="1"/>
        <i x="245" s="1" nd="1"/>
        <i x="3712" s="1" nd="1"/>
        <i x="3609" s="1" nd="1"/>
        <i x="832" s="1" nd="1"/>
        <i x="2480" s="1" nd="1"/>
        <i x="1898" s="1" nd="1"/>
        <i x="1177" s="1" nd="1"/>
        <i x="330" s="1" nd="1"/>
        <i x="1868" s="1" nd="1"/>
        <i x="11" s="1" nd="1"/>
        <i x="2576" s="1" nd="1"/>
        <i x="1130" s="1" nd="1"/>
        <i x="533" s="1" nd="1"/>
        <i x="1815" s="1" nd="1"/>
        <i x="485" s="1" nd="1"/>
        <i x="3660" s="1" nd="1"/>
        <i x="3329" s="1" nd="1"/>
        <i x="4339" s="1" nd="1"/>
        <i x="1409" s="1" nd="1"/>
        <i x="3183" s="1" nd="1"/>
        <i x="4033" s="1" nd="1"/>
        <i x="2724" s="1" nd="1"/>
        <i x="297" s="1" nd="1"/>
        <i x="4091" s="1" nd="1"/>
        <i x="595" s="1" nd="1"/>
        <i x="3222" s="1" nd="1"/>
        <i x="817" s="1" nd="1"/>
        <i x="1901" s="1" nd="1"/>
        <i x="2619" s="1" nd="1"/>
        <i x="4352" s="1" nd="1"/>
        <i x="3172" s="1" nd="1"/>
        <i x="93" s="1" nd="1"/>
        <i x="1895" s="1" nd="1"/>
        <i x="264" s="1" nd="1"/>
        <i x="2144" s="1" nd="1"/>
        <i x="2634" s="1" nd="1"/>
        <i x="3903" s="1" nd="1"/>
        <i x="2797" s="1" nd="1"/>
        <i x="300" s="1" nd="1"/>
        <i x="1943" s="1" nd="1"/>
        <i x="410" s="1" nd="1"/>
        <i x="4080" s="1" nd="1"/>
        <i x="2357" s="1" nd="1"/>
        <i x="4219" s="1" nd="1"/>
        <i x="357" s="1" nd="1"/>
        <i x="4141" s="1" nd="1"/>
        <i x="2955" s="1" nd="1"/>
        <i x="2473" s="1" nd="1"/>
        <i x="3538" s="1" nd="1"/>
        <i x="3379" s="1" nd="1"/>
        <i x="2226" s="1" nd="1"/>
        <i x="3423" s="1" nd="1"/>
        <i x="4379" s="1" nd="1"/>
        <i x="2895" s="1" nd="1"/>
        <i x="730" s="1" nd="1"/>
        <i x="740" s="1" nd="1"/>
        <i x="19" s="1" nd="1"/>
        <i x="1465" s="1" nd="1"/>
        <i x="1841" s="1" nd="1"/>
        <i x="1592" s="1" nd="1"/>
        <i x="3048" s="1" nd="1"/>
        <i x="276" s="1" nd="1"/>
        <i x="1143" s="1" nd="1"/>
        <i x="4010" s="1" nd="1"/>
        <i x="465" s="1" nd="1"/>
        <i x="566" s="1" nd="1"/>
        <i x="3567" s="1" nd="1"/>
        <i x="3086" s="1" nd="1"/>
        <i x="561" s="1" nd="1"/>
        <i x="609" s="1" nd="1"/>
        <i x="942" s="1" nd="1"/>
        <i x="1435" s="1" nd="1"/>
        <i x="4420" s="1" nd="1"/>
        <i x="1358" s="1" nd="1"/>
        <i x="2857" s="1" nd="1"/>
        <i x="672" s="1" nd="1"/>
        <i x="1500" s="1" nd="1"/>
        <i x="2132" s="1" nd="1"/>
        <i x="3307" s="1" nd="1"/>
        <i x="3842" s="1" nd="1"/>
        <i x="664" s="1" nd="1"/>
        <i x="3676" s="1" nd="1"/>
        <i x="725" s="1" nd="1"/>
        <i x="4025" s="1" nd="1"/>
        <i x="4293" s="1" nd="1"/>
        <i x="2693" s="1" nd="1"/>
        <i x="4187" s="1" nd="1"/>
        <i x="3495" s="1" nd="1"/>
        <i x="3377" s="1" nd="1"/>
        <i x="2814" s="1" nd="1"/>
        <i x="1348" s="1" nd="1"/>
        <i x="3238" s="1" nd="1"/>
        <i x="2114" s="1" nd="1"/>
        <i x="1619" s="1" nd="1"/>
        <i x="2423" s="1" nd="1"/>
        <i x="248" s="1" nd="1"/>
        <i x="634" s="1" nd="1"/>
        <i x="1529" s="1" nd="1"/>
        <i x="4397" s="1" nd="1"/>
        <i x="3507" s="1" nd="1"/>
        <i x="3155" s="1" nd="1"/>
        <i x="878" s="1" nd="1"/>
        <i x="1954" s="1" nd="1"/>
        <i x="2014" s="1" nd="1"/>
        <i x="95" s="1" nd="1"/>
        <i x="1902" s="1" nd="1"/>
        <i x="189" s="1" nd="1"/>
        <i x="4264" s="1" nd="1"/>
        <i x="597" s="1" nd="1"/>
        <i x="3845" s="1" nd="1"/>
        <i x="2128" s="1" nd="1"/>
        <i x="1319" s="1" nd="1"/>
        <i x="3887" s="1" nd="1"/>
        <i x="3653" s="1" nd="1"/>
        <i x="3966" s="1" nd="1"/>
        <i x="2286" s="1" nd="1"/>
        <i x="2974" s="1" nd="1"/>
        <i x="1064" s="1" nd="1"/>
        <i x="1549" s="1" nd="1"/>
        <i x="389" s="1" nd="1"/>
        <i x="567" s="1" nd="1"/>
        <i x="4027" s="1" nd="1"/>
        <i x="3323" s="1" nd="1"/>
        <i x="2400" s="1" nd="1"/>
        <i x="1109" s="1" nd="1"/>
        <i x="3977" s="1" nd="1"/>
        <i x="2314" s="1" nd="1"/>
        <i x="983" s="1" nd="1"/>
        <i x="1304" s="1" nd="1"/>
        <i x="2490" s="1" nd="1"/>
        <i x="3082" s="1" nd="1"/>
        <i x="679" s="1" nd="1"/>
        <i x="1075" s="1" nd="1"/>
        <i x="1480" s="1" nd="1"/>
        <i x="3362" s="1" nd="1"/>
        <i x="1229" s="1" nd="1"/>
        <i x="3275" s="1" nd="1"/>
        <i x="3257" s="1" nd="1"/>
        <i x="2367" s="1" nd="1"/>
        <i x="1450" s="1" nd="1"/>
        <i x="1534" s="1" nd="1"/>
        <i x="1326" s="1" nd="1"/>
        <i x="2653" s="1" nd="1"/>
        <i x="2819" s="1" nd="1"/>
        <i x="2185" s="1" nd="1"/>
        <i x="1039" s="1" nd="1"/>
        <i x="209" s="1" nd="1"/>
        <i x="2772" s="1" nd="1"/>
        <i x="2062" s="1" nd="1"/>
        <i x="2077" s="1" nd="1"/>
        <i x="3268" s="1" nd="1"/>
        <i x="430" s="1" nd="1"/>
        <i x="1506" s="1" nd="1"/>
        <i x="1773" s="1" nd="1"/>
        <i x="2191" s="1" nd="1"/>
        <i x="3145" s="1" nd="1"/>
        <i x="1680" s="1" nd="1"/>
        <i x="3793" s="1" nd="1"/>
        <i x="1601" s="1" nd="1"/>
        <i x="998" s="1" nd="1"/>
        <i x="1444" s="1" nd="1"/>
        <i x="1675" s="1" nd="1"/>
        <i x="3747" s="1" nd="1"/>
        <i x="2009" s="1" nd="1"/>
        <i x="979" s="1" nd="1"/>
        <i x="2834" s="1" nd="1"/>
        <i x="1624" s="1" nd="1"/>
        <i x="3838" s="1" nd="1"/>
        <i x="4274" s="1" nd="1"/>
        <i x="2479" s="1" nd="1"/>
        <i x="716" s="1" nd="1"/>
        <i x="2289" s="1" nd="1"/>
        <i x="1844" s="1" nd="1"/>
        <i x="3448" s="1" nd="1"/>
        <i x="1049" s="1" nd="1"/>
        <i x="117" s="1" nd="1"/>
        <i x="3738" s="1" nd="1"/>
        <i x="685" s="1" nd="1"/>
        <i x="2058" s="1" nd="1"/>
        <i x="76" s="1" nd="1"/>
        <i x="2570" s="1" nd="1"/>
        <i x="4429" s="1" nd="1"/>
        <i x="1880" s="1" nd="1"/>
        <i x="2509" s="1" nd="1"/>
        <i x="578" s="1" nd="1"/>
        <i x="914" s="1" nd="1"/>
        <i x="3595" s="1" nd="1"/>
        <i x="1513" s="1" nd="1"/>
        <i x="1690" s="1" nd="1"/>
        <i x="1362" s="1" nd="1"/>
        <i x="2513" s="1" nd="1"/>
        <i x="4347" s="1" nd="1"/>
        <i x="2111" s="1" nd="1"/>
        <i x="751" s="1" nd="1"/>
        <i x="1649" s="1" nd="1"/>
        <i x="3347" s="1" nd="1"/>
        <i x="265" s="1" nd="1"/>
        <i x="136" s="1" nd="1"/>
        <i x="1807" s="1" nd="1"/>
        <i x="1848" s="1" nd="1"/>
        <i x="1298" s="1" nd="1"/>
        <i x="2064" s="1" nd="1"/>
        <i x="1828" s="1" nd="1"/>
        <i x="528" s="1" nd="1"/>
        <i x="1842" s="1" nd="1"/>
        <i x="3951" s="1" nd="1"/>
        <i x="1522" s="1" nd="1"/>
        <i x="3024" s="1" nd="1"/>
        <i x="4223" s="1" nd="1"/>
        <i x="3614" s="1" nd="1"/>
        <i x="2998" s="1" nd="1"/>
        <i x="1307" s="1" nd="1"/>
        <i x="1501" s="1" nd="1"/>
        <i x="1375" s="1" nd="1"/>
        <i x="2413" s="1" nd="1"/>
        <i x="3178" s="1" nd="1"/>
        <i x="505" s="1" nd="1"/>
        <i x="2222" s="1" nd="1"/>
        <i x="1969" s="1" nd="1"/>
        <i x="1667" s="1" nd="1"/>
        <i x="1983" s="1" nd="1"/>
        <i x="4261" s="1" nd="1"/>
        <i x="2848" s="1" nd="1"/>
        <i x="1063" s="1" nd="1"/>
        <i x="3127" s="1" nd="1"/>
        <i x="2701" s="1" nd="1"/>
        <i x="3870" s="1" nd="1"/>
        <i x="4329" s="1" nd="1"/>
        <i x="3968" s="1" nd="1"/>
        <i x="4198" s="1" nd="1"/>
        <i x="1855" s="1" nd="1"/>
        <i x="1692" s="1" nd="1"/>
        <i x="2539" s="1" nd="1"/>
        <i x="3389" s="1" nd="1"/>
        <i x="2544" s="1" nd="1"/>
        <i x="2499" s="1" nd="1"/>
        <i x="3739" s="1" nd="1"/>
        <i x="1204" s="1" nd="1"/>
        <i x="1198" s="1" nd="1"/>
        <i x="2494" s="1" nd="1"/>
        <i x="3354" s="1" nd="1"/>
        <i x="1325" s="1" nd="1"/>
        <i x="4037" s="1" nd="1"/>
        <i x="2166" s="1" nd="1"/>
        <i x="3878" s="1" nd="1"/>
        <i x="2142" s="1" nd="1"/>
        <i x="3128" s="1" nd="1"/>
        <i x="826" s="1" nd="1"/>
        <i x="4212" s="1" nd="1"/>
        <i x="1295" s="1" nd="1"/>
        <i x="1876" s="1" nd="1"/>
        <i x="3941" s="1" nd="1"/>
        <i x="1396" s="1" nd="1"/>
        <i x="3147" s="1" nd="1"/>
        <i x="2304" s="1" nd="1"/>
        <i x="822" s="1" nd="1"/>
        <i x="929" s="1" nd="1"/>
        <i x="4366" s="1" nd="1"/>
        <i x="1964" s="1" nd="1"/>
        <i x="3696" s="1" nd="1"/>
        <i x="198" s="1" nd="1"/>
        <i x="1769" s="1" nd="1"/>
        <i x="3179" s="1" nd="1"/>
        <i x="457" s="1" nd="1"/>
        <i x="761" s="1" nd="1"/>
        <i x="4018" s="1" nd="1"/>
        <i x="292" s="1" nd="1"/>
        <i x="1185" s="1" nd="1"/>
        <i x="941" s="1" nd="1"/>
        <i x="2626" s="1" nd="1"/>
        <i x="4228" s="1" nd="1"/>
        <i x="2328" s="1" nd="1"/>
        <i x="2959" s="1" nd="1"/>
        <i x="2410" s="1" nd="1"/>
        <i x="2213" s="1" nd="1"/>
        <i x="3177" s="1" nd="1"/>
        <i x="1007" s="1" nd="1"/>
        <i x="1899" s="1" nd="1"/>
        <i x="3386" s="1" nd="1"/>
        <i x="4399" s="1" nd="1"/>
        <i x="1710" s="1" nd="1"/>
        <i x="351" s="1" nd="1"/>
        <i x="1653" s="1" nd="1"/>
        <i x="1559" s="1" nd="1"/>
        <i x="494" s="1" nd="1"/>
        <i x="4181" s="1" nd="1"/>
        <i x="4215" s="1" nd="1"/>
        <i x="1201" s="1" nd="1"/>
        <i x="2217" s="1" nd="1"/>
        <i x="3445" s="1" nd="1"/>
        <i x="2879" s="1" nd="1"/>
        <i x="2152" s="1" nd="1"/>
        <i x="3808" s="1" nd="1"/>
        <i x="2200" s="1" nd="1"/>
        <i x="1676" s="1" nd="1"/>
        <i x="4092" s="1" nd="1"/>
        <i x="1096" s="1" nd="1"/>
        <i x="3190" s="1" nd="1"/>
        <i x="1347" s="1" nd="1"/>
        <i x="513" s="1" nd="1"/>
        <i x="1657" s="1" nd="1"/>
        <i x="602" s="1" nd="1"/>
        <i x="3248" s="1" nd="1"/>
        <i x="2589" s="1" nd="1"/>
        <i x="3690" s="1" nd="1"/>
        <i x="4164" s="1" nd="1"/>
        <i x="1829" s="1" nd="1"/>
        <i x="3611" s="1" nd="1"/>
        <i x="1537" s="1" nd="1"/>
        <i x="2010" s="1" nd="1"/>
        <i x="1231" s="1" nd="1"/>
        <i x="1288" s="1" nd="1"/>
        <i x="1645" s="1" nd="1"/>
        <i x="3328" s="1" nd="1"/>
        <i x="617" s="1" nd="1"/>
        <i x="62" s="1" nd="1"/>
        <i x="3476" s="1" nd="1"/>
        <i x="1018" s="1" nd="1"/>
        <i x="3999" s="1" nd="1"/>
        <i x="3416" s="1" nd="1"/>
        <i x="2731" s="1" nd="1"/>
        <i x="1243" s="1" nd="1"/>
        <i x="342" s="1" nd="1"/>
        <i x="1612" s="1" nd="1"/>
        <i x="3637" s="1" nd="1"/>
        <i x="4111" s="1" nd="1"/>
        <i x="3562" s="1" nd="1"/>
        <i x="1219" s="1" nd="1"/>
        <i x="2585" s="1" nd="1"/>
        <i x="2437" s="1" nd="1"/>
        <i x="991" s="1" nd="1"/>
        <i x="3503" s="1" nd="1"/>
        <i x="1255" s="1" nd="1"/>
        <i x="3249" s="1" nd="1"/>
        <i x="2448" s="1" nd="1"/>
        <i x="2395" s="1" nd="1"/>
        <i x="1912" s="1" nd="1"/>
        <i x="2078" s="1" nd="1"/>
        <i x="2537" s="1" nd="1"/>
        <i x="2957" s="1" nd="1"/>
        <i x="2404" s="1" nd="1"/>
        <i x="3578" s="1" nd="1"/>
        <i x="1808" s="1" nd="1"/>
        <i x="3697" s="1" nd="1"/>
        <i x="703" s="1" nd="1"/>
        <i x="1210" s="1" nd="1"/>
        <i x="2753" s="1" nd="1"/>
        <i x="2972" s="1" nd="1"/>
        <i x="1333" s="1" nd="1"/>
        <i x="2039" s="1" nd="1"/>
        <i x="3295" s="1" nd="1"/>
        <i x="3686" s="1" nd="1"/>
        <i x="2182" s="1" nd="1"/>
        <i x="195" s="1" nd="1"/>
        <i x="3740" s="1" nd="1"/>
        <i x="3728" s="1" nd="1"/>
        <i x="1270" s="1" nd="1"/>
        <i x="1027" s="1" nd="1"/>
        <i x="3871" s="1" nd="1"/>
        <i x="1132" s="1" nd="1"/>
        <i x="3262" s="1" nd="1"/>
        <i x="3095" s="1" nd="1"/>
        <i x="2612" s="1" nd="1"/>
        <i x="399" s="1" nd="1"/>
        <i x="2008" s="1" nd="1"/>
        <i x="668" s="1" nd="1"/>
        <i x="2662" s="1" nd="1"/>
        <i x="2788" s="1" nd="1"/>
        <i x="153" s="1" nd="1"/>
        <i x="2083" s="1" nd="1"/>
        <i x="1590" s="1" nd="1"/>
        <i x="952" s="1" nd="1"/>
        <i x="530" s="1" nd="1"/>
        <i x="346" s="1" nd="1"/>
        <i x="3282" s="1" nd="1"/>
        <i x="1971" s="1" nd="1"/>
        <i x="1490" s="1" nd="1"/>
        <i x="3862" s="1" nd="1"/>
        <i x="916" s="1" nd="1"/>
        <i x="2650" s="1" nd="1"/>
        <i x="119" s="1" nd="1"/>
        <i x="334" s="1" nd="1"/>
        <i x="2125" s="1" nd="1"/>
        <i x="3119" s="1" nd="1"/>
        <i x="2389" s="1" nd="1"/>
        <i x="3223" s="1" nd="1"/>
        <i x="4302" s="1" nd="1"/>
        <i x="855" s="1" nd="1"/>
        <i x="2385" s="1" nd="1"/>
        <i x="1947" s="1" nd="1"/>
        <i x="613" s="1" nd="1"/>
        <i x="4036" s="1" nd="1"/>
        <i x="2670" s="1" nd="1"/>
        <i x="2929" s="1" nd="1"/>
        <i x="2767" s="1" nd="1"/>
        <i x="2401" s="1" nd="1"/>
        <i x="1170" s="1" nd="1"/>
        <i x="1875" s="1" nd="1"/>
        <i x="4248" s="1" nd="1"/>
        <i x="3045" s="1" nd="1"/>
        <i x="3292" s="1" nd="1"/>
        <i x="468" s="1" nd="1"/>
        <i x="1277" s="1" nd="1"/>
        <i x="3404" s="1" nd="1"/>
        <i x="925" s="1" nd="1"/>
        <i x="320" s="1" nd="1"/>
        <i x="411" s="1" nd="1"/>
        <i x="2826" s="1" nd="1"/>
        <i x="197" s="1" nd="1"/>
        <i x="643" s="1" nd="1"/>
        <i x="504" s="1" nd="1"/>
        <i x="593" s="1" nd="1"/>
        <i x="3993" s="1" nd="1"/>
        <i x="2386" s="1" nd="1"/>
        <i x="3104" s="1" nd="1"/>
        <i x="2141" s="1" nd="1"/>
        <i x="30" s="1" nd="1"/>
        <i x="307" s="1" nd="1"/>
        <i x="4250" s="1" nd="1"/>
        <i x="3863" s="1" nd="1"/>
        <i x="2552" s="1" nd="1"/>
        <i x="2789" s="1" nd="1"/>
        <i x="3338" s="1" nd="1"/>
        <i x="4340" s="1" nd="1"/>
        <i x="1797" s="1" nd="1"/>
        <i x="896" s="1" nd="1"/>
        <i x="2359" s="1" nd="1"/>
        <i x="3084" s="1" nd="1"/>
        <i x="4384" s="1" nd="1"/>
        <i x="4064" s="1" nd="1"/>
        <i x="1193" s="1" nd="1"/>
        <i x="369" s="1" nd="1"/>
        <i x="164" s="1" nd="1"/>
        <i x="2151" s="1" nd="1"/>
        <i x="247" s="1" nd="1"/>
        <i x="661" s="1" nd="1"/>
        <i x="2244" s="1" nd="1"/>
        <i x="1839" s="1" nd="1"/>
        <i x="897" s="1" nd="1"/>
        <i x="1188" s="1" nd="1"/>
        <i x="1564" s="1" nd="1"/>
        <i x="1835" s="1" nd="1"/>
        <i x="3097" s="1" nd="1"/>
        <i x="2329" s="1" nd="1"/>
        <i x="412" s="1" nd="1"/>
        <i x="2181" s="1" nd="1"/>
        <i x="1581" s="1" nd="1"/>
        <i x="1164" s="1" nd="1"/>
        <i x="379" s="1" nd="1"/>
        <i x="4241" s="1" nd="1"/>
        <i x="2354" s="1" nd="1"/>
        <i x="1238" s="1" nd="1"/>
        <i x="3426" s="1" nd="1"/>
        <i x="1101" s="1" nd="1"/>
        <i x="4049" s="1" nd="1"/>
        <i x="3628" s="1" nd="1"/>
        <i x="2301" s="1" nd="1"/>
        <i x="3923" s="1" nd="1"/>
        <i x="310" s="1" nd="1"/>
        <i x="2862" s="1" nd="1"/>
        <i x="4229" s="1" nd="1"/>
        <i x="1380" s="1" nd="1"/>
        <i x="242" s="1" nd="1"/>
        <i x="4188" s="1" nd="1"/>
        <i x="447" s="1" nd="1"/>
        <i x="226" s="1" nd="1"/>
        <i x="223" s="1" nd="1"/>
        <i x="516" s="1" nd="1"/>
        <i x="1186" s="1" nd="1"/>
        <i x="2517" s="1" nd="1"/>
        <i x="960" s="1" nd="1"/>
        <i x="2742" s="1" nd="1"/>
        <i x="303" s="1" nd="1"/>
        <i x="2065" s="1" nd="1"/>
        <i x="1387" s="1" nd="1"/>
        <i x="3798" s="1" nd="1"/>
        <i x="1759" s="1" nd="1"/>
        <i x="4430" s="1" nd="1"/>
        <i x="714" s="1" nd="1"/>
        <i x="367" s="1" nd="1"/>
        <i x="382" s="1" nd="1"/>
        <i x="3402" s="1" nd="1"/>
        <i x="2234" s="1" nd="1"/>
        <i x="97" s="1" nd="1"/>
        <i x="130" s="1" nd="1"/>
        <i x="2709" s="1" nd="1"/>
        <i x="3552" s="1" nd="1"/>
        <i x="4151" s="1" nd="1"/>
        <i x="3065" s="1" nd="1"/>
        <i x="3861" s="1" nd="1"/>
        <i x="3994" s="1" nd="1"/>
        <i x="3928" s="1" nd="1"/>
        <i x="1989" s="1" nd="1"/>
        <i x="3840" s="1" nd="1"/>
        <i x="755" s="1" nd="1"/>
        <i x="4166" s="1" nd="1"/>
        <i x="2403" s="1" nd="1"/>
        <i x="4289" s="1" nd="1"/>
        <i x="2800" s="1" nd="1"/>
        <i x="3716" s="1" nd="1"/>
        <i x="2681" s="1" nd="1"/>
        <i x="554" s="1" nd="1"/>
        <i x="1175" s="1" nd="1"/>
        <i x="2983" s="1" nd="1"/>
        <i x="444" s="1" nd="1"/>
        <i x="3067" s="1" nd="1"/>
        <i x="3589" s="1" nd="1"/>
        <i x="3243" s="1" nd="1"/>
        <i x="4065" s="1" nd="1"/>
        <i x="3457" s="1" nd="1"/>
        <i x="2411" s="1" nd="1"/>
        <i x="906" s="1" nd="1"/>
        <i x="1072" s="1" nd="1"/>
        <i x="1016" s="1" nd="1"/>
        <i x="2651" s="1" nd="1"/>
        <i x="4076" s="1" nd="1"/>
        <i x="675" s="1" nd="1"/>
        <i x="3230" s="1" nd="1"/>
        <i x="2408" s="1" nd="1"/>
        <i x="2148" s="1" nd="1"/>
        <i x="4297" s="1" nd="1"/>
        <i x="3570" s="1" nd="1"/>
        <i x="728" s="1" nd="1"/>
        <i x="9" s="1" nd="1"/>
        <i x="2521" s="1" nd="1"/>
        <i x="4421" s="1" nd="1"/>
        <i x="3700" s="1" nd="1"/>
        <i x="3467" s="1" nd="1"/>
        <i x="498" s="1" nd="1"/>
        <i x="2614" s="1" nd="1"/>
        <i x="707" s="1" nd="1"/>
        <i x="256" s="1" nd="1"/>
        <i x="3089" s="1" nd="1"/>
        <i x="1292" s="1" nd="1"/>
        <i x="2861" s="1" nd="1"/>
        <i x="2503" s="1" nd="1"/>
        <i x="3180" s="1" nd="1"/>
        <i x="1139" s="1" nd="1"/>
        <i x="1802" s="1" nd="1"/>
        <i x="2530" s="1" nd="1"/>
        <i x="1558" s="1" nd="1"/>
        <i x="168" s="1" nd="1"/>
        <i x="2073" s="1" nd="1"/>
        <i x="417" s="1" nd="1"/>
        <i x="2921" s="1" nd="1"/>
        <i x="3241" s="1" nd="1"/>
        <i x="3442" s="1" nd="1"/>
        <i x="696" s="1" nd="1"/>
        <i x="1686" s="1" nd="1"/>
        <i x="1245" s="1" nd="1"/>
        <i x="2737" s="1" nd="1"/>
        <i x="1503" s="1" nd="1"/>
        <i x="1910" s="1" nd="1"/>
        <i x="3066" s="1" nd="1"/>
        <i x="16" s="1" nd="1"/>
        <i x="3509" s="1" nd="1"/>
        <i x="4350" s="1" nd="1"/>
        <i x="1050" s="1" nd="1"/>
        <i x="3980" s="1" nd="1"/>
        <i x="627" s="1" nd="1"/>
        <i x="3334" s="1" nd="1"/>
        <i x="2153" s="1" nd="1"/>
        <i x="1267" s="1" nd="1"/>
        <i x="2855" s="1" nd="1"/>
        <i x="2293" s="1" nd="1"/>
        <i x="2380" s="1" nd="1"/>
        <i x="110" s="1" nd="1"/>
        <i x="1705" s="1" nd="1"/>
        <i x="3501" s="1" nd="1"/>
        <i x="355" s="1" nd="1"/>
        <i x="1473" s="1" nd="1"/>
        <i x="2346" s="1" nd="1"/>
        <i x="1425" s="1" nd="1"/>
        <i x="1336" s="1" nd="1"/>
        <i x="167" s="1" nd="1"/>
        <i x="3164" s="1" nd="1"/>
        <i x="2426" s="1" nd="1"/>
        <i x="2992" s="1" nd="1"/>
        <i x="541" s="1" nd="1"/>
        <i x="1057" s="1" nd="1"/>
        <i x="3253" s="1" nd="1"/>
        <i x="2970" s="1" nd="1"/>
        <i x="3952" s="1" nd="1"/>
        <i x="2474" s="1" nd="1"/>
        <i x="1349" s="1" nd="1"/>
        <i x="165" s="1" nd="1"/>
        <i x="4233" s="1" nd="1"/>
        <i x="3166" s="1" nd="1"/>
        <i x="589" s="1" nd="1"/>
        <i x="1389" s="1" nd="1"/>
        <i x="2562" s="1" nd="1"/>
        <i x="2893" s="1" nd="1"/>
        <i x="3266" s="1" nd="1"/>
        <i x="3554" s="1" nd="1"/>
        <i x="4375" s="1" nd="1"/>
        <i x="3202" s="1" nd="1"/>
        <i x="3635" s="1" nd="1"/>
        <i x="445" s="1" nd="1"/>
        <i x="1474" s="1" nd="1"/>
        <i x="3112" s="1" nd="1"/>
        <i x="2916" s="1" nd="1"/>
        <i x="1471" s="1" nd="1"/>
        <i x="1526" s="1" nd="1"/>
        <i x="852" s="1" nd="1"/>
        <i x="562" s="1" nd="1"/>
        <i x="1597" s="1" nd="1"/>
        <i x="1836" s="1" nd="1"/>
        <i x="64" s="1" nd="1"/>
        <i x="3033" s="1" nd="1"/>
        <i x="2721" s="1" nd="1"/>
        <i x="196" s="1" nd="1"/>
        <i x="2951" s="1" nd="1"/>
        <i x="4067" s="1" nd="1"/>
        <i x="3424" s="1" nd="1"/>
        <i x="1767" s="1" nd="1"/>
        <i x="1373" s="1" nd="1"/>
        <i x="3754" s="1" nd="1"/>
        <i x="427" s="1" nd="1"/>
        <i x="2177" s="1" nd="1"/>
        <i x="1068" s="1" nd="1"/>
        <i x="2361" s="1" nd="1"/>
        <i x="1926" s="1" nd="1"/>
        <i x="3613" s="1" nd="1"/>
        <i x="4317" s="1" nd="1"/>
        <i x="642" s="1" nd="1"/>
        <i x="3391" s="1" nd="1"/>
        <i x="2245" s="1" nd="1"/>
        <i x="269" s="1" nd="1"/>
        <i x="1770" s="1" nd="1"/>
        <i x="474" s="1" nd="1"/>
        <i x="1171" s="1" nd="1"/>
        <i x="638" s="1" nd="1"/>
        <i x="2101" s="1" nd="1"/>
        <i x="2648" s="1" nd="1"/>
        <i x="3834" s="1" nd="1"/>
        <i x="3596" s="1" nd="1"/>
        <i x="532" s="1" nd="1"/>
        <i x="1965" s="1" nd="1"/>
        <i x="3352" s="1" nd="1"/>
        <i x="1544" s="1" nd="1"/>
        <i x="3498" s="1" nd="1"/>
        <i x="123" s="1" nd="1"/>
        <i x="2102" s="1" nd="1"/>
        <i x="1524" s="1" nd="1"/>
        <i x="2754" s="1" nd="1"/>
        <i x="3325" s="1" nd="1"/>
        <i x="332" s="1" nd="1"/>
        <i x="729" s="1" nd="1"/>
        <i x="1144" s="1" nd="1"/>
        <i x="3724" s="1" nd="1"/>
        <i x="3316" s="1" nd="1"/>
        <i x="2802" s="1" nd="1"/>
        <i x="2856" s="1" nd="1"/>
        <i x="2471" s="1" nd="1"/>
        <i x="2616" s="1" nd="1"/>
        <i x="3514" s="1" nd="1"/>
        <i x="752" s="1" nd="1"/>
        <i x="2042" s="1" nd="1"/>
        <i x="2092" s="1" nd="1"/>
        <i x="3100" s="1" nd="1"/>
        <i x="435" s="1" nd="1"/>
        <i x="204" s="1" nd="1"/>
        <i x="917" s="1" nd="1"/>
        <i x="2976" s="1" nd="1"/>
        <i x="695" s="1" nd="1"/>
        <i x="3288" s="1" nd="1"/>
        <i x="2574" s="1" nd="1"/>
        <i x="3029" s="1" nd="1"/>
        <i x="616" s="1" nd="1"/>
        <i x="298" s="1" nd="1"/>
        <i x="2608" s="1" nd="1"/>
        <i x="3271" s="1" nd="1"/>
        <i x="2498" s="1" nd="1"/>
        <i x="2150" s="1" nd="1"/>
        <i x="3461" s="1" nd="1"/>
        <i x="4342" s="1" nd="1"/>
        <i x="4424" s="1" nd="1"/>
        <i x="4135" s="1" nd="1"/>
        <i x="2149" s="1" nd="1"/>
        <i x="1843" s="1" nd="1"/>
        <i x="2022" s="1" nd="1"/>
        <i x="3766" s="1" nd="1"/>
        <i x="3088" s="1" nd="1"/>
        <i x="3463" s="1" nd="1"/>
        <i x="2003" s="1" nd="1"/>
        <i x="3636" s="1" nd="1"/>
        <i x="2491" s="1" nd="1"/>
        <i x="3055" s="1" nd="1"/>
        <i x="2006" s="1" nd="1"/>
        <i x="2519" s="1" nd="1"/>
        <i x="4294" s="1" nd="1"/>
        <i x="3621" s="1" nd="1"/>
        <i x="780" s="1" nd="1"/>
        <i x="2431" s="1" nd="1"/>
        <i x="1840" s="1" nd="1"/>
        <i x="4158" s="1" nd="1"/>
        <i x="4139" s="1" nd="1"/>
        <i x="3736" s="1" nd="1"/>
        <i x="1416" s="1" nd="1"/>
        <i x="1247" s="1" nd="1"/>
        <i x="1586" s="1" nd="1"/>
        <i x="603" s="1" nd="1"/>
        <i x="2909" s="1" nd="1"/>
        <i x="1006" s="1" nd="1"/>
        <i x="2397" s="1" nd="1"/>
        <i x="3015" s="1" nd="1"/>
        <i x="216" s="1" nd="1"/>
        <i x="902" s="1" nd="1"/>
        <i x="3708" s="1" nd="1"/>
        <i x="1476" s="1" nd="1"/>
        <i x="238" s="1" nd="1"/>
        <i x="2910" s="1" nd="1"/>
        <i x="3915" s="1" nd="1"/>
        <i x="3221" s="1" nd="1"/>
        <i x="4235" s="1" nd="1"/>
        <i x="58" s="1" nd="1"/>
        <i x="7" s="1" nd="1"/>
        <i x="3938" s="1" nd="1"/>
        <i x="2520" s="1" nd="1"/>
        <i x="4003" s="1" nd="1"/>
        <i x="3672" s="1" nd="1"/>
        <i x="3456" s="1" nd="1"/>
        <i x="2212" s="1" nd="1"/>
        <i x="2113" s="1" nd="1"/>
        <i x="3655" s="1" nd="1"/>
        <i x="3085" s="1" nd="1"/>
        <i x="2842" s="1" nd="1"/>
        <i x="1438" s="1" nd="1"/>
        <i x="4202" s="1" nd="1"/>
        <i x="185" s="1" nd="1"/>
        <i x="3734" s="1" nd="1"/>
        <i x="3730" s="1" nd="1"/>
        <i x="3375" s="1" nd="1"/>
        <i x="3638" s="1" nd="1"/>
        <i x="74" s="1" nd="1"/>
        <i x="1084" s="1" nd="1"/>
        <i x="4411" s="1" nd="1"/>
        <i x="1266" s="1" nd="1"/>
        <i x="2292" s="1" nd="1"/>
        <i x="1468" s="1" nd="1"/>
        <i x="4205" s="1" nd="1"/>
        <i x="1118" s="1" nd="1"/>
        <i x="2624" s="1" nd="1"/>
        <i x="3233" s="1" nd="1"/>
        <i x="2915" s="1" nd="1"/>
        <i x="257" s="1" nd="1"/>
        <i x="4130" s="1" nd="1"/>
        <i x="3277" s="1" nd="1"/>
        <i x="2866" s="1" nd="1"/>
        <i x="2727" s="1" nd="1"/>
        <i x="1284" s="1" nd="1"/>
        <i x="2023" s="1" nd="1"/>
        <i x="710" s="1" nd="1"/>
        <i x="1993" s="1" nd="1"/>
        <i x="129" s="1" nd="1"/>
        <i x="629" s="1" nd="1"/>
        <i x="575" s="1" nd="1"/>
        <i x="517" s="1" nd="1"/>
        <i x="4099" s="1" nd="1"/>
        <i x="1651" s="1" nd="1"/>
        <i x="1485" s="1" nd="1"/>
        <i x="1279" s="1" nd="1"/>
        <i x="3971" s="1" nd="1"/>
        <i x="305" s="1" nd="1"/>
        <i x="1884" s="1" nd="1"/>
        <i x="3195" s="1" nd="1"/>
        <i x="1631" s="1" nd="1"/>
        <i x="3418" s="1" nd="1"/>
        <i x="3220" s="1" nd="1"/>
        <i x="4154" s="1" nd="1"/>
        <i x="4372" s="1" nd="1"/>
        <i x="1122" s="1" nd="1"/>
        <i x="1248" s="1" nd="1"/>
        <i x="4245" s="1" nd="1"/>
        <i x="1778" s="1" nd="1"/>
        <i x="596" s="1" nd="1"/>
        <i x="2050" s="1" nd="1"/>
        <i x="182" s="1" nd="1"/>
        <i x="2849" s="1" nd="1"/>
        <i x="3187" s="1" nd="1"/>
        <i x="1446" s="1" nd="1"/>
        <i x="1190" s="1" nd="1"/>
        <i x="1258" s="1" nd="1"/>
        <i x="312" s="1" nd="1"/>
        <i x="4015" s="1" nd="1"/>
        <i x="3632" s="1" nd="1"/>
        <i x="1606" s="1" nd="1"/>
        <i x="3996" s="1" nd="1"/>
        <i x="3718" s="1" nd="1"/>
        <i x="2079" s="1" nd="1"/>
        <i x="3982" s="1" nd="1"/>
        <i x="235" s="1" nd="1"/>
        <i x="2429" s="1" nd="1"/>
        <i x="835" s="1" nd="1"/>
        <i x="1128" s="1" nd="1"/>
        <i x="4332" s="1" nd="1"/>
        <i x="2867" s="1" nd="1"/>
        <i x="4272" s="1" nd="1"/>
        <i x="3901" s="1" nd="1"/>
        <i x="1345" s="1" nd="1"/>
        <i x="2790" s="1" nd="1"/>
        <i x="2719" s="1" nd="1"/>
        <i x="879" s="1" nd="1"/>
        <i x="2436" s="1" nd="1"/>
        <i x="3955" s="1" nd="1"/>
        <i x="2954" s="1" nd="1"/>
        <i x="3876" s="1" nd="1"/>
        <i x="951" s="1" nd="1"/>
        <i x="888" s="1" nd="1"/>
        <i x="966" s="1" nd="1"/>
        <i x="1470" s="1" nd="1"/>
        <i x="2942" s="1" nd="1"/>
        <i x="2172" s="1" nd="1"/>
        <i x="236" s="1" nd="1"/>
        <i x="4285" s="1" nd="1"/>
        <i x="1406" s="1" nd="1"/>
        <i x="534" s="1" nd="1"/>
        <i x="3137" s="1" nd="1"/>
        <i x="3387" s="1" nd="1"/>
        <i x="1966" s="1" nd="1"/>
        <i x="4021" s="1" nd="1"/>
        <i x="912" s="1" nd="1"/>
        <i x="2823" s="1" nd="1"/>
        <i x="2943" s="1" nd="1"/>
        <i x="1422" s="1" nd="1"/>
        <i x="1684" s="1" nd="1"/>
        <i x="630" s="1" nd="1"/>
        <i x="3822" s="1" nd="1"/>
        <i x="3633" s="1" nd="1"/>
        <i x="4401" s="1" nd="1"/>
        <i x="3093" s="1" nd="1"/>
        <i x="3139" s="1" nd="1"/>
        <i x="432" s="1" nd="1"/>
        <i x="2627" s="1" nd="1"/>
        <i x="2122" s="1" nd="1"/>
        <i x="2847" s="1" nd="1"/>
        <i x="4418" s="1" nd="1"/>
        <i x="3987" s="1" nd="1"/>
        <i x="4194" s="1" nd="1"/>
        <i x="66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AppData/smgarzon/Documents/Actas%20de%20liquidaci&#243;n%20aprobados/130091-0-2013%20-%20Acta%20de%20liquidaci&#243;n-%20ok.pdf" TargetMode="External"/><Relationship Id="rId21" Type="http://schemas.openxmlformats.org/officeDocument/2006/relationships/hyperlink" Target="../AppData/smgarzon/Documents/Actas%20de%20liquidaci&#243;n%20aprobados/LIQUIDACIONES%202015/150256-%20DAYANNA%20FERNANDEZ.pdf" TargetMode="External"/><Relationship Id="rId42" Type="http://schemas.openxmlformats.org/officeDocument/2006/relationships/hyperlink" Target="../AppData/smgarzon/Documents/Actas%20de%20liquidaci&#243;n%20aprobados/LIQUIDACIONES%202015/140210.pdf" TargetMode="External"/><Relationship Id="rId63" Type="http://schemas.openxmlformats.org/officeDocument/2006/relationships/hyperlink" Target="../AppData/smgarzon/Documents/Actas%20de%20liquidaci&#243;n%20aprobados/LIQUIDACIONES%202015/150382-%20OPENLINK.pdf" TargetMode="External"/><Relationship Id="rId84" Type="http://schemas.openxmlformats.org/officeDocument/2006/relationships/hyperlink" Target="../AppData/smgarzon/Documents/Actas%20de%20liquidaci&#243;n%20aprobados/LIQUIDACIONES%202015/160142-%20CAMILO%20SARMIENTO.pdf" TargetMode="External"/><Relationship Id="rId138" Type="http://schemas.openxmlformats.org/officeDocument/2006/relationships/hyperlink" Target="../AppData/smgarzon/Documents/Actas%20de%20liquidaci&#243;n%20aprobados/140330-0-2014%20-%20Informe%20final%20SOLUCIONES%20INTEGRALES%20DE%20OFICINA%20SAS%20(2).pdf" TargetMode="External"/><Relationship Id="rId159" Type="http://schemas.openxmlformats.org/officeDocument/2006/relationships/hyperlink" Target="../AppData/smgarzon/Documents/Actas%20de%20liquidaci&#243;n%20aprobados/liquidacion%20cto%20221-2012%20-%20ok.pdf" TargetMode="External"/><Relationship Id="rId170" Type="http://schemas.openxmlformats.org/officeDocument/2006/relationships/hyperlink" Target="../AppData/smgarzon/Documents/Actas%20de%20liquidaci&#243;n%20aprobados/LIQUIDACIONES%202015/140234.pdf" TargetMode="External"/><Relationship Id="rId191" Type="http://schemas.openxmlformats.org/officeDocument/2006/relationships/hyperlink" Target="../AppData/smgarzon/Documents/Actas%20de%20liquidaci&#243;n%20aprobados/LIQUIDACIONES%202015/140188-%20HERNANDO%20BULLA.pdf" TargetMode="External"/><Relationship Id="rId205" Type="http://schemas.openxmlformats.org/officeDocument/2006/relationships/hyperlink" Target="../AppData/smgarzon/Documents/Actas%20de%20liquidaci&#243;n%20aprobados/LIQUIDACIONES%202015/130194-%20EMINSER.pdf" TargetMode="External"/><Relationship Id="rId226" Type="http://schemas.openxmlformats.org/officeDocument/2006/relationships/hyperlink" Target="../AppData/smgarzon/Documents/Actas%20de%20liquidaci&#243;n%20aprobados/LIQUIDACIONES%202015/160048-%20REVISTA%20EL%20CONGRESO.pdf" TargetMode="External"/><Relationship Id="rId107" Type="http://schemas.openxmlformats.org/officeDocument/2006/relationships/hyperlink" Target="../AppData/smgarzon/Documents/Actas%20de%20liquidaci&#243;n%20aprobados/LIQUIDACIONES%202015/160296-%20COLOMBIANA%20DE%20COMERCIO.pdf" TargetMode="External"/><Relationship Id="rId11" Type="http://schemas.openxmlformats.org/officeDocument/2006/relationships/hyperlink" Target="../AppData/smgarzon/Documents/Actas%20de%20liquidaci&#243;n%20aprobados/LIQUIDACIONES%202015/150200-%20INGELECTRO.pdf" TargetMode="External"/><Relationship Id="rId32" Type="http://schemas.openxmlformats.org/officeDocument/2006/relationships/hyperlink" Target="../AppData/smgarzon/Documents/Actas%20de%20liquidaci&#243;n%20aprobados/LIQUIDACIONES%202015/150363-%20EDITORIAL%20EL%20GLOBO.pdf" TargetMode="External"/><Relationship Id="rId53" Type="http://schemas.openxmlformats.org/officeDocument/2006/relationships/hyperlink" Target="../AppData/smgarzon/Documents/Actas%20de%20liquidaci&#243;n%20aprobados/LIQUIDACIONES%202015/050000-302-0-2011%20PORTES%20DE%20COLOMBIA.pdf" TargetMode="External"/><Relationship Id="rId74" Type="http://schemas.openxmlformats.org/officeDocument/2006/relationships/hyperlink" Target="../AppData/smgarzon/Documents/Actas%20de%20liquidaci&#243;n%20aprobados/LIQUIDACIONES%202015/160240-%20DORA%20PINILLA.pdf" TargetMode="External"/><Relationship Id="rId128" Type="http://schemas.openxmlformats.org/officeDocument/2006/relationships/hyperlink" Target="../AppData/smgarzon/Documents/Actas%20de%20liquidaci&#243;n%20aprobados/130281-0-2013%20-%20Acta%20de%20liquidaci&#243;n%20-%20ok.pdf" TargetMode="External"/><Relationship Id="rId149" Type="http://schemas.openxmlformats.org/officeDocument/2006/relationships/hyperlink" Target="../AppData/smgarzon/Documents/Actas%20de%20liquidaci&#243;n%20aprobados/INFORME%20FINAL%20DE%20SUPERVISION%20CTO%20130163-0-2013.pdf" TargetMode="External"/><Relationship Id="rId5" Type="http://schemas.openxmlformats.org/officeDocument/2006/relationships/hyperlink" Target="../AppData/smgarzon/Documents/Actas%20de%20liquidaci&#243;n%20aprobados/LIQUIDACIONES%202015/150053-%20Adriana%20Payares.pdf" TargetMode="External"/><Relationship Id="rId95" Type="http://schemas.openxmlformats.org/officeDocument/2006/relationships/hyperlink" Target="../AppData/smgarzon/Documents/Actas%20de%20liquidaci&#243;n%20aprobados/140172-0-2014%20SONA%20GREEEN%20-%20Acta%20de%20liquidaci&#243;n%20-%20ok.pdf" TargetMode="External"/><Relationship Id="rId160" Type="http://schemas.openxmlformats.org/officeDocument/2006/relationships/hyperlink" Target="../AppData/smgarzon/Documents/Actas%20de%20liquidaci&#243;n%20aprobados/liquidacion%20cto%20381-2012%20(2)%20-%20ok.pdf" TargetMode="External"/><Relationship Id="rId181" Type="http://schemas.openxmlformats.org/officeDocument/2006/relationships/hyperlink" Target="../AppData/smgarzon/Documents/Actas%20de%20liquidaci&#243;n%20aprobados/LIQUIDACIONES%202015/150338%20-%20editorial%20la%20unidad.pdf" TargetMode="External"/><Relationship Id="rId216" Type="http://schemas.openxmlformats.org/officeDocument/2006/relationships/hyperlink" Target="../AppData/smgarzon/Documents/Actas%20de%20liquidaci&#243;n%20aprobados/LIQUIDACIONES%202015/150152-%20AGUAFILTERS.pdf" TargetMode="External"/><Relationship Id="rId237" Type="http://schemas.openxmlformats.org/officeDocument/2006/relationships/hyperlink" Target="../AppData/smgarzon/Documents/Actas%20de%20liquidaci&#243;n%20aprobados/LIQUIDACIONES%202015/160236-%20LUZ%20YANETH%20RODRIGUEZ.pdf" TargetMode="External"/><Relationship Id="rId22" Type="http://schemas.openxmlformats.org/officeDocument/2006/relationships/hyperlink" Target="../AppData/smgarzon/Documents/Actas%20de%20liquidaci&#243;n%20aprobados/LIQUIDACIONES%202015/150252-%20INSTITUCIONAL%20STAR%20SERVICES.pdf" TargetMode="External"/><Relationship Id="rId43" Type="http://schemas.openxmlformats.org/officeDocument/2006/relationships/hyperlink" Target="../AppData/smgarzon/Documents/Actas%20de%20liquidaci&#243;n%20aprobados/LIQUIDACIONES%202015/140356.pdf" TargetMode="External"/><Relationship Id="rId64" Type="http://schemas.openxmlformats.org/officeDocument/2006/relationships/hyperlink" Target="../AppData/smgarzon/Documents/Actas%20de%20liquidaci&#243;n%20aprobados/LIQUIDACIONES%202015/160152-%20CLAUDIA%20ELVIRA%20RODRIGUEZ.pdf" TargetMode="External"/><Relationship Id="rId118" Type="http://schemas.openxmlformats.org/officeDocument/2006/relationships/hyperlink" Target="../AppData/smgarzon/Documents/Actas%20de%20liquidaci&#243;n%20aprobados/130129-0-2013%20SOCIEDAD%20ENTORNO%20Y%20CIA%20LTDA%20-%20ok.pdf" TargetMode="External"/><Relationship Id="rId139" Type="http://schemas.openxmlformats.org/officeDocument/2006/relationships/hyperlink" Target="../AppData/smgarzon/Documents/Actas%20de%20liquidaci&#243;n%20aprobados/ACTA%20DE%20LIQUIDACION%20CONTRATO%20120000-399-0-2012%20-%20ok.pdf" TargetMode="External"/><Relationship Id="rId85" Type="http://schemas.openxmlformats.org/officeDocument/2006/relationships/hyperlink" Target="../AppData/smgarzon/Documents/Actas%20de%20liquidaci&#243;n%20aprobados/LIQUIDACIONES%202015/160143-IVON%20A.%20JIMENEZ.pdf" TargetMode="External"/><Relationship Id="rId150" Type="http://schemas.openxmlformats.org/officeDocument/2006/relationships/hyperlink" Target="../AppData/smgarzon/Documents/Actas%20de%20liquidaci&#243;n%20aprobados/INFORME%20FINAL%20DE%20SUPERVISION%20CTO%20130365-0-2013.pdf" TargetMode="External"/><Relationship Id="rId171" Type="http://schemas.openxmlformats.org/officeDocument/2006/relationships/hyperlink" Target="../AppData/smgarzon/Documents/Actas%20de%20liquidaci&#243;n%20aprobados/LIQUIDACIONES%202015/140236.pdf" TargetMode="External"/><Relationship Id="rId192" Type="http://schemas.openxmlformats.org/officeDocument/2006/relationships/hyperlink" Target="../AppData/smgarzon/Documents/Actas%20de%20liquidaci&#243;n%20aprobados/LIQUIDACIONES%202015/140216-%20UNP.pdf" TargetMode="External"/><Relationship Id="rId206" Type="http://schemas.openxmlformats.org/officeDocument/2006/relationships/hyperlink" Target="../AppData/smgarzon/Documents/Actas%20de%20liquidaci&#243;n%20aprobados/LIQUIDACIONES%202015/140334-%20EL%20GLOBO.pdf" TargetMode="External"/><Relationship Id="rId227" Type="http://schemas.openxmlformats.org/officeDocument/2006/relationships/hyperlink" Target="../AppData/smgarzon/Documents/Actas%20de%20liquidaci&#243;n%20aprobados/LIQUIDACIONES%202015/160087-%20FACTOR%20VISUAL.pdf" TargetMode="External"/><Relationship Id="rId12" Type="http://schemas.openxmlformats.org/officeDocument/2006/relationships/hyperlink" Target="../AppData/smgarzon/Documents/Actas%20de%20liquidaci&#243;n%20aprobados/LIQUIDACIONES%202015/150189-%20UNIPLES.pdf" TargetMode="External"/><Relationship Id="rId33" Type="http://schemas.openxmlformats.org/officeDocument/2006/relationships/hyperlink" Target="../AppData/smgarzon/Documents/Actas%20de%20liquidaci&#243;n%20aprobados/LIQUIDACIONES%202015/15369-%20DANIEL%20JOSE%20MORALES.pdf" TargetMode="External"/><Relationship Id="rId108" Type="http://schemas.openxmlformats.org/officeDocument/2006/relationships/hyperlink" Target="../AppData/smgarzon/Documents/Actas%20de%20liquidaci&#243;n%20aprobados/LIQUIDACIONES%202015/160145-%20INTELLIGENT.pdf" TargetMode="External"/><Relationship Id="rId129" Type="http://schemas.openxmlformats.org/officeDocument/2006/relationships/hyperlink" Target="../AppData/smgarzon/Documents/Actas%20de%20liquidaci&#243;n%20aprobados/130286-0-2013%20-%20Acta%20de%20liquidaci&#243;n%20-ok.pdf" TargetMode="External"/><Relationship Id="rId54" Type="http://schemas.openxmlformats.org/officeDocument/2006/relationships/hyperlink" Target="../AppData/smgarzon/Documents/Actas%20de%20liquidaci&#243;n%20aprobados/LIQUIDACIONES%202015/160293-ANGELA%20LIZETH%20PE&#209;A.pdf" TargetMode="External"/><Relationship Id="rId75" Type="http://schemas.openxmlformats.org/officeDocument/2006/relationships/hyperlink" Target="../AppData/smgarzon/Documents/Actas%20de%20liquidaci&#243;n%20aprobados/LIQUIDACIONES%202015/160141-%20MARTHA%20TAPIA.pdf" TargetMode="External"/><Relationship Id="rId96" Type="http://schemas.openxmlformats.org/officeDocument/2006/relationships/hyperlink" Target="../AppData/smgarzon/Documents/Actas%20de%20liquidaci&#243;n%20aprobados/140190-0-2014%20-%20ok.pdf" TargetMode="External"/><Relationship Id="rId140" Type="http://schemas.openxmlformats.org/officeDocument/2006/relationships/hyperlink" Target="../AppData/smgarzon/Documents/Actas%20de%20liquidaci&#243;n%20aprobados/Acta%20de%20Liquidaci&#243;n%20Contrato%20130200-0-2013%20-ok.pdf" TargetMode="External"/><Relationship Id="rId161" Type="http://schemas.openxmlformats.org/officeDocument/2006/relationships/hyperlink" Target="../AppData/smgarzon/Documents/Actas%20de%20liquidaci&#243;n%20aprobados/LIQUIDACION%20CTO%20120000-453-0-2012%20HERNANDO%20BULLA%20-%20ok.pdf" TargetMode="External"/><Relationship Id="rId182" Type="http://schemas.openxmlformats.org/officeDocument/2006/relationships/hyperlink" Target="../AppData/smgarzon/Documents/Actas%20de%20liquidaci&#243;n%20aprobados/LIQUIDACIONES%202015/150281-%20HUGO%20FERNANDO.pdf" TargetMode="External"/><Relationship Id="rId217" Type="http://schemas.openxmlformats.org/officeDocument/2006/relationships/hyperlink" Target="../AppData/smgarzon/Documents/Actas%20de%20liquidaci&#243;n%20aprobados/LIQUIDACIONES%202015/150168-%20MONRAK%20INGENIERIA.pdf" TargetMode="External"/><Relationship Id="rId6" Type="http://schemas.openxmlformats.org/officeDocument/2006/relationships/hyperlink" Target="../AppData/smgarzon/Documents/Actas%20de%20liquidaci&#243;n%20aprobados/LIQUIDACIONES%202015/150067-%20WIESNER%20ROBAYO.pdf" TargetMode="External"/><Relationship Id="rId238" Type="http://schemas.openxmlformats.org/officeDocument/2006/relationships/hyperlink" Target="../AppData/smgarzon/Documents/Actas%20de%20liquidaci&#243;n%20aprobados/LIQUIDACIONES%202015/160319-%20NEX%20COMPUTER.pdf" TargetMode="External"/><Relationship Id="rId23" Type="http://schemas.openxmlformats.org/officeDocument/2006/relationships/hyperlink" Target="../AppData/smgarzon/Documents/Actas%20de%20liquidaci&#243;n%20aprobados/LIQUIDACIONES%202015/150276-%20JAVIER%20JATIVA.pdf" TargetMode="External"/><Relationship Id="rId119" Type="http://schemas.openxmlformats.org/officeDocument/2006/relationships/hyperlink" Target="../AppData/smgarzon/Documents/Actas%20de%20liquidaci&#243;n%20aprobados/130139-0-2013%20-%20Acta%20de%20liquidaci&#243;n%20-ok.pdf" TargetMode="External"/><Relationship Id="rId44" Type="http://schemas.openxmlformats.org/officeDocument/2006/relationships/hyperlink" Target="../AppData/smgarzon/Documents/Actas%20de%20liquidaci&#243;n%20aprobados/LIQUIDACIONES%202015/140233-%20ELKIN%20DIMAS.pdf" TargetMode="External"/><Relationship Id="rId65" Type="http://schemas.openxmlformats.org/officeDocument/2006/relationships/hyperlink" Target="../AppData/smgarzon/Documents/Actas%20de%20liquidaci&#243;n%20aprobados/LIQUIDACIONES%202015/160216-%20DANIELA%20ANTOLINEZ.pdf" TargetMode="External"/><Relationship Id="rId86" Type="http://schemas.openxmlformats.org/officeDocument/2006/relationships/hyperlink" Target="../AppData/smgarzon/Documents/Actas%20de%20liquidaci&#243;n%20aprobados/LIQUIDACIONES%202015/160112-%20WIESNER%20FABIAN%20ROBAYO.pdf" TargetMode="External"/><Relationship Id="rId130" Type="http://schemas.openxmlformats.org/officeDocument/2006/relationships/hyperlink" Target="../AppData/smgarzon/Documents/Actas%20de%20liquidaci&#243;n%20aprobados/130334-0-2013%20Acta%20de%20liquidaci&#243;n%20-%20ok.pdf" TargetMode="External"/><Relationship Id="rId151" Type="http://schemas.openxmlformats.org/officeDocument/2006/relationships/hyperlink" Target="../AppData/smgarzon/Documents/Actas%20de%20liquidaci&#243;n%20aprobados/LIQUIDACION%20120000-504-0-2012%20GRUPO%20LOS%20LAGOS%20SAS%20(2)%20-%20ok.pdf" TargetMode="External"/><Relationship Id="rId172" Type="http://schemas.openxmlformats.org/officeDocument/2006/relationships/hyperlink" Target="../AppData/smgarzon/Documents/Actas%20de%20liquidaci&#243;n%20aprobados/LIQUIDACIONES%202015/140249.pdf" TargetMode="External"/><Relationship Id="rId193" Type="http://schemas.openxmlformats.org/officeDocument/2006/relationships/hyperlink" Target="../AppData/smgarzon/Documents/Actas%20de%20liquidaci&#243;n%20aprobados/LIQUIDACIONES%202015/140274-%20PUBLICACIONES%20SEMANA.pdf" TargetMode="External"/><Relationship Id="rId207" Type="http://schemas.openxmlformats.org/officeDocument/2006/relationships/hyperlink" Target="../AppData/smgarzon/Documents/Actas%20de%20liquidaci&#243;n%20aprobados/LIQUIDACIONES%202015/140418-%20CENTURY.pdf" TargetMode="External"/><Relationship Id="rId228" Type="http://schemas.openxmlformats.org/officeDocument/2006/relationships/hyperlink" Target="../AppData/smgarzon/Documents/Actas%20de%20liquidaci&#243;n%20aprobados/LIQUIDACIONES%202015/160215-%20DIDIER%20ESTEVEZ.pdf" TargetMode="External"/><Relationship Id="rId13" Type="http://schemas.openxmlformats.org/officeDocument/2006/relationships/hyperlink" Target="../AppData/smgarzon/Documents/Actas%20de%20liquidaci&#243;n%20aprobados/LIQUIDACIONES%202015/150221-%20SGS%20COLOMBIA.pdf" TargetMode="External"/><Relationship Id="rId109" Type="http://schemas.openxmlformats.org/officeDocument/2006/relationships/hyperlink" Target="../AppData/smgarzon/Documents/Actas%20de%20liquidaci&#243;n%20aprobados/LIQUIDACIONES%202015/150308-%20ARANDA%20SOFTWARE.pdf" TargetMode="External"/><Relationship Id="rId34" Type="http://schemas.openxmlformats.org/officeDocument/2006/relationships/hyperlink" Target="../AppData/smgarzon/Documents/Actas%20de%20liquidaci&#243;n%20aprobados/LIQUIDACIONES%202015/160041-%20DPC.pdf" TargetMode="External"/><Relationship Id="rId55" Type="http://schemas.openxmlformats.org/officeDocument/2006/relationships/hyperlink" Target="../AppData/smgarzon/Documents/Actas%20de%20liquidaci&#243;n%20aprobados/LIQUIDACIONES%202015/160144-0ELENCO.pdf" TargetMode="External"/><Relationship Id="rId76" Type="http://schemas.openxmlformats.org/officeDocument/2006/relationships/hyperlink" Target="../AppData/smgarzon/Documents/Actas%20de%20liquidaci&#243;n%20aprobados/LIQUIDACIONES%202015/160148-%20SANDRA%20MARCELA%20ROJAS.pdf" TargetMode="External"/><Relationship Id="rId97" Type="http://schemas.openxmlformats.org/officeDocument/2006/relationships/hyperlink" Target="../AppData/smgarzon/Documents/Actas%20de%20liquidaci&#243;n%20aprobados/LIQUIDACIONES%202015/140315-%20PROSEGUR.pdf" TargetMode="External"/><Relationship Id="rId120" Type="http://schemas.openxmlformats.org/officeDocument/2006/relationships/hyperlink" Target="../AppData/smgarzon/Documents/Actas%20de%20liquidaci&#243;n%20aprobados/130141-0-2013%20-%20Acta%20de%20liquidaci&#243;n%20-%20ok.pdf" TargetMode="External"/><Relationship Id="rId141" Type="http://schemas.openxmlformats.org/officeDocument/2006/relationships/hyperlink" Target="../AppData/smgarzon/Documents/Actas%20de%20liquidaci&#243;n%20aprobados/ACTA%20DE%20LIQUIDACION%20CONTRATO%20130346-0-2013%20-%20ok.pdf" TargetMode="External"/><Relationship Id="rId7" Type="http://schemas.openxmlformats.org/officeDocument/2006/relationships/hyperlink" Target="../AppData/smgarzon/Documents/Actas%20de%20liquidaci&#243;n%20aprobados/150073-%20ELVIN%20ALEXANDER.pdf" TargetMode="External"/><Relationship Id="rId162" Type="http://schemas.openxmlformats.org/officeDocument/2006/relationships/hyperlink" Target="../AppData/smgarzon/Documents/Actas%20de%20liquidaci&#243;n%20aprobados/LIQUIDACION%20CTO%20130154-0-2013%20MUDANZAS%20LEMUS%20-%20ok.pdf" TargetMode="External"/><Relationship Id="rId183" Type="http://schemas.openxmlformats.org/officeDocument/2006/relationships/hyperlink" Target="../AppData/smgarzon/Documents/Actas%20de%20liquidaci&#243;n%20aprobados/LIQUIDACIONES%202015/160089-%20UNIPLES.pdf" TargetMode="External"/><Relationship Id="rId218" Type="http://schemas.openxmlformats.org/officeDocument/2006/relationships/hyperlink" Target="../AppData/smgarzon/Documents/Actas%20de%20liquidaci&#243;n%20aprobados/LIQUIDACIONES%202015/150193-%20SOPT.pdf" TargetMode="External"/><Relationship Id="rId239" Type="http://schemas.openxmlformats.org/officeDocument/2006/relationships/printerSettings" Target="../printerSettings/printerSettings15.bin"/><Relationship Id="rId24" Type="http://schemas.openxmlformats.org/officeDocument/2006/relationships/hyperlink" Target="../AppData/smgarzon/Documents/Actas%20de%20liquidaci&#243;n%20aprobados/LIQUIDACIONES%202015/150279-%20WILLIAM%20QUINTERO.pdf" TargetMode="External"/><Relationship Id="rId45" Type="http://schemas.openxmlformats.org/officeDocument/2006/relationships/hyperlink" Target="../AppData/smgarzon/Documents/Actas%20de%20liquidaci&#243;n%20aprobados/LIQUIDACIONES%202015/150405-%20PROSEGUR.pdf" TargetMode="External"/><Relationship Id="rId66" Type="http://schemas.openxmlformats.org/officeDocument/2006/relationships/hyperlink" Target="../AppData/smgarzon/Documents/Actas%20de%20liquidaci&#243;n%20aprobados/LIQUIDACIONES%202015/160076-%20EDGAR%20E.%20GONZALEZ.pdf" TargetMode="External"/><Relationship Id="rId87" Type="http://schemas.openxmlformats.org/officeDocument/2006/relationships/hyperlink" Target="../AppData/smgarzon/Documents/Actas%20de%20liquidaci&#243;n%20aprobados/LIQUIDACIONES%202015/160162-%20JULIO%20ANDRES%20SANCHEZ.pdf" TargetMode="External"/><Relationship Id="rId110" Type="http://schemas.openxmlformats.org/officeDocument/2006/relationships/hyperlink" Target="../AppData/smgarzon/Documents/Actas%20de%20liquidaci&#243;n%20aprobados/LIQUIDACIONES%202015/160137-%20LAURA%20VILLARRAGA.pdf" TargetMode="External"/><Relationship Id="rId131" Type="http://schemas.openxmlformats.org/officeDocument/2006/relationships/hyperlink" Target="../AppData/smgarzon/Documents/Actas%20de%20liquidaci&#243;n%20aprobados/130363-0-2013%20-%20Acta%20de%20liquidaci&#243;n%20-%20ok.pdf" TargetMode="External"/><Relationship Id="rId152" Type="http://schemas.openxmlformats.org/officeDocument/2006/relationships/hyperlink" Target="../AppData/smgarzon/Documents/Actas%20de%20liquidaci&#243;n%20aprobados/LIQUIDACION%20130265-02013%20TECNOLOGIA%20BIOMEDICA%20SUMINISTROS%20-%20ok.pdf" TargetMode="External"/><Relationship Id="rId173" Type="http://schemas.openxmlformats.org/officeDocument/2006/relationships/hyperlink" Target="../AppData/smgarzon/Documents/Actas%20de%20liquidaci&#243;n%20aprobados/LIQUIDACIONES%202015/140279.pdf" TargetMode="External"/><Relationship Id="rId194" Type="http://schemas.openxmlformats.org/officeDocument/2006/relationships/hyperlink" Target="../AppData/smgarzon/Documents/Actas%20de%20liquidaci&#243;n%20aprobados/LIQUIDACIONES%202015/140281-%20SUPERIOR%20DE%20DOTACIONES.pdf" TargetMode="External"/><Relationship Id="rId208" Type="http://schemas.openxmlformats.org/officeDocument/2006/relationships/hyperlink" Target="../AppData/smgarzon/Documents/Actas%20de%20liquidaci&#243;n%20aprobados/LIQUIDACIONES%202015/140369-%20ICONTEC.pdf" TargetMode="External"/><Relationship Id="rId229" Type="http://schemas.openxmlformats.org/officeDocument/2006/relationships/hyperlink" Target="../AppData/smgarzon/Documents/Actas%20de%20liquidaci&#243;n%20aprobados/LIQUIDACIONES%202015/160260-%20MAP%20ING..pdf" TargetMode="External"/><Relationship Id="rId14" Type="http://schemas.openxmlformats.org/officeDocument/2006/relationships/hyperlink" Target="../AppData/smgarzon/Documents/Actas%20de%20liquidaci&#243;n%20aprobados/LIQUIDACIONES%202015/150214-%20CARLOS%20FERNANDO%20IBARRA.pdf" TargetMode="External"/><Relationship Id="rId35" Type="http://schemas.openxmlformats.org/officeDocument/2006/relationships/hyperlink" Target="../AppData/smgarzon/Documents/Actas%20de%20liquidaci&#243;n%20aprobados/LIQUIDACIONES%202015/150129-0-2015%20DIEGO%20ALEJANDRO%20RUBIO.pdf" TargetMode="External"/><Relationship Id="rId56" Type="http://schemas.openxmlformats.org/officeDocument/2006/relationships/hyperlink" Target="../AppData/smgarzon/Documents/Actas%20de%20liquidaci&#243;n%20aprobados/LIQUIDACIONES%202015/150223-SECURITYCOM%20SAS.pdf" TargetMode="External"/><Relationship Id="rId77" Type="http://schemas.openxmlformats.org/officeDocument/2006/relationships/hyperlink" Target="../AppData/smgarzon/Documents/Actas%20de%20liquidaci&#243;n%20aprobados/LIQUIDACIONES%202015/150225-%20TV%20ANDINA.pdf" TargetMode="External"/><Relationship Id="rId100" Type="http://schemas.openxmlformats.org/officeDocument/2006/relationships/hyperlink" Target="../AppData/smgarzon/Documents/Actas%20de%20liquidaci&#243;n%20aprobados/LIQUIDACIONES%202015/140306-%20LINALCA.pdf" TargetMode="External"/><Relationship Id="rId8" Type="http://schemas.openxmlformats.org/officeDocument/2006/relationships/hyperlink" Target="../AppData/smgarzon/Documents/Actas%20de%20liquidaci&#243;n%20aprobados/LIQUIDACIONES%202015/150198-%20UNP.pdf" TargetMode="External"/><Relationship Id="rId98" Type="http://schemas.openxmlformats.org/officeDocument/2006/relationships/hyperlink" Target="../AppData/smgarzon/Documents/Actas%20de%20liquidaci&#243;n%20aprobados/LIQUIDACIONES%202015/140317.pdf" TargetMode="External"/><Relationship Id="rId121" Type="http://schemas.openxmlformats.org/officeDocument/2006/relationships/hyperlink" Target="../AppData/smgarzon/Documents/Actas%20de%20liquidaci&#243;n%20aprobados/130162-0-2013%20-%20Acta%20de%20liquidaci&#243;n.pdf" TargetMode="External"/><Relationship Id="rId142" Type="http://schemas.openxmlformats.org/officeDocument/2006/relationships/hyperlink" Target="../AppData/smgarzon/Documents/Actas%20de%20liquidaci&#243;n%20aprobados/Acta%20de%20Liquidaci&#243;n%20del%20Contrato%20120000-396-0-2012%20-%20ok.pdf" TargetMode="External"/><Relationship Id="rId163" Type="http://schemas.openxmlformats.org/officeDocument/2006/relationships/hyperlink" Target="../AppData/smgarzon/Documents/Actas%20de%20liquidaci&#243;n%20aprobados/LIQUIDACION%20CTO%20130190-0-2013%20CR%20TROFEOS%20LTDA%20-%20ok.pdf" TargetMode="External"/><Relationship Id="rId184" Type="http://schemas.openxmlformats.org/officeDocument/2006/relationships/hyperlink" Target="../AppData/smgarzon/Documents/Actas%20de%20liquidaci&#243;n%20aprobados/LIQUIDACIONES%202015/140319-%20TEVEANDINA.pdf" TargetMode="External"/><Relationship Id="rId219" Type="http://schemas.openxmlformats.org/officeDocument/2006/relationships/hyperlink" Target="../AppData/smgarzon/Documents/Actas%20de%20liquidaci&#243;n%20aprobados/LIQUIDACIONES%202015/150274-%20MANUEL%20MALDONADO.pdf" TargetMode="External"/><Relationship Id="rId230" Type="http://schemas.openxmlformats.org/officeDocument/2006/relationships/hyperlink" Target="../AppData/smgarzon/Documents/Actas%20de%20liquidaci&#243;n%20aprobados/LIQUIDACIONES%202015/160306-%20ARTEINOX.pdf" TargetMode="External"/><Relationship Id="rId25" Type="http://schemas.openxmlformats.org/officeDocument/2006/relationships/hyperlink" Target="../AppData/smgarzon/Documents/Actas%20de%20liquidaci&#243;n%20aprobados/LIQUIDACIONES%202015/150286-%20CLAUDIA%20RODRIGUEZ.pdf" TargetMode="External"/><Relationship Id="rId46" Type="http://schemas.openxmlformats.org/officeDocument/2006/relationships/hyperlink" Target="../AppData/smgarzon/Documents/Actas%20de%20liquidaci&#243;n%20aprobados/LIQUIDACIONES%202015/160101-%20CLARA%20INES%20VARGAS%20MALAGON.pdf" TargetMode="External"/><Relationship Id="rId67" Type="http://schemas.openxmlformats.org/officeDocument/2006/relationships/hyperlink" Target="../AppData/smgarzon/Documents/Actas%20de%20liquidaci&#243;n%20aprobados/LIQUIDACIONES%202015/160244-%20CLAUDIA%20VANEGAS.pdf" TargetMode="External"/><Relationship Id="rId88" Type="http://schemas.openxmlformats.org/officeDocument/2006/relationships/hyperlink" Target="../AppData/smgarzon/Documents/Actas%20de%20liquidaci&#243;n%20aprobados/LIQUIDACIONES%202015/150358-%20MITSU%20MOTORS.pdf" TargetMode="External"/><Relationship Id="rId111" Type="http://schemas.openxmlformats.org/officeDocument/2006/relationships/hyperlink" Target="../AppData/smgarzon/Documents/Actas%20de%20liquidaci&#243;n%20aprobados/LIQUIDACIONES%202015/130044-%20MITSUBISHI%20ELECTRIC.pdf" TargetMode="External"/><Relationship Id="rId132" Type="http://schemas.openxmlformats.org/officeDocument/2006/relationships/hyperlink" Target="../AppData/smgarzon/Documents/Actas%20de%20liquidaci&#243;n%20aprobados/130384-0-2013%20-%20Acta%20de%20liquidaci&#243;n%20-%20ok.pdf" TargetMode="External"/><Relationship Id="rId153" Type="http://schemas.openxmlformats.org/officeDocument/2006/relationships/hyperlink" Target="../AppData/smgarzon/Documents/Actas%20de%20liquidaci&#243;n%20aprobados/LIQUIDACION%20130270-0-2013%20ITELCO%20IT%20SAS%20-%20ok.pdf" TargetMode="External"/><Relationship Id="rId174" Type="http://schemas.openxmlformats.org/officeDocument/2006/relationships/hyperlink" Target="../AppData/smgarzon/Documents/Actas%20de%20liquidaci&#243;n%20aprobados/LIQUIDACIONES%202015/140370.pdf" TargetMode="External"/><Relationship Id="rId195" Type="http://schemas.openxmlformats.org/officeDocument/2006/relationships/hyperlink" Target="../AppData/smgarzon/Documents/Actas%20de%20liquidaci&#243;n%20aprobados/LIQUIDACIONES%202015/140282-%20EL%20PERIODICO.pdf" TargetMode="External"/><Relationship Id="rId209" Type="http://schemas.openxmlformats.org/officeDocument/2006/relationships/hyperlink" Target="../AppData/smgarzon/Documents/Actas%20de%20liquidaci&#243;n%20aprobados/LIQUIDACIONES%202015/150080-%20LIZETH%20GONZALEZ.pdf" TargetMode="External"/><Relationship Id="rId190" Type="http://schemas.openxmlformats.org/officeDocument/2006/relationships/hyperlink" Target="../AppData/smgarzon/Documents/Actas%20de%20liquidaci&#243;n%20aprobados/LIQUIDACIONES%202015/140186-%20SECURITY%20COM.pdf" TargetMode="External"/><Relationship Id="rId204" Type="http://schemas.openxmlformats.org/officeDocument/2006/relationships/hyperlink" Target="../AppData/smgarzon/Documents/Actas%20de%20liquidaci&#243;n%20aprobados/LIQUIDACIONES%202015/130156-%20SOLUTION%20COPY.pdf" TargetMode="External"/><Relationship Id="rId220" Type="http://schemas.openxmlformats.org/officeDocument/2006/relationships/hyperlink" Target="../AppData/smgarzon/Documents/Actas%20de%20liquidaci&#243;n%20aprobados/LIQUIDACIONES%202015/150331-%20VIDEO%20BEAMS.pdf" TargetMode="External"/><Relationship Id="rId225" Type="http://schemas.openxmlformats.org/officeDocument/2006/relationships/hyperlink" Target="../AppData/smgarzon/Documents/Actas%20de%20liquidaci&#243;n%20aprobados/LIQUIDACIONES%202015/160045-%20VOMD.pdf" TargetMode="External"/><Relationship Id="rId15" Type="http://schemas.openxmlformats.org/officeDocument/2006/relationships/hyperlink" Target="../AppData/smgarzon/Documents/Actas%20de%20liquidaci&#243;n%20aprobados/LIQUIDACIONES%202015/150228-%20REVISTA%20EL%20CONGRESO%20SIGLO%20XXI.pdf" TargetMode="External"/><Relationship Id="rId36" Type="http://schemas.openxmlformats.org/officeDocument/2006/relationships/hyperlink" Target="../AppData/smgarzon/Documents/Actas%20de%20liquidaci&#243;n%20aprobados/LIQUIDACIONES%202015/150330-%20COMUNICAN.pdf" TargetMode="External"/><Relationship Id="rId57" Type="http://schemas.openxmlformats.org/officeDocument/2006/relationships/hyperlink" Target="../AppData/smgarzon/Documents/Actas%20de%20liquidaci&#243;n%20aprobados/LIQUIDACIONES%202015/150255-%20MEDALLAS%20COLOMBIANAS.pdf" TargetMode="External"/><Relationship Id="rId106" Type="http://schemas.openxmlformats.org/officeDocument/2006/relationships/hyperlink" Target="../AppData/smgarzon/Documents/Actas%20de%20liquidaci&#243;n%20aprobados/LIQUIDACIONES%202015/160277-%20controles%20empresariales.pdf" TargetMode="External"/><Relationship Id="rId127" Type="http://schemas.openxmlformats.org/officeDocument/2006/relationships/hyperlink" Target="../AppData/smgarzon/Documents/Actas%20de%20liquidaci&#243;n%20aprobados/130261-0-2013%20-%20Acta%20de%20liquidaci&#243;n%20-%20ok.pdf" TargetMode="External"/><Relationship Id="rId10" Type="http://schemas.openxmlformats.org/officeDocument/2006/relationships/hyperlink" Target="../AppData/smgarzon/Documents/Actas%20de%20liquidaci&#243;n%20aprobados/LIQUIDACIONES%202015/150209-%20A&amp;V%20EXPRESS.pdf" TargetMode="External"/><Relationship Id="rId31" Type="http://schemas.openxmlformats.org/officeDocument/2006/relationships/hyperlink" Target="../AppData/smgarzon/Documents/Actas%20de%20liquidaci&#243;n%20aprobados/LIQUIDACIONES%202015/150353-%20NEW%20STETIC%20SA.pdf" TargetMode="External"/><Relationship Id="rId52" Type="http://schemas.openxmlformats.org/officeDocument/2006/relationships/hyperlink" Target="../AppData/smgarzon/Documents/Actas%20de%20liquidaci&#243;n%20aprobados/LIQUIDACIONES%202015/150373-0-2015%20CRECE.pdf" TargetMode="External"/><Relationship Id="rId73" Type="http://schemas.openxmlformats.org/officeDocument/2006/relationships/hyperlink" Target="../AppData/smgarzon/Documents/Actas%20de%20liquidaci&#243;n%20aprobados/LIQUIDACIONES%202015/170014-%20JAVIER%20I.%20JATIVA.pdf" TargetMode="External"/><Relationship Id="rId78" Type="http://schemas.openxmlformats.org/officeDocument/2006/relationships/hyperlink" Target="../AppData/smgarzon/Documents/Actas%20de%20liquidaci&#243;n%20aprobados/LIQUIDACIONES%202015/150408-%20SOLUCIONES%20%20ICG%20SAS.pdf" TargetMode="External"/><Relationship Id="rId94" Type="http://schemas.openxmlformats.org/officeDocument/2006/relationships/hyperlink" Target="../AppData/smgarzon/Documents/Actas%20de%20liquidaci&#243;n%20aprobados/LIQUIDACIONES%202015/140222.pdf" TargetMode="External"/><Relationship Id="rId99" Type="http://schemas.openxmlformats.org/officeDocument/2006/relationships/hyperlink" Target="../AppData/smgarzon/Documents/Actas%20de%20liquidaci&#243;n%20aprobados/LIQUIDACIONES%202015/140252-%20LINALCA.pdf" TargetMode="External"/><Relationship Id="rId101" Type="http://schemas.openxmlformats.org/officeDocument/2006/relationships/hyperlink" Target="../AppData/smgarzon/Documents/Actas%20de%20liquidaci&#243;n%20aprobados/LIQUIDACIONES%202015/140377-%20GAMMA%20INGENIEROS.pdf" TargetMode="External"/><Relationship Id="rId122" Type="http://schemas.openxmlformats.org/officeDocument/2006/relationships/hyperlink" Target="../AppData/smgarzon/Documents/Actas%20de%20liquidaci&#243;n%20aprobados/130166-0-2013%20-%20Acta%20de%20Liquidaci&#243;n%20Contrato%20-%20ok.pdf" TargetMode="External"/><Relationship Id="rId143" Type="http://schemas.openxmlformats.org/officeDocument/2006/relationships/hyperlink" Target="../AppData/smgarzon/Documents/Actas%20de%20liquidaci&#243;n%20aprobados/Acta%20de%20terminaci&#243;n%20mutuo%20acuerdo%20Cto%20375-2013-DIANA%20PATRICIA%20JAIME.pdf" TargetMode="External"/><Relationship Id="rId148" Type="http://schemas.openxmlformats.org/officeDocument/2006/relationships/hyperlink" Target="../AppData/smgarzon/Documents/Actas%20de%20liquidaci&#243;n%20aprobados/INFORME%20FINAL%20140291-0-2014%20NAYIVE%20CARRASCO%20PATINO.pdf" TargetMode="External"/><Relationship Id="rId164" Type="http://schemas.openxmlformats.org/officeDocument/2006/relationships/hyperlink" Target="../AppData/smgarzon/Documents/Actas%20de%20liquidaci&#243;n%20aprobados/LIQUIDACION%20CTO%20130249-02013%20INGEAL%20-%20ok.pdf" TargetMode="External"/><Relationship Id="rId169" Type="http://schemas.openxmlformats.org/officeDocument/2006/relationships/hyperlink" Target="../AppData/smgarzon/Documents/Actas%20de%20liquidaci&#243;n%20aprobados/LIQUIDACIONES%202015/140181.pdf" TargetMode="External"/><Relationship Id="rId185" Type="http://schemas.openxmlformats.org/officeDocument/2006/relationships/hyperlink" Target="../AppData/smgarzon/Documents/Actas%20de%20liquidaci&#243;n%20aprobados/LIQUIDACIONES%202015/140322-%20SUMIMAS.pdf" TargetMode="External"/><Relationship Id="rId4" Type="http://schemas.openxmlformats.org/officeDocument/2006/relationships/hyperlink" Target="../AppData/smgarzon/Documents/Actas%20de%20liquidaci&#243;n%20aprobados/LIQUIDACIONES%202015/150035-%20Edgar%20Eulices.pdf" TargetMode="External"/><Relationship Id="rId9" Type="http://schemas.openxmlformats.org/officeDocument/2006/relationships/hyperlink" Target="../AppData/smgarzon/Documents/Actas%20de%20liquidaci&#243;n%20aprobados/LIQUIDACIONES%202015/150191-%20HERNANDO%20BULLA.pdf" TargetMode="External"/><Relationship Id="rId180" Type="http://schemas.openxmlformats.org/officeDocument/2006/relationships/hyperlink" Target="../AppData/smgarzon/Documents/Actas%20de%20liquidaci&#243;n%20aprobados/LIQUIDACIONES%202015/150280-%20%20PATRICIA%20DEL%20ROCIO%20PE&#209;A.pdf" TargetMode="External"/><Relationship Id="rId210" Type="http://schemas.openxmlformats.org/officeDocument/2006/relationships/hyperlink" Target="../AppData/smgarzon/Documents/Actas%20de%20liquidaci&#243;n%20aprobados/LIQUIDACIONES%202015/150081-%20LUISA%20FERNANDA.pdf" TargetMode="External"/><Relationship Id="rId215" Type="http://schemas.openxmlformats.org/officeDocument/2006/relationships/hyperlink" Target="../AppData/smgarzon/Documents/Actas%20de%20liquidaci&#243;n%20aprobados/LIQUIDACIONES%202015/150192%20-%20MATAY.pdf" TargetMode="External"/><Relationship Id="rId236" Type="http://schemas.openxmlformats.org/officeDocument/2006/relationships/hyperlink" Target="../AppData/smgarzon/Documents/Actas%20de%20liquidaci&#243;n%20aprobados/LIQUIDACIONES%202015/160199-%20BUSINESS%20TECHNOLOGIES.pdf" TargetMode="External"/><Relationship Id="rId26" Type="http://schemas.openxmlformats.org/officeDocument/2006/relationships/hyperlink" Target="../AppData/smgarzon/Documents/Actas%20de%20liquidaci&#243;n%20aprobados/LIQUIDACIONES%202015/150300-%20GERIZIM.pdf" TargetMode="External"/><Relationship Id="rId231" Type="http://schemas.openxmlformats.org/officeDocument/2006/relationships/hyperlink" Target="../AppData/smgarzon/Documents/Actas%20de%20liquidaci&#243;n%20aprobados/LIQUIDACIONES%202015/160310-%20PRACO.pdf" TargetMode="External"/><Relationship Id="rId47" Type="http://schemas.openxmlformats.org/officeDocument/2006/relationships/hyperlink" Target="../AppData/smgarzon/Documents/Actas%20de%20liquidaci&#243;n%20aprobados/LIQUIDACIONES%202015/150244-%20COTECNA.pdf" TargetMode="External"/><Relationship Id="rId68" Type="http://schemas.openxmlformats.org/officeDocument/2006/relationships/hyperlink" Target="../AppData/smgarzon/Documents/Actas%20de%20liquidaci&#243;n%20aprobados/LIQUIDACIONES%202015/160241-%20GIOVANNI%20SUAREZ.pdf" TargetMode="External"/><Relationship Id="rId89" Type="http://schemas.openxmlformats.org/officeDocument/2006/relationships/hyperlink" Target="../AppData/smgarzon/Documents/Actas%20de%20liquidaci&#243;n%20aprobados/LIQUIDACIONES%202015/160153-%20JOHANA%20POVEDA.pdf" TargetMode="External"/><Relationship Id="rId112" Type="http://schemas.openxmlformats.org/officeDocument/2006/relationships/hyperlink" Target="../AppData/smgarzon/Documents/Actas%20de%20liquidaci&#243;n%20aprobados/LIQUIDACIONES%202015/130214-%20SEGUROS%20GENERALES.pdf" TargetMode="External"/><Relationship Id="rId133" Type="http://schemas.openxmlformats.org/officeDocument/2006/relationships/hyperlink" Target="../AppData/smgarzon/Documents/Actas%20de%20liquidaci&#243;n%20aprobados/140140-0-2014%20-%20Acta%20de%20liquidaci&#243;n%20-%20ok.pdf" TargetMode="External"/><Relationship Id="rId154" Type="http://schemas.openxmlformats.org/officeDocument/2006/relationships/hyperlink" Target="../AppData/smgarzon/Documents/Actas%20de%20liquidaci&#243;n%20aprobados/liquidacion%20cto%20106-2013%20-%20ok.pdf" TargetMode="External"/><Relationship Id="rId175" Type="http://schemas.openxmlformats.org/officeDocument/2006/relationships/hyperlink" Target="../AppData/smgarzon/Documents/Actas%20de%20liquidaci&#243;n%20aprobados/LIQUIDACIONES%202015/140372.pdf" TargetMode="External"/><Relationship Id="rId196" Type="http://schemas.openxmlformats.org/officeDocument/2006/relationships/hyperlink" Target="../AppData/smgarzon/Documents/Actas%20de%20liquidaci&#243;n%20aprobados/LIQUIDACIONES%202015/140288-%20SGS.pdf" TargetMode="External"/><Relationship Id="rId200" Type="http://schemas.openxmlformats.org/officeDocument/2006/relationships/hyperlink" Target="../AppData/smgarzon/Documents/Actas%20de%20liquidaci&#243;n%20aprobados/LIQUIDACIONES%202015/150314-%20INGEAL.pdf" TargetMode="External"/><Relationship Id="rId16" Type="http://schemas.openxmlformats.org/officeDocument/2006/relationships/hyperlink" Target="../AppData/smgarzon/Documents/Actas%20de%20liquidaci&#243;n%20aprobados/LIQUIDACIONES%202015/150232-%20FORMARCHIVOS.pdf" TargetMode="External"/><Relationship Id="rId221" Type="http://schemas.openxmlformats.org/officeDocument/2006/relationships/hyperlink" Target="../AppData/smgarzon/Documents/Actas%20de%20liquidaci&#243;n%20aprobados/LIQUIDACIONES%202015/150394-%20SOLUCIONES%20H&amp;S.pdf" TargetMode="External"/><Relationship Id="rId37" Type="http://schemas.openxmlformats.org/officeDocument/2006/relationships/hyperlink" Target="../AppData/smgarzon/Documents/Actas%20de%20liquidaci&#243;n%20aprobados/LIQUIDACIONES%202015/150342-%20SEMANA.pdf" TargetMode="External"/><Relationship Id="rId58" Type="http://schemas.openxmlformats.org/officeDocument/2006/relationships/hyperlink" Target="../AppData/smgarzon/Documents/Actas%20de%20liquidaci&#243;n%20aprobados/LIQUIDACIONES%202015/150101-%20GLORIA%20CATALINA%20ROSERO.pdf" TargetMode="External"/><Relationship Id="rId79" Type="http://schemas.openxmlformats.org/officeDocument/2006/relationships/hyperlink" Target="../AppData/smgarzon/Documents/Actas%20de%20liquidaci&#243;n%20aprobados/LIQUIDACIONES%202015/150377-%20COMPENSAR.pdf" TargetMode="External"/><Relationship Id="rId102" Type="http://schemas.openxmlformats.org/officeDocument/2006/relationships/hyperlink" Target="../AppData/smgarzon/Documents/Actas%20de%20liquidaci&#243;n%20aprobados/LIQUIDACIONES%202015/140390-%20UT%20SICVEL.pdf" TargetMode="External"/><Relationship Id="rId123" Type="http://schemas.openxmlformats.org/officeDocument/2006/relationships/hyperlink" Target="../AppData/smgarzon/Documents/Actas%20de%20liquidaci&#243;n%20aprobados/130186-0-2013%20-%20Acta%20de%20liquidaci&#243;n%20-ok.pdf" TargetMode="External"/><Relationship Id="rId144" Type="http://schemas.openxmlformats.org/officeDocument/2006/relationships/hyperlink" Target="../AppData/smgarzon/Documents/Actas%20de%20liquidaci&#243;n%20aprobados/Acta%20de%20Terminaci&#243;n%20por%20Mutuo%20Acuerdo%20Cto%20140167-0-2014%20con%20soportes.pdf" TargetMode="External"/><Relationship Id="rId90" Type="http://schemas.openxmlformats.org/officeDocument/2006/relationships/hyperlink" Target="../AppData/smgarzon/Documents/Actas%20de%20liquidaci&#243;n%20aprobados/LIQUIDACIONES%202015/160139-%20DIANA%20PILAR%20DELGADO.pdf" TargetMode="External"/><Relationship Id="rId165" Type="http://schemas.openxmlformats.org/officeDocument/2006/relationships/hyperlink" Target="../AppData/smgarzon/Documents/Actas%20de%20liquidaci&#243;n%20aprobados/LIQUIDACION%20CTO%20130254-0-2013%20COMPENSAR%20%20-%20ok.pdf" TargetMode="External"/><Relationship Id="rId186" Type="http://schemas.openxmlformats.org/officeDocument/2006/relationships/hyperlink" Target="../AppData/smgarzon/Documents/Actas%20de%20liquidaci&#243;n%20aprobados/LIQUIDACIONES%202015/140312-%20CRISTIAN%20DAVID.pdf" TargetMode="External"/><Relationship Id="rId211" Type="http://schemas.openxmlformats.org/officeDocument/2006/relationships/hyperlink" Target="../AppData/smgarzon/Documents/Actas%20de%20liquidaci&#243;n%20aprobados/LIQUIDACIONES%202015/150083-%20DIANA%20MARCELA%20REYES.pdf" TargetMode="External"/><Relationship Id="rId232" Type="http://schemas.openxmlformats.org/officeDocument/2006/relationships/hyperlink" Target="../AppData/smgarzon/Documents/Actas%20de%20liquidaci&#243;n%20aprobados/LIQUIDACIONES%202015/130036-%20SYSTEM%20NET.pdf" TargetMode="External"/><Relationship Id="rId27" Type="http://schemas.openxmlformats.org/officeDocument/2006/relationships/hyperlink" Target="../AppData/smgarzon/Documents/Actas%20de%20liquidaci&#243;n%20aprobados/LIQUIDACIONES%202015/150312-%20SIIGO%20SA.pdf" TargetMode="External"/><Relationship Id="rId48" Type="http://schemas.openxmlformats.org/officeDocument/2006/relationships/hyperlink" Target="../AppData/smgarzon/Documents/Actas%20de%20liquidaci&#243;n%20aprobados/LIQUIDACIONES%202015/050000-272-0-2011%20AGR%20SOLUCIONES.pdf" TargetMode="External"/><Relationship Id="rId69" Type="http://schemas.openxmlformats.org/officeDocument/2006/relationships/hyperlink" Target="../AppData/smgarzon/Documents/Actas%20de%20liquidaci&#243;n%20aprobados/LIQUIDACIONES%202015/170021-%20ANGELICA%20MARIA%20RUBIO%20POLANCO.pdf" TargetMode="External"/><Relationship Id="rId113" Type="http://schemas.openxmlformats.org/officeDocument/2006/relationships/hyperlink" Target="../AppData/smgarzon/Documents/Actas%20de%20liquidaci&#243;n%20aprobados/130217-%20%20SOLUCIONES%20Y%20DIAGNOSTICOS.pdf" TargetMode="External"/><Relationship Id="rId134" Type="http://schemas.openxmlformats.org/officeDocument/2006/relationships/hyperlink" Target="../AppData/smgarzon/Documents/Actas%20de%20liquidaci&#243;n%20aprobados/140166-0-2014%20-%20Acta%20de%20liquidaci&#243;n%20-ok.pdf" TargetMode="External"/><Relationship Id="rId80" Type="http://schemas.openxmlformats.org/officeDocument/2006/relationships/hyperlink" Target="../AppData/smgarzon/Documents/Actas%20de%20liquidaci&#243;n%20aprobados/LIQUIDACIONES%202015/160138-%20WILSON%20GUERRERO.pdf" TargetMode="External"/><Relationship Id="rId155" Type="http://schemas.openxmlformats.org/officeDocument/2006/relationships/hyperlink" Target="../AppData/smgarzon/Documents/Actas%20de%20liquidaci&#243;n%20aprobados/liquidacion%20cto%20133-2013%20(2)%20-%20ok.pdf" TargetMode="External"/><Relationship Id="rId176" Type="http://schemas.openxmlformats.org/officeDocument/2006/relationships/hyperlink" Target="../AppData/smgarzon/Documents/Actas%20de%20liquidaci&#243;n%20aprobados/LIQUIDACIONES%202015/150076-%20JUDITH%20HERNANDEZ.pdf" TargetMode="External"/><Relationship Id="rId197" Type="http://schemas.openxmlformats.org/officeDocument/2006/relationships/hyperlink" Target="../AppData/smgarzon/Documents/Actas%20de%20liquidaci&#243;n%20aprobados/LIQUIDACIONES%202015/140290-%20CENDIATRA.pdf" TargetMode="External"/><Relationship Id="rId201" Type="http://schemas.openxmlformats.org/officeDocument/2006/relationships/hyperlink" Target="../AppData/smgarzon/Documents/Actas%20de%20liquidaci&#243;n%20aprobados/LIQUIDACIONES%202015/140207-%20MUDANZAS%20DEL%20NOGAL.pdf" TargetMode="External"/><Relationship Id="rId222" Type="http://schemas.openxmlformats.org/officeDocument/2006/relationships/hyperlink" Target="../AppData/smgarzon/Documents/Actas%20de%20liquidaci&#243;n%20aprobados/LIQUIDACIONES%202015/150398-%20MARLON%20MIRANDA.pdf" TargetMode="External"/><Relationship Id="rId17" Type="http://schemas.openxmlformats.org/officeDocument/2006/relationships/hyperlink" Target="../AppData/smgarzon/Documents/Actas%20de%20liquidaci&#243;n%20aprobados/LIQUIDACIONES%202015/150241-%20SOLUTION%20COPY.pdf" TargetMode="External"/><Relationship Id="rId38" Type="http://schemas.openxmlformats.org/officeDocument/2006/relationships/hyperlink" Target="../AppData/smgarzon/Documents/Actas%20de%20liquidaci&#243;n%20aprobados/LIQUIDACIONES%202015/150219-%20MITSUBISHI%20ELECTRIC.pdf" TargetMode="External"/><Relationship Id="rId59" Type="http://schemas.openxmlformats.org/officeDocument/2006/relationships/hyperlink" Target="../AppData/smgarzon/Documents/Actas%20de%20liquidaci&#243;n%20aprobados/LIQUIDACIONES%202015/150316-%20PROCOLDEXT.pdf" TargetMode="External"/><Relationship Id="rId103" Type="http://schemas.openxmlformats.org/officeDocument/2006/relationships/hyperlink" Target="../AppData/smgarzon/Documents/Actas%20de%20liquidaci&#243;n%20aprobados/LIQUIDACIONES%202015/140392-%20MAICROTEL.pdf" TargetMode="External"/><Relationship Id="rId124" Type="http://schemas.openxmlformats.org/officeDocument/2006/relationships/hyperlink" Target="../AppData/smgarzon/Documents/Actas%20de%20liquidaci&#243;n%20aprobados/130204-0-2013%20Acta%20de%20liquidaci&#243;n%20-%20ok.pdf" TargetMode="External"/><Relationship Id="rId70" Type="http://schemas.openxmlformats.org/officeDocument/2006/relationships/hyperlink" Target="../AppData/smgarzon/Documents/Actas%20de%20liquidaci&#243;n%20aprobados/LIQUIDACIONES%202015/160129-%20CRISTIAN%20CAMILO%20RAMOS.pdf" TargetMode="External"/><Relationship Id="rId91" Type="http://schemas.openxmlformats.org/officeDocument/2006/relationships/hyperlink" Target="../AppData/smgarzon/Documents/Actas%20de%20liquidaci&#243;n%20aprobados/LIQUIDACIONES%202015/160047-%20ROSA%20ENRIQUELINA%20GOMEZ.pdf" TargetMode="External"/><Relationship Id="rId145" Type="http://schemas.openxmlformats.org/officeDocument/2006/relationships/hyperlink" Target="../AppData/smgarzon/Documents/Actas%20de%20liquidaci&#243;n%20aprobados/acta%20liquidacion%20328-2013.pdf" TargetMode="External"/><Relationship Id="rId166" Type="http://schemas.openxmlformats.org/officeDocument/2006/relationships/hyperlink" Target="../AppData/smgarzon/Documents/Actas%20de%20liquidaci&#243;n%20aprobados/LIQUIDACIONES%202015/140154.pdf" TargetMode="External"/><Relationship Id="rId187" Type="http://schemas.openxmlformats.org/officeDocument/2006/relationships/hyperlink" Target="../AppData/smgarzon/Documents/Actas%20de%20liquidaci&#243;n%20aprobados/LIQUIDACIONES%202015/140292-%20JUAN%20SEBASTIAN%20RAMIREZ.pdf" TargetMode="External"/><Relationship Id="rId1" Type="http://schemas.openxmlformats.org/officeDocument/2006/relationships/hyperlink" Target="mailto:M@icrotel%20ltda" TargetMode="External"/><Relationship Id="rId212" Type="http://schemas.openxmlformats.org/officeDocument/2006/relationships/hyperlink" Target="../AppData/smgarzon/Documents/Actas%20de%20liquidaci&#243;n%20aprobados/LIQUIDACIONES%202015/150100-%20KHAANKO%20RUIZ.pdf" TargetMode="External"/><Relationship Id="rId233" Type="http://schemas.openxmlformats.org/officeDocument/2006/relationships/hyperlink" Target="../AppData/smgarzon/Documents/Actas%20de%20liquidaci&#243;n%20aprobados/LIQUIDACIONES%202015/150277-%20FAIBER%20CORREA.pdf" TargetMode="External"/><Relationship Id="rId28" Type="http://schemas.openxmlformats.org/officeDocument/2006/relationships/hyperlink" Target="../AppData/smgarzon/Documents/Actas%20de%20liquidaci&#243;n%20aprobados/LIQUIDACIONES%202015/150329-%20INFORMATICA%20DOCUMENTAL.pdf" TargetMode="External"/><Relationship Id="rId49" Type="http://schemas.openxmlformats.org/officeDocument/2006/relationships/hyperlink" Target="../AppData/smgarzon/Documents/Actas%20de%20liquidaci&#243;n%20aprobados/LIQUIDACIONES%202015/160072-%20RAFAELA%20ARIZA.pdf" TargetMode="External"/><Relationship Id="rId114" Type="http://schemas.openxmlformats.org/officeDocument/2006/relationships/hyperlink" Target="../AppData/smgarzon/Documents/Actas%20de%20liquidaci&#243;n%20aprobados/LIQUIDACIONES%202015/130130-%20TERPEL.pdf" TargetMode="External"/><Relationship Id="rId60" Type="http://schemas.openxmlformats.org/officeDocument/2006/relationships/hyperlink" Target="../AppData/smgarzon/Documents/Actas%20de%20liquidaci&#243;n%20aprobados/LIQUIDACIONES%202015/150320-%20NUEVA%20LEGISLACION.pdf" TargetMode="External"/><Relationship Id="rId81" Type="http://schemas.openxmlformats.org/officeDocument/2006/relationships/hyperlink" Target="../AppData/smgarzon/Documents/Actas%20de%20liquidaci&#243;n%20aprobados/LIQUIDACIONES%202015/160166-%20SGS%20COLOMBIA.pdf" TargetMode="External"/><Relationship Id="rId135" Type="http://schemas.openxmlformats.org/officeDocument/2006/relationships/hyperlink" Target="../AppData/smgarzon/Documents/Actas%20de%20liquidaci&#243;n%20aprobados/140173-0-2014%20-%20Acta%20de%20liquidaci&#243;n%20-%20ok.pdf" TargetMode="External"/><Relationship Id="rId156" Type="http://schemas.openxmlformats.org/officeDocument/2006/relationships/hyperlink" Target="../AppData/smgarzon/Documents/Actas%20de%20liquidaci&#243;n%20aprobados/liquidacion%20cto%20147-2013%20(2)%20-%20ok.pdf" TargetMode="External"/><Relationship Id="rId177" Type="http://schemas.openxmlformats.org/officeDocument/2006/relationships/hyperlink" Target="../AppData/smgarzon/Documents/Actas%20de%20liquidaci&#243;n%20aprobados/LIQUIDACIONES%202015/150101-%20GLORIA%20CATALINA%20ROSERO.pdf" TargetMode="External"/><Relationship Id="rId198" Type="http://schemas.openxmlformats.org/officeDocument/2006/relationships/hyperlink" Target="../AppData/smgarzon/Documents/Actas%20de%20liquidaci&#243;n%20aprobados/LIQUIDACIONES%202015/150278-%20YURI%20REYES.pdf" TargetMode="External"/><Relationship Id="rId202" Type="http://schemas.openxmlformats.org/officeDocument/2006/relationships/hyperlink" Target="../AppData/smgarzon/Documents/Actas%20de%20liquidaci&#243;n%20aprobados/LIQUIDACIONES%202015/120000-451-0-2012%20COMPENSAR.pdf" TargetMode="External"/><Relationship Id="rId223" Type="http://schemas.openxmlformats.org/officeDocument/2006/relationships/hyperlink" Target="../AppData/smgarzon/Documents/Actas%20de%20liquidaci&#243;n%20aprobados/LIQUIDACIONES%202015/150404-%20PUBLIDRUGS.pdf" TargetMode="External"/><Relationship Id="rId18" Type="http://schemas.openxmlformats.org/officeDocument/2006/relationships/hyperlink" Target="../AppData/smgarzon/Documents/Actas%20de%20liquidaci&#243;n%20aprobados/LIQUIDACIONES%202015/150245-%20SANDRA%20M%20ROJAS.pdf" TargetMode="External"/><Relationship Id="rId39" Type="http://schemas.openxmlformats.org/officeDocument/2006/relationships/hyperlink" Target="../AppData/smgarzon/Documents/Actas%20de%20liquidaci&#243;n%20aprobados/LIQUIDACIONES%202015/150391-UNION%20TEMPORAL%20BMIND%20-%20KOGHI.pdf" TargetMode="External"/><Relationship Id="rId50" Type="http://schemas.openxmlformats.org/officeDocument/2006/relationships/hyperlink" Target="../AppData/smgarzon/Documents/Actas%20de%20liquidaci&#243;n%20aprobados/LIQUIDACIONES%202015/160092-%20JAVIER%20IGNACIO%20JATIVA.pdf" TargetMode="External"/><Relationship Id="rId104" Type="http://schemas.openxmlformats.org/officeDocument/2006/relationships/hyperlink" Target="../AppData/smgarzon/Documents/Actas%20de%20liquidaci&#243;n%20aprobados/LIQUIDACIONES%202015/150211-%20SEAN%20ELECTRONICA.pdf" TargetMode="External"/><Relationship Id="rId125" Type="http://schemas.openxmlformats.org/officeDocument/2006/relationships/hyperlink" Target="../AppData/smgarzon/Documents/Actas%20de%20liquidaci&#243;n%20aprobados/130211-0-2013%20-%20Acta%20de%20liquidaci&#243;n%20-%20ok.pdf" TargetMode="External"/><Relationship Id="rId146" Type="http://schemas.openxmlformats.org/officeDocument/2006/relationships/hyperlink" Target="../AppData/smgarzon/Documents/Actas%20de%20liquidaci&#243;n%20aprobados/INFORME%20FINAL%20130385-0-2013%20NORMA%20MESA.pdf" TargetMode="External"/><Relationship Id="rId167" Type="http://schemas.openxmlformats.org/officeDocument/2006/relationships/hyperlink" Target="../AppData/smgarzon/Documents/Actas%20de%20liquidaci&#243;n%20aprobados/LIQUIDACIONES%202015/140176.pdf" TargetMode="External"/><Relationship Id="rId188" Type="http://schemas.openxmlformats.org/officeDocument/2006/relationships/hyperlink" Target="../AppData/smgarzon/Documents/Actas%20de%20liquidaci&#243;n%20aprobados/LIQUIDACIONES%202015/140299-%20LIZETH%20GONZALEZ.pdf" TargetMode="External"/><Relationship Id="rId71" Type="http://schemas.openxmlformats.org/officeDocument/2006/relationships/hyperlink" Target="../AppData/smgarzon/Documents/Actas%20de%20liquidaci&#243;n%20aprobados/LIQUIDACIONES%202015/160242-%20JONATHAN%20ZAMUDIO.pdf" TargetMode="External"/><Relationship Id="rId92" Type="http://schemas.openxmlformats.org/officeDocument/2006/relationships/hyperlink" Target="../AppData/smgarzon/Documents/Actas%20de%20liquidaci&#243;n%20aprobados/LIQUIDACIONES%202015/140396-%20KAWAK.pdf" TargetMode="External"/><Relationship Id="rId213" Type="http://schemas.openxmlformats.org/officeDocument/2006/relationships/hyperlink" Target="../AppData/smgarzon/Documents/Actas%20de%20liquidaci&#243;n%20aprobados/LIQUIDACIONES%202015/150102-%20LINA%20GONZALEZ.pdf" TargetMode="External"/><Relationship Id="rId234" Type="http://schemas.openxmlformats.org/officeDocument/2006/relationships/hyperlink" Target="../AppData/smgarzon/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AppData/smgarzon/Documents/Actas%20de%20liquidaci&#243;n%20aprobados/LIQUIDACIONES%202015/150321-%20BUSINESSMID.pdf" TargetMode="External"/><Relationship Id="rId40" Type="http://schemas.openxmlformats.org/officeDocument/2006/relationships/hyperlink" Target="../AppData/smgarzon/Documents/Actas%20de%20liquidaci&#243;n%20aprobados/LIQUIDACIONES%202015/140310-0-2014-TECOLSOF%20SAS..pdf" TargetMode="External"/><Relationship Id="rId115" Type="http://schemas.openxmlformats.org/officeDocument/2006/relationships/hyperlink" Target="../AppData/smgarzon/Documents/Actas%20de%20liquidaci&#243;n%20aprobados/130023-0-2013%20-%20Acta%20de%20liquidaci&#243;n%20-%20ok.pdf" TargetMode="External"/><Relationship Id="rId136" Type="http://schemas.openxmlformats.org/officeDocument/2006/relationships/hyperlink" Target="../AppData/smgarzon/Documents/Actas%20de%20liquidaci&#243;n%20aprobados/140212-0-2014%20-%20Informe%20final.pdf" TargetMode="External"/><Relationship Id="rId157" Type="http://schemas.openxmlformats.org/officeDocument/2006/relationships/hyperlink" Target="../AppData/smgarzon/Documents/Actas%20de%20liquidaci&#243;n%20aprobados/liquidacion%20cto%20150-2013%20-%20ok.pdf" TargetMode="External"/><Relationship Id="rId178" Type="http://schemas.openxmlformats.org/officeDocument/2006/relationships/hyperlink" Target="../AppData/smgarzon/Documents/Actas%20de%20liquidaci&#243;n%20aprobados/LIQUIDACIONES%202015/150260-%20COMPENSAR.pdf" TargetMode="External"/><Relationship Id="rId61" Type="http://schemas.openxmlformats.org/officeDocument/2006/relationships/hyperlink" Target="../AppData/smgarzon/Documents/Actas%20de%20liquidaci&#243;n%20aprobados/LIQUIDACIONES%202015/150229-%20MOTORES%20Y%20MAQUINAS%20MOTORYSA.pdf" TargetMode="External"/><Relationship Id="rId82" Type="http://schemas.openxmlformats.org/officeDocument/2006/relationships/hyperlink" Target="../AppData/smgarzon/Documents/Actas%20de%20liquidaci&#243;n%20aprobados/LIQUIDACIONES%202015/160134-%20LEIDY%20YINETH%20RIVERA.pdf" TargetMode="External"/><Relationship Id="rId199" Type="http://schemas.openxmlformats.org/officeDocument/2006/relationships/hyperlink" Target="../AppData/smgarzon/Documents/Actas%20de%20liquidaci&#243;n%20aprobados/LIQUIDACIONES%202015/150348-%20ORION%20CONIC.pdf" TargetMode="External"/><Relationship Id="rId203" Type="http://schemas.openxmlformats.org/officeDocument/2006/relationships/hyperlink" Target="../AppData/smgarzon/Documents/Actas%20de%20liquidaci&#243;n%20aprobados/LIQUIDACIONES%202015/120000-390-0-2012%20URBANEX.pdf" TargetMode="External"/><Relationship Id="rId19" Type="http://schemas.openxmlformats.org/officeDocument/2006/relationships/hyperlink" Target="../AppData/smgarzon/Documents/Actas%20de%20liquidaci&#243;n%20aprobados/LIQUIDACIONES%202015/150250-%20CRISTIAN%20CAMILO%20RAMOS.pdf" TargetMode="External"/><Relationship Id="rId224" Type="http://schemas.openxmlformats.org/officeDocument/2006/relationships/hyperlink" Target="../AppData/smgarzon/Documents/Actas%20de%20liquidaci&#243;n%20aprobados/LIQUIDACIONES%202015/160022-%20CASA%20EL%20TIEMPO.pdf" TargetMode="External"/><Relationship Id="rId30" Type="http://schemas.openxmlformats.org/officeDocument/2006/relationships/hyperlink" Target="../AppData/smgarzon/Documents/Actas%20de%20liquidaci&#243;n%20aprobados/LIQUIDACIONES%202015/150346-%20JOHN%20KENNEDY%20LEON.pdf" TargetMode="External"/><Relationship Id="rId105" Type="http://schemas.openxmlformats.org/officeDocument/2006/relationships/hyperlink" Target="../AppData/smgarzon/Documents/Actas%20de%20liquidaci&#243;n%20aprobados/LIQUIDACIONES%202015/150249-%20BRANCH%20MICROSOFT.pdf" TargetMode="External"/><Relationship Id="rId126" Type="http://schemas.openxmlformats.org/officeDocument/2006/relationships/hyperlink" Target="../AppData/smgarzon/Documents/Actas%20de%20liquidaci&#243;n%20aprobados/130241-0-2013%20-%20ok.pdf" TargetMode="External"/><Relationship Id="rId147" Type="http://schemas.openxmlformats.org/officeDocument/2006/relationships/hyperlink" Target="../AppData/smgarzon/Documents/Actas%20de%20liquidaci&#243;n%20aprobados/INFORME%20FINAL%20140152-0-2014%20ROSA%20ENRIQUELINA%20GOMEZ%20CORREDOR.pdf" TargetMode="External"/><Relationship Id="rId168" Type="http://schemas.openxmlformats.org/officeDocument/2006/relationships/hyperlink" Target="../AppData/smgarzon/Documents/Actas%20de%20liquidaci&#243;n%20aprobados/LIQUIDACIONES%202015/140179.pdf" TargetMode="External"/><Relationship Id="rId51" Type="http://schemas.openxmlformats.org/officeDocument/2006/relationships/hyperlink" Target="../AppData/smgarzon/Documents/Actas%20de%20liquidaci&#243;n%20aprobados/LIQUIDACIONES%202015/160119-%20ANGELICA%20MARIA%20RUBIO.pdf" TargetMode="External"/><Relationship Id="rId72" Type="http://schemas.openxmlformats.org/officeDocument/2006/relationships/hyperlink" Target="../AppData/smgarzon/Documents/Actas%20de%20liquidaci&#243;n%20aprobados/LIQUIDACIONES%202015/120000-463-0-2010%20%20AUTOMARKET.pdf" TargetMode="External"/><Relationship Id="rId93" Type="http://schemas.openxmlformats.org/officeDocument/2006/relationships/hyperlink" Target="../AppData/smgarzon/Documents/Actas%20de%20liquidaci&#243;n%20aprobados/LIQUIDACIONES%202015/140219-%20MARKET%20GROUP.pdf" TargetMode="External"/><Relationship Id="rId189" Type="http://schemas.openxmlformats.org/officeDocument/2006/relationships/hyperlink" Target="../AppData/smgarzon/Documents/Actas%20de%20liquidaci&#243;n%20aprobados/LIQUIDACIONES%202015/140174-%20MOTORYSA.pdf" TargetMode="External"/><Relationship Id="rId3" Type="http://schemas.openxmlformats.org/officeDocument/2006/relationships/hyperlink" Target="../AppData/smgarzon/Documents/Actas%20de%20liquidaci&#243;n%20aprobados/LIQUIDACIONES%202015/150049-ROSA%20E.%20GOMEZ.pdf" TargetMode="External"/><Relationship Id="rId214" Type="http://schemas.openxmlformats.org/officeDocument/2006/relationships/hyperlink" Target="../AppData/smgarzon/Documents/Actas%20de%20liquidaci&#243;n%20aprobados/LIQUIDACIONES%202015/150123-%20EL%20TIEMPO.pdf" TargetMode="External"/><Relationship Id="rId235" Type="http://schemas.openxmlformats.org/officeDocument/2006/relationships/hyperlink" Target="../AppData/smgarzon/Documents/Actas%20de%20liquidaci&#243;n%20aprobados/LIQUIDACIONES%202015/160113-%20KHAANKO%20RUIZ.pdf" TargetMode="External"/><Relationship Id="rId116" Type="http://schemas.openxmlformats.org/officeDocument/2006/relationships/hyperlink" Target="../AppData/smgarzon/Documents/Actas%20de%20liquidaci&#243;n%20aprobados/040000-1118-0-2008%20COLOMBIANA%20DE%20SOFTWARE%20Y%20HARDWARE%20COLSOF%20SA%20-%20ok.pdf" TargetMode="External"/><Relationship Id="rId137" Type="http://schemas.openxmlformats.org/officeDocument/2006/relationships/hyperlink" Target="../AppData/smgarzon/Documents/Actas%20de%20liquidaci&#243;n%20aprobados/140244-0-2014%20INDUSTRIAS%20QUIMICAS%20FIQ%20LTDA%20-%20ok.pdf" TargetMode="External"/><Relationship Id="rId158" Type="http://schemas.openxmlformats.org/officeDocument/2006/relationships/hyperlink" Target="../AppData/smgarzon/Documents/Actas%20de%20liquidaci&#243;n%20aprobados/liquidacion%20cto%20151-2012%20-%20ok.pdf" TargetMode="External"/><Relationship Id="rId20" Type="http://schemas.openxmlformats.org/officeDocument/2006/relationships/hyperlink" Target="../AppData/smgarzon/Documents/Actas%20de%20liquidaci&#243;n%20aprobados/LIQUIDACIONES%202015/150254-%20OFICOMCO.pdf" TargetMode="External"/><Relationship Id="rId41" Type="http://schemas.openxmlformats.org/officeDocument/2006/relationships/hyperlink" Target="../AppData/smgarzon/Documents/Actas%20de%20liquidaci&#243;n%20aprobados/LIQUIDACIONES%202015/140313-%20M@ICROTEL.pdf" TargetMode="External"/><Relationship Id="rId62" Type="http://schemas.openxmlformats.org/officeDocument/2006/relationships/hyperlink" Target="../AppData/smgarzon/Documents/Actas%20de%20liquidaci&#243;n%20aprobados/LIQUIDACIONES%202015/140367-%20CRECE%20Ltda.pdf" TargetMode="External"/><Relationship Id="rId83" Type="http://schemas.openxmlformats.org/officeDocument/2006/relationships/hyperlink" Target="../AppData/smgarzon/Documents/Actas%20de%20liquidaci&#243;n%20aprobados/LIQUIDACIONES%202015/160066-%20JOHN%20KENNEDY%20LEON.pdf" TargetMode="External"/><Relationship Id="rId179" Type="http://schemas.openxmlformats.org/officeDocument/2006/relationships/hyperlink" Target="../AppData/smgarzon/Documents/Actas%20de%20liquidaci&#243;n%20aprobados/LIQUIDACIONES%202015/150275-%20ROSA%20YASMIN%20CASTRO.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99" Type="http://schemas.openxmlformats.org/officeDocument/2006/relationships/hyperlink" Target="http://colombiacompra.gov.co/tienda-virtual-del-estado-colombiano/orden-de-compra/12668" TargetMode="External"/><Relationship Id="rId21" Type="http://schemas.openxmlformats.org/officeDocument/2006/relationships/hyperlink" Target="https://www.contratos.gov.co/consultas/detalleProceso.do?numConstancia=14-13-2912893"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24" Type="http://schemas.openxmlformats.org/officeDocument/2006/relationships/hyperlink" Target="https://www.contratos.gov.co/consultas/detalleProceso.do?numConstancia=17-12-6407265" TargetMode="External"/><Relationship Id="rId366" Type="http://schemas.openxmlformats.org/officeDocument/2006/relationships/hyperlink" Target="https://www.contratos.gov.co/consultas/detalleProceso.do?numConstancia=17-11-6344735" TargetMode="External"/><Relationship Id="rId170" Type="http://schemas.openxmlformats.org/officeDocument/2006/relationships/hyperlink" Target="https://www.contratos.gov.co/consultas/detalleProceso.do?numConstancia=15-11-4204672"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vmlDrawing" Target="../drawings/vmlDrawing1.vml"/><Relationship Id="rId268" Type="http://schemas.openxmlformats.org/officeDocument/2006/relationships/hyperlink" Target="https://www.contratos.gov.co/consultas/detalleProceso.do?numConstancia=16-12-5621641" TargetMode="External"/><Relationship Id="rId32" Type="http://schemas.openxmlformats.org/officeDocument/2006/relationships/hyperlink" Target="https://www.contratos.gov.co/consultas/detalleProceso.do?numConstancia=14-12-2892891" TargetMode="External"/><Relationship Id="rId74" Type="http://schemas.openxmlformats.org/officeDocument/2006/relationships/hyperlink" Target="https://www.contratos.gov.co/consultas/detalleProceso.do?numConstancia=15-9-397602"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377" Type="http://schemas.openxmlformats.org/officeDocument/2006/relationships/hyperlink" Target="https://www.contratos.gov.co/consultas/detalleProceso.do?numConstancia=17-12-6943027" TargetMode="External"/><Relationship Id="rId5" Type="http://schemas.openxmlformats.org/officeDocument/2006/relationships/hyperlink" Target="https://www.contratos.gov.co/consultas/detalleProceso.do?numConstancia=14-12-2934206" TargetMode="External"/><Relationship Id="rId181" Type="http://schemas.openxmlformats.org/officeDocument/2006/relationships/hyperlink" Target="https://www.contratos.gov.co/consultas/detalleProceso.do?numConstancia=15-13-4481791" TargetMode="External"/><Relationship Id="rId237" Type="http://schemas.openxmlformats.org/officeDocument/2006/relationships/hyperlink" Target="https://www.contratos.gov.co/consultas/detalleProceso.do?numConstancia=16-12-5374749" TargetMode="External"/><Relationship Id="rId402" Type="http://schemas.openxmlformats.org/officeDocument/2006/relationships/hyperlink" Target="https://www.contratos.gov.co/consultas/detalleProceso.do?numConstancia=17-12-7211817" TargetMode="External"/><Relationship Id="rId279" Type="http://schemas.openxmlformats.org/officeDocument/2006/relationships/hyperlink" Target="https://www.contratos.gov.co/consultas/detalleProceso.do?numConstancia=14-13-2547085"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46" Type="http://schemas.openxmlformats.org/officeDocument/2006/relationships/hyperlink" Target="https://www.contratos.gov.co/consultas/detalleProceso.do?numConstancia=17-12-6548675" TargetMode="External"/><Relationship Id="rId388" Type="http://schemas.openxmlformats.org/officeDocument/2006/relationships/hyperlink" Target="https://www.contratos.gov.co/consultas/detalleProceso.do?numConstancia=17-13-7000429"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ntratos.gov.co/consultas/detalleProceso.do?numConstancia=17-13-7211125" TargetMode="External"/><Relationship Id="rId248" Type="http://schemas.openxmlformats.org/officeDocument/2006/relationships/hyperlink" Target="https://www.contratos.gov.co/consultas/detalleProceso.do?numConstancia=16-13-529800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99002" TargetMode="External"/><Relationship Id="rId259" Type="http://schemas.openxmlformats.org/officeDocument/2006/relationships/hyperlink" Target="http://www.contratos.gov.co/consultas/detalleProceso.do?numConstancia=14-12-2912471" TargetMode="External"/><Relationship Id="rId424" Type="http://schemas.openxmlformats.org/officeDocument/2006/relationships/hyperlink" Target="https://www.contratos.gov.co/consultas/detalleProceso.do?numConstancia=17-11-7300565"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2-6947010" TargetMode="Externa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2-7086326" TargetMode="External"/><Relationship Id="rId404" Type="http://schemas.openxmlformats.org/officeDocument/2006/relationships/hyperlink" Target="https://www.contratos.gov.co/consultas/detalleProceso.do?numConstancia=17-9-435254" TargetMode="Externa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lombiacompra.gov.co/tienda-virtual-del-estado-colombiano/ordenes-compra/22825" TargetMode="External"/><Relationship Id="rId261" Type="http://schemas.openxmlformats.org/officeDocument/2006/relationships/hyperlink" Target="https://www.contratos.gov.co/consultas/detalleProceso.do?numConstancia=14-13-3029035"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lombiacompra.gov.co/tienda-virtual-del-estado-colombiano/ordenes-compra/24099" TargetMode="External"/><Relationship Id="rId230" Type="http://schemas.openxmlformats.org/officeDocument/2006/relationships/hyperlink" Target="https://www.contratos.gov.co/consultas/detalleProceso.do?numConstancia=16-1-157757"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57796" TargetMode="External"/><Relationship Id="rId241" Type="http://schemas.openxmlformats.org/officeDocument/2006/relationships/hyperlink" Target="https://www.contratos.gov.co/consultas/detalleProceso.do?numConstancia=16-13-5270781"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5924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1-6848708"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94289"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11-7341580"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6775715"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121844" TargetMode="External"/><Relationship Id="rId408" Type="http://schemas.openxmlformats.org/officeDocument/2006/relationships/hyperlink" Target="https://www.contratos.gov.co/consultas/detalleProceso.do?numConstancia=17-12-7269790"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28" Type="http://schemas.openxmlformats.org/officeDocument/2006/relationships/hyperlink" Target="https://www.contratos.gov.co/consultas/detalleProceso.do?numConstancia=14-9-392443"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75" Type="http://schemas.openxmlformats.org/officeDocument/2006/relationships/hyperlink" Target="https://www.contratos.gov.co/consultas/detalleProceso.do?numConstancia=14-13-2361063" TargetMode="External"/><Relationship Id="rId296" Type="http://schemas.openxmlformats.org/officeDocument/2006/relationships/hyperlink" Target="https://www.contratos.gov.co/consultas/detalleProceso.do?numConstancia=16-12-5825766" TargetMode="External"/><Relationship Id="rId300" Type="http://schemas.openxmlformats.org/officeDocument/2006/relationships/hyperlink" Target="https://www.contratos.gov.co/consultas/detalleProceso.do?numConstancia=16-12-5882161" TargetMode="External"/><Relationship Id="rId60" Type="http://schemas.openxmlformats.org/officeDocument/2006/relationships/hyperlink" Target="https://www.contratos.gov.co/consultas/detalleProceso.do?numConstancia=15-12-3487209"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56" Type="http://schemas.openxmlformats.org/officeDocument/2006/relationships/hyperlink" Target="https://www.contratos.gov.co/consultas/detalleProceso.do?numConstancia=15-12-4167747" TargetMode="External"/><Relationship Id="rId177" Type="http://schemas.openxmlformats.org/officeDocument/2006/relationships/hyperlink" Target="https://www.contratos.gov.co/consultas/detalleProceso.do?numConstancia=15-12-3544892"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42" Type="http://schemas.openxmlformats.org/officeDocument/2006/relationships/hyperlink" Target="https://www.contratos.gov.co/consultas/detalleProceso.do?numConstancia=17-12-6548395" TargetMode="External"/><Relationship Id="rId363" Type="http://schemas.openxmlformats.org/officeDocument/2006/relationships/hyperlink" Target="https://www.contratos.gov.co/consultas/detalleProceso.do?numConstancia=17-13-6590232" TargetMode="External"/><Relationship Id="rId384" Type="http://schemas.openxmlformats.org/officeDocument/2006/relationships/hyperlink" Target="https://www.contratos.gov.co/consultas/detalleProceso.do?numConstancia=17-1-175110" TargetMode="External"/><Relationship Id="rId419" Type="http://schemas.openxmlformats.org/officeDocument/2006/relationships/hyperlink" Target="https://www.contratos.gov.co/consultas/detalleProceso.do?numConstancia=17-13-7250578" TargetMode="External"/><Relationship Id="rId202" Type="http://schemas.openxmlformats.org/officeDocument/2006/relationships/hyperlink" Target="https://www.contratos.gov.co/consultas/detalleProceso.do?numConstancia=14-1-124021" TargetMode="External"/><Relationship Id="rId223" Type="http://schemas.openxmlformats.org/officeDocument/2006/relationships/hyperlink" Target="https://www.contratos.gov.co/consultas/detalleProceso.do?numConstancia=16-12-5262602" TargetMode="External"/><Relationship Id="rId244" Type="http://schemas.openxmlformats.org/officeDocument/2006/relationships/hyperlink" Target="https://www.contratos.gov.co/consultas/detalleProceso.do?numConstancia=16-11-5108844" TargetMode="External"/><Relationship Id="rId430" Type="http://schemas.openxmlformats.org/officeDocument/2006/relationships/hyperlink" Target="https://www.contratos.gov.co/consultas/detalleProceso.do?numConstancia=17-9-438024" TargetMode="External"/><Relationship Id="rId18" Type="http://schemas.openxmlformats.org/officeDocument/2006/relationships/hyperlink" Target="https://www.contratos.gov.co/consultas/detalleProceso.do?numConstancia=14-13-2910355" TargetMode="External"/><Relationship Id="rId39" Type="http://schemas.openxmlformats.org/officeDocument/2006/relationships/hyperlink" Target="https://www.contratos.gov.co/consultas/detalleProceso.do?numConstancia=14-11-2651606" TargetMode="External"/><Relationship Id="rId265" Type="http://schemas.openxmlformats.org/officeDocument/2006/relationships/hyperlink" Target="https://www.contratos.gov.co/consultas/detalleProceso.do?numConstancia=16-12-5551350" TargetMode="External"/><Relationship Id="rId286" Type="http://schemas.openxmlformats.org/officeDocument/2006/relationships/hyperlink" Target="https://www.contratos.gov.co/consultas/detalleProceso.do?numConstancia=16-12-5640228"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25" Type="http://schemas.openxmlformats.org/officeDocument/2006/relationships/hyperlink" Target="http://www.contratos.gov.co/consultas/detalleProceso.do?numConstancia=15-13-3838289" TargetMode="External"/><Relationship Id="rId146" Type="http://schemas.openxmlformats.org/officeDocument/2006/relationships/hyperlink" Target="https://www.contratos.gov.co/consultas/detalleProceso.do?numConstancia=15-13-4020539" TargetMode="External"/><Relationship Id="rId167" Type="http://schemas.openxmlformats.org/officeDocument/2006/relationships/hyperlink" Target="https://www.contratos.gov.co/consultas/detalleProceso.do?numConstancia=15-1-143357"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32" Type="http://schemas.openxmlformats.org/officeDocument/2006/relationships/hyperlink" Target="https://www.contratos.gov.co/consultas/detalleProceso.do?numConstancia=17-12-6510800" TargetMode="External"/><Relationship Id="rId353" Type="http://schemas.openxmlformats.org/officeDocument/2006/relationships/hyperlink" Target="https://www.contratos.gov.co/consultas/detalleProceso.do?numConstancia=17-12-6603480" TargetMode="External"/><Relationship Id="rId374" Type="http://schemas.openxmlformats.org/officeDocument/2006/relationships/hyperlink" Target="https://www.contratos.gov.co/consultas/detalleProceso.do?numConstancia=17-12-6888037" TargetMode="External"/><Relationship Id="rId395" Type="http://schemas.openxmlformats.org/officeDocument/2006/relationships/hyperlink" Target="https://www.contratos.gov.co/consultas/detalleProceso.do?numConstancia=17-12-7124423" TargetMode="External"/><Relationship Id="rId409" Type="http://schemas.openxmlformats.org/officeDocument/2006/relationships/hyperlink" Target="https://www.contratos.gov.co/consultas/detalleProceso.do?numConstancia=17-9-434838" TargetMode="External"/><Relationship Id="rId71" Type="http://schemas.openxmlformats.org/officeDocument/2006/relationships/hyperlink" Target="https://www.contratos.gov.co/consultas/detalleProceso.do?numConstancia=15-12-376310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234" Type="http://schemas.openxmlformats.org/officeDocument/2006/relationships/hyperlink" Target="https://www.contratos.gov.co/consultas/detalleProceso.do?numConstancia=16-13-5265419" TargetMode="External"/><Relationship Id="rId420" Type="http://schemas.openxmlformats.org/officeDocument/2006/relationships/hyperlink" Target="https://www.contratos.gov.co/consultas/detalleProceso.do?numConstancia=17-13-734129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55" Type="http://schemas.openxmlformats.org/officeDocument/2006/relationships/hyperlink" Target="https://www.contratos.gov.co/consultas/detalleProceso.do?numConstancia=14-13-2621776" TargetMode="External"/><Relationship Id="rId276" Type="http://schemas.openxmlformats.org/officeDocument/2006/relationships/hyperlink" Target="https://www.contratos.gov.co/consultas/detalleProceso.do?numConstancia=14-13-2414130" TargetMode="External"/><Relationship Id="rId297" Type="http://schemas.openxmlformats.org/officeDocument/2006/relationships/hyperlink" Target="https://www.contratos.gov.co/consultas/detalleProceso.do?numConstancia=16-11-5683308" TargetMode="External"/><Relationship Id="rId40" Type="http://schemas.openxmlformats.org/officeDocument/2006/relationships/hyperlink" Target="https://www.contratos.gov.co/consultas/detalleProceso.do?numConstancia=14-13-2686379" TargetMode="External"/><Relationship Id="rId115" Type="http://schemas.openxmlformats.org/officeDocument/2006/relationships/hyperlink" Target="https://www.contratos.gov.co/consultas/detalleProceso.do?numConstancia=15-12-3810079" TargetMode="External"/><Relationship Id="rId136" Type="http://schemas.openxmlformats.org/officeDocument/2006/relationships/hyperlink" Target="http://www.contratos.gov.co/consultas/detalleProceso.do?numConstancia=15-12-4009157" TargetMode="External"/><Relationship Id="rId157" Type="http://schemas.openxmlformats.org/officeDocument/2006/relationships/hyperlink" Target="https://www.contratos.gov.co/consultas/detalleProceso.do?numConstancia=15-1-138745"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22" Type="http://schemas.openxmlformats.org/officeDocument/2006/relationships/hyperlink" Target="https://www.contratos.gov.co/consultas/detalleProceso.do?numConstancia=13-12-1397244" TargetMode="External"/><Relationship Id="rId343" Type="http://schemas.openxmlformats.org/officeDocument/2006/relationships/hyperlink" Target="https://www.colombiacompra.gov.co/tienda-virtual-del-estado-colombiano/orden-de-compra/14670"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82" Type="http://schemas.openxmlformats.org/officeDocument/2006/relationships/hyperlink" Target="https://www.contratos.gov.co/consultas/detalleProceso.do?numConstancia=15-12-3443448" TargetMode="External"/><Relationship Id="rId199" Type="http://schemas.openxmlformats.org/officeDocument/2006/relationships/hyperlink" Target="https://www.contratos.gov.co/consultas/detalleProceso.do?numConstancia=16-12-509200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2-7047667"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45" Type="http://schemas.openxmlformats.org/officeDocument/2006/relationships/hyperlink" Target="https://www.contratos.gov.co/consultas/detalleProceso.do?numConstancia=16-13-5318011" TargetMode="External"/><Relationship Id="rId266" Type="http://schemas.openxmlformats.org/officeDocument/2006/relationships/hyperlink" Target="https://www.contratos.gov.co/consultas/detalleProceso.do?numConstancia=16-12-5584832"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2-7281404" TargetMode="External"/><Relationship Id="rId431" Type="http://schemas.openxmlformats.org/officeDocument/2006/relationships/printerSettings" Target="../printerSettings/printerSettings4.bin"/><Relationship Id="rId30" Type="http://schemas.openxmlformats.org/officeDocument/2006/relationships/hyperlink" Target="https://www.contratos.gov.co/consultas/detalleProceso.do?numConstancia=14-9-393632" TargetMode="External"/><Relationship Id="rId105" Type="http://schemas.openxmlformats.org/officeDocument/2006/relationships/hyperlink" Target="https://www.contratos.gov.co/consultas/detalleProceso.do?numConstancia=15-9-397602" TargetMode="External"/><Relationship Id="rId126" Type="http://schemas.openxmlformats.org/officeDocument/2006/relationships/hyperlink" Target="http://www.contratos.gov.co/consultas/detalleProceso.do?numConstancia=15-13-3848572" TargetMode="External"/><Relationship Id="rId147" Type="http://schemas.openxmlformats.org/officeDocument/2006/relationships/hyperlink" Target="https://www.contratos.gov.co/consultas/detalleProceso.do?numConstancia=15-12-4044913" TargetMode="External"/><Relationship Id="rId168" Type="http://schemas.openxmlformats.org/officeDocument/2006/relationships/hyperlink" Target="https://www.contratos.gov.co/consultas/detalleProceso.do?numConstancia=15-13-4294577" TargetMode="External"/><Relationship Id="rId312" Type="http://schemas.openxmlformats.org/officeDocument/2006/relationships/hyperlink" Target="https://www.contratos.gov.co/consultas/detalleProceso.do?numConstancia=16-11-5832676" TargetMode="External"/><Relationship Id="rId333" Type="http://schemas.openxmlformats.org/officeDocument/2006/relationships/hyperlink" Target="https://www.contratos.gov.co/consultas/detalleProceso.do?numConstancia=17-12-6529405"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72" Type="http://schemas.openxmlformats.org/officeDocument/2006/relationships/hyperlink" Target="https://www.contratos.gov.co/consultas/detalleProceso.do?numConstancia=13-12-1936098"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75" Type="http://schemas.openxmlformats.org/officeDocument/2006/relationships/hyperlink" Target="https://www.contratos.gov.co/consultas/detalleProceso.do?numConstancia=17-12-6830596" TargetMode="External"/><Relationship Id="rId396" Type="http://schemas.openxmlformats.org/officeDocument/2006/relationships/hyperlink" Target="https://www.contratos.gov.co/consultas/detalleProceso.do?numConstancia=17-12-7053696" TargetMode="External"/><Relationship Id="rId3" Type="http://schemas.openxmlformats.org/officeDocument/2006/relationships/hyperlink" Target="https://www.contratos.gov.co/consultas/detalleProceso.do?numConstancia=14-12-2922590" TargetMode="External"/><Relationship Id="rId214" Type="http://schemas.openxmlformats.org/officeDocument/2006/relationships/hyperlink" Target="http://www.contratos.gov.co/consultas/detalleProceso.do?numConstancia=16-12-5062610" TargetMode="External"/><Relationship Id="rId235" Type="http://schemas.openxmlformats.org/officeDocument/2006/relationships/hyperlink" Target="https://www.contratos.gov.co/consultas/detalleProceso.do?numConstancia=16-13-5219179" TargetMode="External"/><Relationship Id="rId256" Type="http://schemas.openxmlformats.org/officeDocument/2006/relationships/hyperlink" Target="https://www.contratos.gov.co/consultas/detalleProceso.do?numConstancia=14-13-2910355" TargetMode="External"/><Relationship Id="rId277" Type="http://schemas.openxmlformats.org/officeDocument/2006/relationships/hyperlink" Target="https://www.contratos.gov.co/consultas/detalleProceso.do?numConstancia=14-13-2454008" TargetMode="External"/><Relationship Id="rId298" Type="http://schemas.openxmlformats.org/officeDocument/2006/relationships/hyperlink" Target="https://www.contratos.gov.co/consultas/detalleProceso.do?numConstancia=16-12-5892978" TargetMode="External"/><Relationship Id="rId400" Type="http://schemas.openxmlformats.org/officeDocument/2006/relationships/hyperlink" Target="https://www.contratos.gov.co/consultas/detalleProceso.do?numConstancia=17-13-7048402" TargetMode="External"/><Relationship Id="rId421" Type="http://schemas.openxmlformats.org/officeDocument/2006/relationships/hyperlink" Target="https://www.contratos.gov.co/consultas/detalleProceso.do?numConstancia=17-11-7188445" TargetMode="External"/><Relationship Id="rId116" Type="http://schemas.openxmlformats.org/officeDocument/2006/relationships/hyperlink" Target="https://www.contratos.gov.co/consultas/detalleProceso.do?numConstancia=15-12-3832380" TargetMode="External"/><Relationship Id="rId137" Type="http://schemas.openxmlformats.org/officeDocument/2006/relationships/hyperlink" Target="http://www.contratos.gov.co/consultas/detalleProceso.do?numConstancia=15-12-4002005" TargetMode="External"/><Relationship Id="rId158" Type="http://schemas.openxmlformats.org/officeDocument/2006/relationships/hyperlink" Target="https://www.contratos.gov.co/consultas/detalleProceso.do?numConstancia=15-12-4188555" TargetMode="External"/><Relationship Id="rId302" Type="http://schemas.openxmlformats.org/officeDocument/2006/relationships/hyperlink" Target="https://www.contratos.gov.co/consultas/detalleProceso.do?numConstancia=16-13-5872112" TargetMode="External"/><Relationship Id="rId323" Type="http://schemas.openxmlformats.org/officeDocument/2006/relationships/hyperlink" Target="https://www.contratos.gov.co/consultas/detalleProceso.do?numConstancia=17-13-6272764" TargetMode="External"/><Relationship Id="rId344" Type="http://schemas.openxmlformats.org/officeDocument/2006/relationships/hyperlink" Target="https://www.contratos.gov.co/consultas/detalleProceso.do?numConstancia=17-12-6521272" TargetMode="External"/><Relationship Id="rId20" Type="http://schemas.openxmlformats.org/officeDocument/2006/relationships/hyperlink" Target="https://www.contratos.gov.co/consultas/detalleProceso.do?numConstancia=14-11-2724276" TargetMode="External"/><Relationship Id="rId41" Type="http://schemas.openxmlformats.org/officeDocument/2006/relationships/hyperlink" Target="https://www.contratos.gov.co/consultas/detalleProceso.do?numConstancia=14-11-2559733" TargetMode="External"/><Relationship Id="rId62" Type="http://schemas.openxmlformats.org/officeDocument/2006/relationships/hyperlink" Target="https://www.contratos.gov.co/consultas/detalleProceso.do?numConstancia=15-12-3443448"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65" Type="http://schemas.openxmlformats.org/officeDocument/2006/relationships/hyperlink" Target="https://www.contratos.gov.co/consultas/detalleProceso.do?numConstancia=17-13-6673223" TargetMode="External"/><Relationship Id="rId386" Type="http://schemas.openxmlformats.org/officeDocument/2006/relationships/hyperlink" Target="https://www.contratos.gov.co/consultas/detalleProceso.do?numConstancia=17-13-6989178"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25" Type="http://schemas.openxmlformats.org/officeDocument/2006/relationships/hyperlink" Target="https://www.contratos.gov.co/consultas/detalleProceso.do?numConstancia=16-12-5232769" TargetMode="External"/><Relationship Id="rId246" Type="http://schemas.openxmlformats.org/officeDocument/2006/relationships/hyperlink" Target="https://www.contratos.gov.co/consultas/detalleProceso.do?numConstancia=16-13-5343512" TargetMode="External"/><Relationship Id="rId267" Type="http://schemas.openxmlformats.org/officeDocument/2006/relationships/hyperlink" Target="https://www.contratos.gov.co/consultas/detalleProceso.do?numConstancia=16-9-41767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195223" TargetMode="External"/><Relationship Id="rId432" Type="http://schemas.openxmlformats.org/officeDocument/2006/relationships/drawing" Target="../drawings/drawing5.xml"/><Relationship Id="rId106" Type="http://schemas.openxmlformats.org/officeDocument/2006/relationships/hyperlink" Target="https://www.contratos.gov.co/consultas/detalleProceso.do?numConstancia=15-13-3741806" TargetMode="External"/><Relationship Id="rId127" Type="http://schemas.openxmlformats.org/officeDocument/2006/relationships/hyperlink" Target="http://www.contratos.gov.co/consultas/detalleProceso.do?numConstancia=15-12-3930966" TargetMode="External"/><Relationship Id="rId313" Type="http://schemas.openxmlformats.org/officeDocument/2006/relationships/hyperlink" Target="https://www.contratos.gov.co/consultas/detalleProceso.do?numConstancia=16-13-5762249" TargetMode="External"/><Relationship Id="rId10" Type="http://schemas.openxmlformats.org/officeDocument/2006/relationships/hyperlink" Target="https://www.contratos.gov.co/consultas/detalleProceso.do?numConstancia=14-12-2984163" TargetMode="External"/><Relationship Id="rId31" Type="http://schemas.openxmlformats.org/officeDocument/2006/relationships/hyperlink" Target="https://www.contratos.gov.co/consultas/detalleProceso.do?numConstancia=14-9-393334" TargetMode="External"/><Relationship Id="rId52" Type="http://schemas.openxmlformats.org/officeDocument/2006/relationships/hyperlink" Target="https://www.contratos.gov.co/consultas/detalleProceso.do?numConstancia=15-12-3566213" TargetMode="External"/><Relationship Id="rId73" Type="http://schemas.openxmlformats.org/officeDocument/2006/relationships/hyperlink" Target="https://www.contratos.gov.co/consultas/detalleProceso.do?numConstancia=15-12-3803469"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55" Type="http://schemas.openxmlformats.org/officeDocument/2006/relationships/hyperlink" Target="https://www.contratos.gov.co/consultas/detalleProceso.do?numConstancia=17-12-6610442" TargetMode="External"/><Relationship Id="rId376" Type="http://schemas.openxmlformats.org/officeDocument/2006/relationships/hyperlink" Target="https://www.contratos.gov.co/consultas/detalleProceso.do?numConstancia=17-12-6864786" TargetMode="External"/><Relationship Id="rId397" Type="http://schemas.openxmlformats.org/officeDocument/2006/relationships/hyperlink" Target="https://www.contratos.gov.co/consultas/detalleProceso.do?numConstancia=17-13-7062467"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15" Type="http://schemas.openxmlformats.org/officeDocument/2006/relationships/hyperlink" Target="http://www.contratos.gov.co/consultas/detalleProceso.do?numConstancia=16-12-5234611" TargetMode="External"/><Relationship Id="rId236" Type="http://schemas.openxmlformats.org/officeDocument/2006/relationships/hyperlink" Target="https://www.contratos.gov.co/consultas/detalleProceso.do?numConstancia=16-13-5246991" TargetMode="External"/><Relationship Id="rId257" Type="http://schemas.openxmlformats.org/officeDocument/2006/relationships/hyperlink" Target="https://www.contratos.gov.co/consultas/detalleProceso.do?numConstancia=14-9-38438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75663" TargetMode="External"/><Relationship Id="rId422" Type="http://schemas.openxmlformats.org/officeDocument/2006/relationships/hyperlink" Target="https://www.contratos.gov.co/consultas/detalleProceso.do?numConstancia=17-11-7098808" TargetMode="External"/><Relationship Id="rId303" Type="http://schemas.openxmlformats.org/officeDocument/2006/relationships/hyperlink" Target="https://www.contratos.gov.co/consultas/detalleProceso.do?numConstancia=16-9-421152"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2-7082503"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3-6874454"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84506"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ntratos.gov.co/consultas/detalleProceso.do?numConstancia=17-11-7300565" TargetMode="External"/><Relationship Id="rId258" Type="http://schemas.openxmlformats.org/officeDocument/2006/relationships/hyperlink" Target="https://www.contratos.gov.co/consultas/detalleProceso.do?numConstancia=14-12-2309430"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comments" Target="../comments1.xm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54171" TargetMode="External"/><Relationship Id="rId403" Type="http://schemas.openxmlformats.org/officeDocument/2006/relationships/hyperlink" Target="https://www.contratos.gov.co/consultas/detalleProceso.do?numConstancia=17-13-7027260"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3-6963262"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11-7098808"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lombiacompra.gov.co/tienda-virtual-del-estado-colombiano/ordenes-compra/23844?sort=desc&amp;order=No"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3-6888194" TargetMode="External"/><Relationship Id="rId240" Type="http://schemas.openxmlformats.org/officeDocument/2006/relationships/hyperlink" Target="https://www.contratos.gov.co/consultas/detalleProceso.do?numConstancia=16-13-5240940"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community.secop.gov.co/Public/Tendering/ContractNoticeManagement/Index?SkinName=CCE%C2%A4tLanguage=es-CO&amp;Page=login&amp;Country=CO" TargetMode="External"/><Relationship Id="rId405" Type="http://schemas.openxmlformats.org/officeDocument/2006/relationships/hyperlink" Target="https://www.contratos.gov.co/consultas/detalleProceso.do?numConstancia=17-12-7251288" TargetMode="External"/><Relationship Id="rId251" Type="http://schemas.openxmlformats.org/officeDocument/2006/relationships/hyperlink" Target="https://www.contratos.gov.co/consultas/detalleProceso.do?numConstancia=14-12-232660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9-436378" TargetMode="External"/><Relationship Id="rId220" Type="http://schemas.openxmlformats.org/officeDocument/2006/relationships/hyperlink" Target="http://www.contratos.gov.co/consultas/detalleProceso.do?numConstancia=16-12-524433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5-12-3272948"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2-6979264"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31753" TargetMode="External"/><Relationship Id="rId407" Type="http://schemas.openxmlformats.org/officeDocument/2006/relationships/hyperlink" Target="https://www.contratos.gov.co/consultas/detalleProceso.do?numConstancia=17-12-7278641"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01804"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lombiacompra.gov.co/tienda-virtual-del-estado-colombiano/ordenes-de-compra?sort=desc&amp;order=Orden%20de%20Compra" TargetMode="External"/><Relationship Id="rId429" Type="http://schemas.openxmlformats.org/officeDocument/2006/relationships/hyperlink" Target="https://www.contratos.gov.co/consultas/detalleProceso.do?numConstancia=17-9-437686"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33" t="s">
        <v>411</v>
      </c>
      <c r="H4" s="1034"/>
      <c r="I4" s="1034"/>
      <c r="J4" s="1034"/>
      <c r="K4" s="1034"/>
      <c r="L4" s="1034"/>
      <c r="M4" s="1034"/>
      <c r="N4" s="1035"/>
      <c r="O4" s="195"/>
      <c r="P4" s="196"/>
      <c r="Q4" s="195"/>
      <c r="R4" s="198"/>
      <c r="S4" s="198"/>
      <c r="T4" s="195"/>
      <c r="U4" s="196"/>
      <c r="V4" s="195"/>
    </row>
    <row r="5" spans="1:22" customFormat="1" ht="16.5" thickTop="1" thickBot="1" x14ac:dyDescent="0.3">
      <c r="A5" s="195"/>
      <c r="B5" s="196"/>
      <c r="C5" s="195"/>
      <c r="D5" s="195"/>
      <c r="E5" s="196"/>
      <c r="F5" s="197"/>
      <c r="G5" s="1036"/>
      <c r="H5" s="1037"/>
      <c r="I5" s="1037"/>
      <c r="J5" s="1037"/>
      <c r="K5" s="1037"/>
      <c r="L5" s="1037"/>
      <c r="M5" s="1037"/>
      <c r="N5" s="1038"/>
      <c r="O5" s="195"/>
      <c r="P5" s="196"/>
      <c r="Q5" s="197"/>
      <c r="R5" s="199" t="s">
        <v>407</v>
      </c>
      <c r="S5" s="200">
        <f ca="1">TODAY()</f>
        <v>43118</v>
      </c>
      <c r="T5" s="195"/>
      <c r="U5" s="196"/>
      <c r="V5" s="195"/>
    </row>
    <row r="6" spans="1:22" customFormat="1" ht="15.75" thickTop="1" x14ac:dyDescent="0.25">
      <c r="A6" s="195"/>
      <c r="B6" s="196"/>
      <c r="C6" s="195"/>
      <c r="D6" s="195"/>
      <c r="E6" s="196"/>
      <c r="F6" s="197"/>
      <c r="G6" s="1036"/>
      <c r="H6" s="1037"/>
      <c r="I6" s="1037"/>
      <c r="J6" s="1037"/>
      <c r="K6" s="1037"/>
      <c r="L6" s="1037"/>
      <c r="M6" s="1037"/>
      <c r="N6" s="1038"/>
      <c r="O6" s="195"/>
      <c r="P6" s="196"/>
      <c r="Q6" s="197"/>
      <c r="R6" s="1028" t="s">
        <v>408</v>
      </c>
      <c r="S6" s="1030">
        <v>43112</v>
      </c>
      <c r="T6" s="195"/>
      <c r="U6" s="196"/>
      <c r="V6" s="195"/>
    </row>
    <row r="7" spans="1:22" customFormat="1" ht="15.75" thickBot="1" x14ac:dyDescent="0.3">
      <c r="A7" s="195"/>
      <c r="B7" s="196"/>
      <c r="C7" s="195"/>
      <c r="D7" s="195"/>
      <c r="E7" s="196"/>
      <c r="F7" s="197"/>
      <c r="G7" s="1036" t="s">
        <v>412</v>
      </c>
      <c r="H7" s="1037"/>
      <c r="I7" s="1037"/>
      <c r="J7" s="1037"/>
      <c r="K7" s="1037"/>
      <c r="L7" s="1037"/>
      <c r="M7" s="1037"/>
      <c r="N7" s="1038"/>
      <c r="O7" s="195"/>
      <c r="P7" s="196"/>
      <c r="Q7" s="197"/>
      <c r="R7" s="1029"/>
      <c r="S7" s="1031"/>
      <c r="T7" s="195"/>
      <c r="U7" s="196"/>
      <c r="V7" s="195"/>
    </row>
    <row r="8" spans="1:22" customFormat="1" ht="16.5" thickTop="1" thickBot="1" x14ac:dyDescent="0.3">
      <c r="A8" s="195"/>
      <c r="B8" s="196"/>
      <c r="C8" s="195"/>
      <c r="D8" s="195"/>
      <c r="E8" s="196"/>
      <c r="F8" s="197"/>
      <c r="G8" s="1036"/>
      <c r="H8" s="1037"/>
      <c r="I8" s="1037"/>
      <c r="J8" s="1037"/>
      <c r="K8" s="1037"/>
      <c r="L8" s="1037"/>
      <c r="M8" s="1037"/>
      <c r="N8" s="1038"/>
      <c r="O8" s="195"/>
      <c r="P8" s="196"/>
      <c r="Q8" s="197"/>
      <c r="R8" s="199" t="s">
        <v>409</v>
      </c>
      <c r="S8" s="201">
        <f ca="1">S5-S6</f>
        <v>6</v>
      </c>
      <c r="T8" s="195"/>
      <c r="U8" s="196"/>
      <c r="V8" s="195"/>
    </row>
    <row r="9" spans="1:22" customFormat="1" ht="8.25" customHeight="1" thickTop="1" x14ac:dyDescent="0.25">
      <c r="A9" s="195"/>
      <c r="B9" s="196"/>
      <c r="C9" s="195"/>
      <c r="D9" s="195"/>
      <c r="E9" s="196"/>
      <c r="F9" s="197"/>
      <c r="G9" s="1036"/>
      <c r="H9" s="1037"/>
      <c r="I9" s="1037"/>
      <c r="J9" s="1037"/>
      <c r="K9" s="1037"/>
      <c r="L9" s="1037"/>
      <c r="M9" s="1037"/>
      <c r="N9" s="1038"/>
      <c r="O9" s="195"/>
      <c r="P9" s="196"/>
      <c r="Q9" s="195"/>
      <c r="R9" s="195"/>
      <c r="S9" s="195"/>
      <c r="T9" s="195"/>
      <c r="U9" s="196"/>
      <c r="V9" s="195"/>
    </row>
    <row r="10" spans="1:22" customFormat="1" ht="6.75" customHeight="1" thickBot="1" x14ac:dyDescent="0.3">
      <c r="A10" s="195"/>
      <c r="B10" s="196"/>
      <c r="C10" s="196"/>
      <c r="D10" s="196"/>
      <c r="E10" s="196"/>
      <c r="F10" s="197"/>
      <c r="G10" s="1039"/>
      <c r="H10" s="1040"/>
      <c r="I10" s="1040"/>
      <c r="J10" s="1040"/>
      <c r="K10" s="1040"/>
      <c r="L10" s="1040"/>
      <c r="M10" s="1040"/>
      <c r="N10" s="1041"/>
      <c r="O10" s="195"/>
      <c r="P10" s="196"/>
      <c r="Q10" s="195"/>
      <c r="R10" s="195"/>
      <c r="S10" s="195"/>
      <c r="T10" s="195"/>
      <c r="U10" s="196"/>
      <c r="V10" s="195"/>
    </row>
    <row r="11" spans="1:22" customFormat="1" ht="16.5" thickTop="1" x14ac:dyDescent="0.25">
      <c r="A11" s="195"/>
      <c r="B11" s="196"/>
      <c r="C11" s="1027" t="s">
        <v>406</v>
      </c>
      <c r="D11" s="1027"/>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32" t="s">
        <v>410</v>
      </c>
      <c r="D15" s="1032"/>
      <c r="E15" s="1032"/>
      <c r="F15" s="1032"/>
      <c r="G15" s="1032"/>
      <c r="H15" s="1032"/>
      <c r="I15" s="1032"/>
      <c r="J15" s="1032"/>
      <c r="K15" s="1032"/>
      <c r="L15" s="1032"/>
      <c r="M15" s="1032"/>
      <c r="N15" s="1032"/>
      <c r="O15" s="1032"/>
      <c r="P15" s="1032"/>
      <c r="Q15" s="1032"/>
      <c r="R15" s="1032"/>
      <c r="S15" s="1032"/>
      <c r="T15" s="1032"/>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AO260" activePane="bottomRight" state="frozen"/>
      <selection pane="topRight" activeCell="D1" sqref="D1"/>
      <selection pane="bottomLeft" activeCell="A3" sqref="A3"/>
      <selection pane="bottomRight" activeCell="AY2" sqref="AY2"/>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095" t="s">
        <v>0</v>
      </c>
      <c r="C1" s="1097" t="s">
        <v>1</v>
      </c>
      <c r="D1" s="1099" t="s">
        <v>1238</v>
      </c>
      <c r="E1" s="1099"/>
      <c r="F1" s="1099"/>
      <c r="G1" s="1099"/>
      <c r="H1" s="1099"/>
      <c r="I1" s="1099" t="s">
        <v>1240</v>
      </c>
      <c r="J1" s="1099"/>
      <c r="K1" s="1099"/>
      <c r="L1" s="1099"/>
      <c r="M1" s="1099"/>
      <c r="N1" s="1099"/>
      <c r="O1" s="215">
        <f ca="1">TODAY()</f>
        <v>43118</v>
      </c>
      <c r="P1" s="1103" t="s">
        <v>1458</v>
      </c>
      <c r="Q1" s="1103"/>
      <c r="R1" s="1103"/>
      <c r="S1" s="1103"/>
      <c r="T1" s="1103"/>
      <c r="U1" s="1103"/>
      <c r="V1" s="1103"/>
      <c r="W1" s="1103"/>
      <c r="X1" s="1103"/>
      <c r="Y1" s="1103"/>
      <c r="Z1" s="1103"/>
      <c r="AA1" s="1103"/>
      <c r="AB1" s="1102" t="s">
        <v>1457</v>
      </c>
      <c r="AC1" s="1102"/>
      <c r="AD1" s="1102"/>
      <c r="AE1" s="1102"/>
      <c r="AF1" s="1102"/>
      <c r="AG1" s="1102"/>
      <c r="AH1" s="1102"/>
      <c r="AI1" s="1102"/>
      <c r="AJ1" s="1102"/>
      <c r="AK1" s="1102"/>
      <c r="AL1" s="1102"/>
      <c r="AM1" s="1102"/>
      <c r="AN1" s="1100" t="s">
        <v>1271</v>
      </c>
      <c r="AO1" s="1100"/>
      <c r="AP1" s="1100"/>
      <c r="AQ1" s="1100"/>
      <c r="AR1" s="1100"/>
      <c r="AS1" s="1100"/>
      <c r="AT1" s="1100"/>
      <c r="AU1" s="1100"/>
      <c r="AV1" s="1100"/>
      <c r="AW1" s="1100"/>
      <c r="AX1" s="1100"/>
      <c r="AY1" s="1100"/>
    </row>
    <row r="2" spans="1:51" ht="33.75" x14ac:dyDescent="0.25">
      <c r="B2" s="1096"/>
      <c r="C2" s="1098"/>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6">
        <v>40939</v>
      </c>
      <c r="Q2" s="336">
        <v>40967</v>
      </c>
      <c r="R2" s="336">
        <v>40999</v>
      </c>
      <c r="S2" s="336">
        <v>41029</v>
      </c>
      <c r="T2" s="336">
        <v>41060</v>
      </c>
      <c r="U2" s="336">
        <v>41090</v>
      </c>
      <c r="V2" s="336">
        <v>41121</v>
      </c>
      <c r="W2" s="336">
        <v>41152</v>
      </c>
      <c r="X2" s="336">
        <v>41182</v>
      </c>
      <c r="Y2" s="336">
        <v>41213</v>
      </c>
      <c r="Z2" s="336">
        <v>41243</v>
      </c>
      <c r="AA2" s="336">
        <v>41274</v>
      </c>
      <c r="AB2" s="337">
        <v>41305</v>
      </c>
      <c r="AC2" s="337">
        <v>41333</v>
      </c>
      <c r="AD2" s="337">
        <v>41364</v>
      </c>
      <c r="AE2" s="337">
        <v>41394</v>
      </c>
      <c r="AF2" s="337">
        <v>41425</v>
      </c>
      <c r="AG2" s="337">
        <v>41455</v>
      </c>
      <c r="AH2" s="337">
        <v>41486</v>
      </c>
      <c r="AI2" s="337">
        <v>41517</v>
      </c>
      <c r="AJ2" s="337">
        <v>41547</v>
      </c>
      <c r="AK2" s="337">
        <v>41578</v>
      </c>
      <c r="AL2" s="337">
        <v>41608</v>
      </c>
      <c r="AM2" s="337">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5" t="e">
        <f t="shared" si="76"/>
        <v>#VALUE!</v>
      </c>
      <c r="L70" s="405" t="e">
        <f t="shared" si="77"/>
        <v>#VALUE!</v>
      </c>
      <c r="M70" s="405" t="str">
        <f t="shared" si="78"/>
        <v>4 meses</v>
      </c>
      <c r="N70" s="405"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7" t="s">
        <v>1111</v>
      </c>
      <c r="C221" s="411" t="s">
        <v>1112</v>
      </c>
      <c r="D221" s="167">
        <v>2014</v>
      </c>
      <c r="E221" s="415">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8" t="str">
        <f>+'Base de Datos'!E263</f>
        <v>140377-0-2014</v>
      </c>
      <c r="C222" s="412" t="str">
        <f>+'Base de Datos'!F263</f>
        <v>GAMMA INGENIEROS S A</v>
      </c>
      <c r="D222" s="412">
        <f>YEAR(E222)</f>
        <v>2015</v>
      </c>
      <c r="E222" s="416">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8" t="str">
        <f>+'Base de Datos'!E265</f>
        <v>140385-0-2014</v>
      </c>
      <c r="C225" s="412" t="str">
        <f>+'Base de Datos'!F265</f>
        <v>S.O.S. SOLUCIONES DE OFICINA &amp; SUMINISTROS S.A.S.</v>
      </c>
      <c r="D225" s="412">
        <f>YEAR(E225)</f>
        <v>2014</v>
      </c>
      <c r="E225" s="416">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8" t="str">
        <f>+'Base de Datos'!E253</f>
        <v>140310-0-2014</v>
      </c>
      <c r="C230" s="412" t="str">
        <f>+'Base de Datos'!F253</f>
        <v>TECOLSOF SAS</v>
      </c>
      <c r="D230" s="412">
        <f>YEAR(E230)</f>
        <v>2014</v>
      </c>
      <c r="E230" s="416">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12">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5" t="e">
        <f t="shared" si="207"/>
        <v>#VALUE!</v>
      </c>
      <c r="L241" s="405" t="e">
        <f t="shared" si="208"/>
        <v>#VALUE!</v>
      </c>
      <c r="M241" s="405" t="str">
        <f t="shared" si="209"/>
        <v>4 meses y 18 días</v>
      </c>
      <c r="N241" s="405"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10"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10"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10"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9" t="s">
        <v>1179</v>
      </c>
      <c r="C261" s="413" t="s">
        <v>1026</v>
      </c>
      <c r="D261" s="414">
        <v>2012</v>
      </c>
      <c r="E261" s="417">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01">
        <v>2012</v>
      </c>
      <c r="AI276" s="1101"/>
      <c r="AK276" s="1101">
        <v>2013</v>
      </c>
      <c r="AL276" s="1101"/>
      <c r="AN276" s="1101">
        <v>2014</v>
      </c>
      <c r="AO276" s="1101"/>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AN276:AO276"/>
    <mergeCell ref="AB1:AM1"/>
    <mergeCell ref="P1:AA1"/>
    <mergeCell ref="AH276:AI276"/>
    <mergeCell ref="AK276:AL276"/>
    <mergeCell ref="B1:B2"/>
    <mergeCell ref="C1:C2"/>
    <mergeCell ref="D1:H1"/>
    <mergeCell ref="I1:N1"/>
    <mergeCell ref="AN1:AY1"/>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5" bestFit="1" customWidth="1"/>
    <col min="2" max="2" width="15.7109375" style="285" customWidth="1"/>
    <col min="3" max="3" width="23.28515625" style="285" customWidth="1"/>
    <col min="4" max="4" width="12.140625" style="321" bestFit="1" customWidth="1"/>
    <col min="5" max="6" width="11.42578125" style="285"/>
    <col min="7" max="7" width="9.140625" style="285" customWidth="1"/>
    <col min="8" max="8" width="12.140625" style="321" bestFit="1" customWidth="1"/>
    <col min="9" max="9" width="7.85546875" style="285" bestFit="1" customWidth="1"/>
    <col min="10" max="11" width="7.85546875" style="285" customWidth="1"/>
    <col min="12" max="12" width="7.85546875" style="285" bestFit="1" customWidth="1"/>
    <col min="13" max="15" width="7.85546875" style="285" customWidth="1"/>
    <col min="16" max="16" width="11" style="285" bestFit="1" customWidth="1"/>
    <col min="17" max="17" width="11" style="285" customWidth="1"/>
    <col min="18" max="18" width="12.85546875" style="285" customWidth="1"/>
    <col min="19" max="20" width="11.42578125" style="285"/>
    <col min="21" max="21" width="19.140625" style="285" customWidth="1"/>
    <col min="22" max="16384" width="11.42578125" style="285"/>
  </cols>
  <sheetData>
    <row r="1" spans="1:29" ht="12" thickBot="1" x14ac:dyDescent="0.3">
      <c r="A1" s="333"/>
      <c r="B1" s="333"/>
      <c r="C1" s="333"/>
      <c r="D1" s="334"/>
      <c r="E1" s="333"/>
      <c r="F1" s="333"/>
      <c r="G1" s="333"/>
      <c r="H1" s="334"/>
      <c r="I1" s="333"/>
      <c r="J1" s="333"/>
      <c r="K1" s="333"/>
      <c r="L1" s="333"/>
      <c r="M1" s="333"/>
      <c r="N1" s="333"/>
      <c r="O1" s="333"/>
      <c r="P1" s="333"/>
      <c r="Q1" s="333"/>
      <c r="R1" s="333"/>
      <c r="S1" s="333"/>
      <c r="T1" s="333"/>
      <c r="U1" s="333"/>
      <c r="V1" s="333"/>
    </row>
    <row r="2" spans="1:29" ht="18.75" thickTop="1" x14ac:dyDescent="0.25">
      <c r="A2" s="358"/>
      <c r="B2" s="1105" t="s">
        <v>387</v>
      </c>
      <c r="C2" s="1106"/>
      <c r="D2" s="1106"/>
      <c r="E2" s="1106"/>
      <c r="F2" s="1106"/>
      <c r="G2" s="1106"/>
      <c r="H2" s="1106"/>
      <c r="I2" s="1106"/>
      <c r="J2" s="1106"/>
      <c r="K2" s="1106"/>
      <c r="L2" s="1106"/>
      <c r="M2" s="1106"/>
      <c r="N2" s="1106"/>
      <c r="O2" s="1106"/>
      <c r="P2" s="1106"/>
      <c r="Q2" s="1106"/>
      <c r="R2" s="1106"/>
      <c r="S2" s="1106"/>
      <c r="T2" s="1106"/>
      <c r="U2" s="1107"/>
      <c r="V2" s="333"/>
    </row>
    <row r="3" spans="1:29" ht="18.75" thickBot="1" x14ac:dyDescent="0.3">
      <c r="A3" s="358"/>
      <c r="B3" s="1108" t="s">
        <v>1455</v>
      </c>
      <c r="C3" s="1109"/>
      <c r="D3" s="1109"/>
      <c r="E3" s="1109"/>
      <c r="F3" s="1109"/>
      <c r="G3" s="1109"/>
      <c r="H3" s="1109"/>
      <c r="I3" s="1109"/>
      <c r="J3" s="1109"/>
      <c r="K3" s="1109"/>
      <c r="L3" s="1109"/>
      <c r="M3" s="1109"/>
      <c r="N3" s="1109"/>
      <c r="O3" s="1109"/>
      <c r="P3" s="1109"/>
      <c r="Q3" s="1109"/>
      <c r="R3" s="1109"/>
      <c r="S3" s="1109"/>
      <c r="T3" s="1109"/>
      <c r="U3" s="1110"/>
      <c r="V3" s="333"/>
    </row>
    <row r="4" spans="1:29" ht="12.75" thickTop="1" thickBot="1" x14ac:dyDescent="0.3">
      <c r="A4" s="358"/>
      <c r="B4" s="333"/>
      <c r="C4" s="333"/>
      <c r="D4" s="334"/>
      <c r="E4" s="333"/>
      <c r="F4" s="335"/>
      <c r="G4" s="333"/>
      <c r="H4" s="334"/>
      <c r="I4" s="333"/>
      <c r="J4" s="333"/>
      <c r="K4" s="333"/>
      <c r="L4" s="333"/>
      <c r="M4" s="333"/>
      <c r="N4" s="333"/>
      <c r="O4" s="333"/>
      <c r="P4" s="333"/>
      <c r="Q4" s="333"/>
      <c r="R4" s="333"/>
      <c r="S4" s="333"/>
      <c r="T4" s="333"/>
      <c r="U4" s="333"/>
      <c r="V4" s="333"/>
    </row>
    <row r="5" spans="1:29" ht="12.75" thickTop="1" thickBot="1" x14ac:dyDescent="0.3">
      <c r="A5" s="333"/>
      <c r="B5" s="335"/>
      <c r="C5" s="401">
        <f ca="1">TODAY()</f>
        <v>43118</v>
      </c>
      <c r="D5" s="334"/>
      <c r="E5" s="333"/>
      <c r="F5" s="333"/>
      <c r="G5" s="333"/>
      <c r="H5" s="334"/>
      <c r="I5" s="1104" t="s">
        <v>1448</v>
      </c>
      <c r="J5" s="1104"/>
      <c r="K5" s="1104" t="s">
        <v>970</v>
      </c>
      <c r="L5" s="1104"/>
      <c r="M5" s="125"/>
      <c r="N5" s="125"/>
      <c r="O5" s="125"/>
      <c r="P5" s="125"/>
      <c r="Q5" s="125"/>
      <c r="R5" s="333"/>
      <c r="S5" s="333"/>
      <c r="T5" s="333"/>
      <c r="U5" s="333"/>
      <c r="V5" s="333"/>
    </row>
    <row r="6" spans="1:29" ht="46.5" thickTop="1" thickBot="1" x14ac:dyDescent="0.3">
      <c r="B6" s="322" t="s">
        <v>0</v>
      </c>
      <c r="C6" s="322" t="s">
        <v>1</v>
      </c>
      <c r="D6" s="323" t="s">
        <v>386</v>
      </c>
      <c r="E6" s="324" t="s">
        <v>374</v>
      </c>
      <c r="F6" s="324" t="s">
        <v>375</v>
      </c>
      <c r="G6" s="324" t="s">
        <v>979</v>
      </c>
      <c r="H6" s="323" t="s">
        <v>385</v>
      </c>
      <c r="I6" s="325" t="s">
        <v>1452</v>
      </c>
      <c r="J6" s="325" t="s">
        <v>1453</v>
      </c>
      <c r="K6" s="325" t="s">
        <v>1452</v>
      </c>
      <c r="L6" s="325" t="s">
        <v>1454</v>
      </c>
      <c r="M6" s="326" t="s">
        <v>376</v>
      </c>
      <c r="N6" s="326" t="s">
        <v>1577</v>
      </c>
      <c r="O6" s="324" t="s">
        <v>1000</v>
      </c>
      <c r="P6" s="324" t="s">
        <v>1568</v>
      </c>
      <c r="Q6" s="324" t="s">
        <v>1600</v>
      </c>
      <c r="R6" s="327" t="s">
        <v>1449</v>
      </c>
      <c r="S6" s="324" t="s">
        <v>984</v>
      </c>
      <c r="T6" s="324" t="s">
        <v>1451</v>
      </c>
      <c r="U6" s="324" t="s">
        <v>568</v>
      </c>
    </row>
    <row r="7" spans="1:29" ht="23.25" customHeight="1" thickTop="1" thickBot="1" x14ac:dyDescent="0.3">
      <c r="A7" s="108">
        <v>1</v>
      </c>
      <c r="B7" s="328" t="str">
        <f>+'Base de Datos'!E7</f>
        <v>010000-768-0-2008</v>
      </c>
      <c r="C7" s="328" t="str">
        <f>+'Base de Datos'!F7</f>
        <v>FONDO DE VIGILANCIA Y SEGURIDAD DE BOGOTÁ</v>
      </c>
      <c r="D7" s="329">
        <f>+'Base de Datos'!I7</f>
        <v>7329236109</v>
      </c>
      <c r="E7" s="330">
        <f>+'Base de Datos'!M7</f>
        <v>39724</v>
      </c>
      <c r="F7" s="330">
        <f>+'Base de Datos'!N7</f>
        <v>41673</v>
      </c>
      <c r="G7" s="330">
        <f>+'Base de Datos'!T7</f>
        <v>41673</v>
      </c>
      <c r="H7" s="329">
        <f>+'Base de Datos'!U7</f>
        <v>7329236109</v>
      </c>
      <c r="I7" s="331" t="str">
        <f>IF(VLOOKUP(B7,'Base de Datos'!$E$7:$S$303,11,0),"SI","NO")</f>
        <v>NO</v>
      </c>
      <c r="J7" s="332" t="str">
        <f t="shared" ref="J7:J70" si="0">IF(I7=$AB$7,((G7-F7)*100%)/(F7-E7),"")</f>
        <v/>
      </c>
      <c r="K7" s="331" t="str">
        <f>IF(VLOOKUP(B7,'Base de Datos'!$E$7:$S$303,11,0),"SI","NO")</f>
        <v>NO</v>
      </c>
      <c r="L7" s="332" t="str">
        <f t="shared" ref="L7:L70" si="1">IF(K7=$AB$7,((H7-D7)*100%)/(D7),"")</f>
        <v/>
      </c>
      <c r="M7" s="332">
        <f>VLOOKUP(B7,'Base de Datos'!$E$7:$Z$303,21,0)</f>
        <v>0.84841864329684125</v>
      </c>
      <c r="N7" s="394" t="str">
        <f ca="1">IF(G7&lt;TODAY(),"",G7-TODAY())</f>
        <v/>
      </c>
      <c r="O7" s="332">
        <f ca="1">VLOOKUP(B7,'Base de Datos'!$E$7:$Z$303,22,0)</f>
        <v>1</v>
      </c>
      <c r="P7" s="393">
        <f t="shared" ref="P7:P70" ca="1" si="2">IF(R7=$AC$7,"",IFERROR(IF(R7=$AC$8,"",($C$5-G7)),""))</f>
        <v>1445</v>
      </c>
      <c r="Q7" s="406">
        <f ca="1">IF(P7=0,"",(P7*100%)/120)</f>
        <v>12.041666666666666</v>
      </c>
      <c r="R7" s="328" t="str">
        <f ca="1">VLOOKUP(B7,'Base de Datos'!E7:AR303,33,0)</f>
        <v>TERMINO</v>
      </c>
      <c r="S7" s="331" t="str">
        <f t="shared" ref="S7:S70" ca="1" si="3">IF((TODAY()-G7&lt;900),"SI","NO")</f>
        <v>NO</v>
      </c>
      <c r="T7" s="328" t="str">
        <f t="shared" ref="T7:T70" ca="1" si="4">IF(R7=$AC$8,"",IF(O7=100%,"Liquidar",IF(R7=$AC$7,"Supervisar","")))</f>
        <v>Liquidar</v>
      </c>
      <c r="U7" s="328">
        <f>VLOOKUP(B7,'Base de Datos'!$E$7:$AR$401,38,0)</f>
        <v>0</v>
      </c>
      <c r="Y7" s="396">
        <v>1</v>
      </c>
      <c r="AB7" s="285" t="s">
        <v>390</v>
      </c>
      <c r="AC7" s="285" t="s">
        <v>1100</v>
      </c>
    </row>
    <row r="8" spans="1:29" ht="23.25" customHeight="1" thickTop="1" thickBot="1" x14ac:dyDescent="0.3">
      <c r="A8" s="108">
        <v>2</v>
      </c>
      <c r="B8" s="328" t="str">
        <f>+'Base de Datos'!E8</f>
        <v>040000-1118-7-2008</v>
      </c>
      <c r="C8" s="328" t="str">
        <f>+'Base de Datos'!F8</f>
        <v>COLOMBIANA DE SOFTWARE Y HARDWARE COLSOF S.A.</v>
      </c>
      <c r="D8" s="329">
        <f>+'Base de Datos'!I8</f>
        <v>2026575001</v>
      </c>
      <c r="E8" s="330">
        <f>+'Base de Datos'!M8</f>
        <v>39904</v>
      </c>
      <c r="F8" s="330">
        <f>+'Base de Datos'!N8</f>
        <v>41486</v>
      </c>
      <c r="G8" s="330">
        <f>+'Base de Datos'!T8</f>
        <v>41486</v>
      </c>
      <c r="H8" s="329">
        <f>+'Base de Datos'!U8</f>
        <v>3100400677</v>
      </c>
      <c r="I8" s="331" t="str">
        <f>IF(VLOOKUP(B8,'Base de Datos'!$E$7:$S$303,11,0),"SI","NO")</f>
        <v>SI</v>
      </c>
      <c r="J8" s="332">
        <f t="shared" si="0"/>
        <v>0</v>
      </c>
      <c r="K8" s="331" t="str">
        <f>IF(VLOOKUP(B8,'Base de Datos'!$E$7:$S$303,11,0),"SI","NO")</f>
        <v>SI</v>
      </c>
      <c r="L8" s="332">
        <f t="shared" si="1"/>
        <v>0.52987216139058646</v>
      </c>
      <c r="M8" s="332">
        <f>VLOOKUP(B8,'Base de Datos'!$E$7:$Z$303,21,0)</f>
        <v>0.98908542426434254</v>
      </c>
      <c r="N8" s="394" t="str">
        <f t="shared" ref="N8:N71" ca="1" si="5">IF(G8&lt;TODAY(),"",G8-TODAY())</f>
        <v/>
      </c>
      <c r="O8" s="332">
        <f ca="1">VLOOKUP(B8,'Base de Datos'!$E$7:$Z$303,22,0)</f>
        <v>1</v>
      </c>
      <c r="P8" s="393">
        <f t="shared" ca="1" si="2"/>
        <v>1632</v>
      </c>
      <c r="Q8" s="406">
        <f t="shared" ref="Q8:Q71" ca="1" si="6">IF(P8=0,"",(P8*100%)/120)</f>
        <v>13.6</v>
      </c>
      <c r="R8" s="328" t="str">
        <f ca="1">VLOOKUP(B8,'Base de Datos'!E8:AR304,33,0)</f>
        <v>TERMINO</v>
      </c>
      <c r="S8" s="331" t="str">
        <f t="shared" ca="1" si="3"/>
        <v>NO</v>
      </c>
      <c r="T8" s="328" t="str">
        <f t="shared" ca="1" si="4"/>
        <v>Liquidar</v>
      </c>
      <c r="U8" s="328">
        <f>VLOOKUP(B8,'Base de Datos'!$E$7:$AR$401,38,0)</f>
        <v>42149</v>
      </c>
      <c r="Y8" s="396">
        <v>90</v>
      </c>
      <c r="AB8" s="285" t="s">
        <v>391</v>
      </c>
      <c r="AC8" s="285" t="s">
        <v>927</v>
      </c>
    </row>
    <row r="9" spans="1:29" ht="23.25" customHeight="1" thickTop="1" thickBot="1" x14ac:dyDescent="0.3">
      <c r="A9" s="108">
        <v>3</v>
      </c>
      <c r="B9" s="328" t="str">
        <f>+'Base de Datos'!E9</f>
        <v>040000-1120-0-2008</v>
      </c>
      <c r="C9" s="328" t="str">
        <f>+'Base de Datos'!F9</f>
        <v>COMPUFACIL</v>
      </c>
      <c r="D9" s="329">
        <f>+'Base de Datos'!I9</f>
        <v>2909992591</v>
      </c>
      <c r="E9" s="330">
        <f>+'Base de Datos'!M9</f>
        <v>39864</v>
      </c>
      <c r="F9" s="330">
        <f>+'Base de Datos'!N9</f>
        <v>41476</v>
      </c>
      <c r="G9" s="330">
        <f>+'Base de Datos'!T9</f>
        <v>41476</v>
      </c>
      <c r="H9" s="329">
        <f>+'Base de Datos'!U9</f>
        <v>2909992591</v>
      </c>
      <c r="I9" s="331" t="str">
        <f>IF(VLOOKUP(B9,'Base de Datos'!$E$7:$S$303,11,0),"SI","NO")</f>
        <v>NO</v>
      </c>
      <c r="J9" s="332" t="str">
        <f t="shared" si="0"/>
        <v/>
      </c>
      <c r="K9" s="331" t="str">
        <f>IF(VLOOKUP(B9,'Base de Datos'!$E$7:$S$303,11,0),"SI","NO")</f>
        <v>NO</v>
      </c>
      <c r="L9" s="332" t="str">
        <f t="shared" si="1"/>
        <v/>
      </c>
      <c r="M9" s="332">
        <f>VLOOKUP(B9,'Base de Datos'!$E$7:$Z$303,21,0)</f>
        <v>4.6051299379407939E-3</v>
      </c>
      <c r="N9" s="394" t="str">
        <f t="shared" ca="1" si="5"/>
        <v/>
      </c>
      <c r="O9" s="332">
        <f ca="1">VLOOKUP(B9,'Base de Datos'!$E$7:$Z$303,22,0)</f>
        <v>1</v>
      </c>
      <c r="P9" s="393">
        <f t="shared" ca="1" si="2"/>
        <v>1642</v>
      </c>
      <c r="Q9" s="406">
        <f t="shared" ca="1" si="6"/>
        <v>13.683333333333334</v>
      </c>
      <c r="R9" s="328" t="str">
        <f ca="1">VLOOKUP(B9,'Base de Datos'!E9:AR305,33,0)</f>
        <v>TERMINO</v>
      </c>
      <c r="S9" s="331" t="str">
        <f t="shared" ca="1" si="3"/>
        <v>NO</v>
      </c>
      <c r="T9" s="328" t="str">
        <f t="shared" ca="1" si="4"/>
        <v>Liquidar</v>
      </c>
      <c r="U9" s="328">
        <f>VLOOKUP(B9,'Base de Datos'!$E$7:$AR$401,38,0)</f>
        <v>0</v>
      </c>
      <c r="Y9" s="395">
        <v>91</v>
      </c>
      <c r="AC9" s="285" t="s">
        <v>571</v>
      </c>
    </row>
    <row r="10" spans="1:29" ht="23.25" customHeight="1" thickTop="1" thickBot="1" x14ac:dyDescent="0.3">
      <c r="A10" s="108">
        <v>4</v>
      </c>
      <c r="B10" s="328" t="str">
        <f>+'Base de Datos'!E10</f>
        <v>040000-821-0-2009</v>
      </c>
      <c r="C10" s="328" t="str">
        <f>+'Base de Datos'!F10</f>
        <v>DATAPOINT DE COLOMBIA S A S</v>
      </c>
      <c r="D10" s="329">
        <f>+'Base de Datos'!I10</f>
        <v>234495075</v>
      </c>
      <c r="E10" s="330">
        <f>+'Base de Datos'!M10</f>
        <v>40197</v>
      </c>
      <c r="F10" s="330">
        <f>+'Base de Datos'!N10</f>
        <v>41323</v>
      </c>
      <c r="G10" s="330">
        <f>+'Base de Datos'!T10</f>
        <v>41323</v>
      </c>
      <c r="H10" s="329">
        <f>+'Base de Datos'!U10</f>
        <v>234495075</v>
      </c>
      <c r="I10" s="331" t="str">
        <f>IF(VLOOKUP(B10,'Base de Datos'!$E$7:$S$303,11,0),"SI","NO")</f>
        <v>NO</v>
      </c>
      <c r="J10" s="332" t="str">
        <f t="shared" si="0"/>
        <v/>
      </c>
      <c r="K10" s="331" t="str">
        <f>IF(VLOOKUP(B10,'Base de Datos'!$E$7:$S$303,11,0),"SI","NO")</f>
        <v>NO</v>
      </c>
      <c r="L10" s="332" t="str">
        <f t="shared" si="1"/>
        <v/>
      </c>
      <c r="M10" s="332">
        <f>VLOOKUP(B10,'Base de Datos'!$E$7:$Z$303,21,0)</f>
        <v>1</v>
      </c>
      <c r="N10" s="394" t="str">
        <f t="shared" ca="1" si="5"/>
        <v/>
      </c>
      <c r="O10" s="332">
        <f ca="1">VLOOKUP(B10,'Base de Datos'!$E$7:$Z$303,22,0)</f>
        <v>1</v>
      </c>
      <c r="P10" s="393">
        <f t="shared" ca="1" si="2"/>
        <v>1795</v>
      </c>
      <c r="Q10" s="406">
        <f t="shared" ca="1" si="6"/>
        <v>14.958333333333334</v>
      </c>
      <c r="R10" s="328" t="str">
        <f ca="1">VLOOKUP(B10,'Base de Datos'!E10:AR306,33,0)</f>
        <v>TERMINO</v>
      </c>
      <c r="S10" s="331" t="str">
        <f t="shared" ca="1" si="3"/>
        <v>NO</v>
      </c>
      <c r="T10" s="328" t="str">
        <f t="shared" ca="1" si="4"/>
        <v>Liquidar</v>
      </c>
      <c r="U10" s="328">
        <f>VLOOKUP(B10,'Base de Datos'!$E$7:$AR$401,38,0)</f>
        <v>0</v>
      </c>
      <c r="Y10" s="395">
        <v>120</v>
      </c>
    </row>
    <row r="11" spans="1:29" ht="23.25" customHeight="1" thickTop="1" thickBot="1" x14ac:dyDescent="0.3">
      <c r="A11" s="108">
        <v>5</v>
      </c>
      <c r="B11" s="328" t="str">
        <f>+'Base de Datos'!E11</f>
        <v>120000-727-0-2009</v>
      </c>
      <c r="C11" s="328" t="str">
        <f>+'Base de Datos'!F11</f>
        <v>COLOMBIANA DE SOFTWARE Y HARDWARE COLSOF S.A.</v>
      </c>
      <c r="D11" s="329">
        <f>+'Base de Datos'!I11</f>
        <v>507000000</v>
      </c>
      <c r="E11" s="330">
        <f>+'Base de Datos'!M11</f>
        <v>40150</v>
      </c>
      <c r="F11" s="330">
        <f>+'Base de Datos'!N11</f>
        <v>41336</v>
      </c>
      <c r="G11" s="330">
        <f>+'Base de Datos'!T11</f>
        <v>41336</v>
      </c>
      <c r="H11" s="329">
        <f>+'Base de Datos'!U11</f>
        <v>507000000</v>
      </c>
      <c r="I11" s="331" t="str">
        <f>IF(VLOOKUP(B11,'Base de Datos'!$E$7:$S$303,11,0),"SI","NO")</f>
        <v>NO</v>
      </c>
      <c r="J11" s="332" t="str">
        <f t="shared" si="0"/>
        <v/>
      </c>
      <c r="K11" s="331" t="str">
        <f>IF(VLOOKUP(B11,'Base de Datos'!$E$7:$S$303,11,0),"SI","NO")</f>
        <v>NO</v>
      </c>
      <c r="L11" s="332" t="str">
        <f t="shared" si="1"/>
        <v/>
      </c>
      <c r="M11" s="332">
        <f>VLOOKUP(B11,'Base de Datos'!$E$7:$Z$303,21,0)</f>
        <v>0.92913298619329387</v>
      </c>
      <c r="N11" s="394" t="str">
        <f t="shared" ca="1" si="5"/>
        <v/>
      </c>
      <c r="O11" s="332">
        <f ca="1">VLOOKUP(B11,'Base de Datos'!$E$7:$Z$303,22,0)</f>
        <v>1</v>
      </c>
      <c r="P11" s="393">
        <f t="shared" ca="1" si="2"/>
        <v>1782</v>
      </c>
      <c r="Q11" s="406">
        <f t="shared" ca="1" si="6"/>
        <v>14.85</v>
      </c>
      <c r="R11" s="328" t="str">
        <f ca="1">VLOOKUP(B11,'Base de Datos'!E11:AR307,33,0)</f>
        <v>TERMINO</v>
      </c>
      <c r="S11" s="331" t="str">
        <f t="shared" ca="1" si="3"/>
        <v>NO</v>
      </c>
      <c r="T11" s="328" t="str">
        <f t="shared" ca="1" si="4"/>
        <v>Liquidar</v>
      </c>
      <c r="U11" s="328">
        <f>VLOOKUP(B11,'Base de Datos'!$E$7:$AR$401,38,0)</f>
        <v>0</v>
      </c>
      <c r="Y11" s="397">
        <v>121</v>
      </c>
    </row>
    <row r="12" spans="1:29" ht="23.25" customHeight="1" thickTop="1" thickBot="1" x14ac:dyDescent="0.3">
      <c r="A12" s="108">
        <v>6</v>
      </c>
      <c r="B12" s="328" t="str">
        <f>+'Base de Datos'!E12</f>
        <v>120000-436-0-2011</v>
      </c>
      <c r="C12" s="328" t="str">
        <f>+'Base de Datos'!F12</f>
        <v>D&amp;D AIRE ACONDICIONADO LTDA.</v>
      </c>
      <c r="D12" s="329">
        <f>+'Base de Datos'!I12</f>
        <v>12835200</v>
      </c>
      <c r="E12" s="330">
        <f>+'Base de Datos'!M12</f>
        <v>40966</v>
      </c>
      <c r="F12" s="330">
        <f>+'Base de Datos'!N12</f>
        <v>41332</v>
      </c>
      <c r="G12" s="330">
        <f>+'Base de Datos'!T12</f>
        <v>41332</v>
      </c>
      <c r="H12" s="329">
        <f>+'Base de Datos'!U12</f>
        <v>12835200</v>
      </c>
      <c r="I12" s="331" t="str">
        <f>IF(VLOOKUP(B12,'Base de Datos'!$E$7:$S$303,11,0),"SI","NO")</f>
        <v>NO</v>
      </c>
      <c r="J12" s="332" t="str">
        <f t="shared" si="0"/>
        <v/>
      </c>
      <c r="K12" s="331" t="str">
        <f>IF(VLOOKUP(B12,'Base de Datos'!$E$7:$S$303,11,0),"SI","NO")</f>
        <v>NO</v>
      </c>
      <c r="L12" s="332" t="str">
        <f t="shared" si="1"/>
        <v/>
      </c>
      <c r="M12" s="332">
        <f>VLOOKUP(B12,'Base de Datos'!$E$7:$Z$303,21,0)</f>
        <v>8.5094116180503609E-2</v>
      </c>
      <c r="N12" s="394" t="str">
        <f t="shared" ca="1" si="5"/>
        <v/>
      </c>
      <c r="O12" s="332">
        <f ca="1">VLOOKUP(B12,'Base de Datos'!$E$7:$Z$303,22,0)</f>
        <v>1</v>
      </c>
      <c r="P12" s="393">
        <f t="shared" ca="1" si="2"/>
        <v>1786</v>
      </c>
      <c r="Q12" s="406">
        <f t="shared" ca="1" si="6"/>
        <v>14.883333333333333</v>
      </c>
      <c r="R12" s="328" t="str">
        <f ca="1">VLOOKUP(B12,'Base de Datos'!E12:AR308,33,0)</f>
        <v>TERMINO</v>
      </c>
      <c r="S12" s="331" t="str">
        <f t="shared" ca="1" si="3"/>
        <v>NO</v>
      </c>
      <c r="T12" s="328" t="str">
        <f t="shared" ca="1" si="4"/>
        <v>Liquidar</v>
      </c>
      <c r="U12" s="328">
        <f>VLOOKUP(B12,'Base de Datos'!$E$7:$AR$401,38,0)</f>
        <v>0</v>
      </c>
      <c r="Y12" s="397">
        <v>500</v>
      </c>
    </row>
    <row r="13" spans="1:29" ht="23.25" customHeight="1" thickTop="1" thickBot="1" x14ac:dyDescent="0.3">
      <c r="A13" s="108">
        <v>7</v>
      </c>
      <c r="B13" s="328" t="str">
        <f>+'Base de Datos'!E13</f>
        <v>050000-275-0-2011</v>
      </c>
      <c r="C13" s="328" t="str">
        <f>+'Base de Datos'!F13</f>
        <v>POLÍTICAS MEDIOS E INVESTIGACIONES</v>
      </c>
      <c r="D13" s="329">
        <f>+'Base de Datos'!I13</f>
        <v>1750000</v>
      </c>
      <c r="E13" s="330">
        <f>+'Base de Datos'!M13</f>
        <v>40822</v>
      </c>
      <c r="F13" s="330">
        <f>+'Base de Datos'!N13</f>
        <v>41188</v>
      </c>
      <c r="G13" s="330">
        <f>+'Base de Datos'!T13</f>
        <v>41370</v>
      </c>
      <c r="H13" s="329">
        <f>+'Base de Datos'!U13</f>
        <v>2625000</v>
      </c>
      <c r="I13" s="331" t="str">
        <f>IF(VLOOKUP(B13,'Base de Datos'!$E$7:$S$303,11,0),"SI","NO")</f>
        <v>SI</v>
      </c>
      <c r="J13" s="332">
        <f t="shared" si="0"/>
        <v>0.49726775956284153</v>
      </c>
      <c r="K13" s="331" t="str">
        <f>IF(VLOOKUP(B13,'Base de Datos'!$E$7:$S$303,11,0),"SI","NO")</f>
        <v>SI</v>
      </c>
      <c r="L13" s="332">
        <f t="shared" si="1"/>
        <v>0.5</v>
      </c>
      <c r="M13" s="332">
        <f>VLOOKUP(B13,'Base de Datos'!$E$7:$Z$303,21,0)</f>
        <v>0</v>
      </c>
      <c r="N13" s="394" t="str">
        <f t="shared" ca="1" si="5"/>
        <v/>
      </c>
      <c r="O13" s="332">
        <f ca="1">VLOOKUP(B13,'Base de Datos'!$E$7:$Z$303,22,0)</f>
        <v>1</v>
      </c>
      <c r="P13" s="393">
        <f t="shared" ca="1" si="2"/>
        <v>1748</v>
      </c>
      <c r="Q13" s="406">
        <f t="shared" ca="1" si="6"/>
        <v>14.566666666666666</v>
      </c>
      <c r="R13" s="328" t="str">
        <f ca="1">VLOOKUP(B13,'Base de Datos'!E13:AR309,33,0)</f>
        <v>TERMINO</v>
      </c>
      <c r="S13" s="331" t="str">
        <f t="shared" ca="1" si="3"/>
        <v>NO</v>
      </c>
      <c r="T13" s="328" t="str">
        <f t="shared" ca="1" si="4"/>
        <v>Liquidar</v>
      </c>
      <c r="U13" s="328">
        <f>VLOOKUP(B13,'Base de Datos'!$E$7:$AR$401,38,0)</f>
        <v>0</v>
      </c>
      <c r="Y13" s="398">
        <v>501</v>
      </c>
    </row>
    <row r="14" spans="1:29" ht="23.25" customHeight="1" thickTop="1" thickBot="1" x14ac:dyDescent="0.3">
      <c r="A14" s="108">
        <v>8</v>
      </c>
      <c r="B14" s="328" t="str">
        <f>+'Base de Datos'!E14</f>
        <v>120000-255-0-2011</v>
      </c>
      <c r="C14" s="328" t="str">
        <f>+'Base de Datos'!F14</f>
        <v>J.A. ZABALA &amp; CONSULTORES ASOCIADOS LTDA.</v>
      </c>
      <c r="D14" s="329">
        <f>+'Base de Datos'!I14</f>
        <v>497000000</v>
      </c>
      <c r="E14" s="330">
        <f>+'Base de Datos'!M14</f>
        <v>40746</v>
      </c>
      <c r="F14" s="330">
        <f>+'Base de Datos'!N14</f>
        <v>41112</v>
      </c>
      <c r="G14" s="330">
        <f>+'Base de Datos'!T14</f>
        <v>41112</v>
      </c>
      <c r="H14" s="329">
        <f>+'Base de Datos'!U14</f>
        <v>497000000</v>
      </c>
      <c r="I14" s="331" t="str">
        <f>IF(VLOOKUP(B14,'Base de Datos'!$E$7:$S$303,11,0),"SI","NO")</f>
        <v>NO</v>
      </c>
      <c r="J14" s="332" t="str">
        <f t="shared" si="0"/>
        <v/>
      </c>
      <c r="K14" s="331" t="str">
        <f>IF(VLOOKUP(B14,'Base de Datos'!$E$7:$S$303,11,0),"SI","NO")</f>
        <v>NO</v>
      </c>
      <c r="L14" s="332" t="str">
        <f t="shared" si="1"/>
        <v/>
      </c>
      <c r="M14" s="332">
        <f>VLOOKUP(B14,'Base de Datos'!$E$7:$Z$303,21,0)</f>
        <v>0.99785305231388333</v>
      </c>
      <c r="N14" s="394" t="str">
        <f t="shared" ca="1" si="5"/>
        <v/>
      </c>
      <c r="O14" s="332">
        <f ca="1">VLOOKUP(B14,'Base de Datos'!$E$7:$Z$303,22,0)</f>
        <v>1</v>
      </c>
      <c r="P14" s="393">
        <f t="shared" ca="1" si="2"/>
        <v>2006</v>
      </c>
      <c r="Q14" s="406">
        <f t="shared" ca="1" si="6"/>
        <v>16.716666666666665</v>
      </c>
      <c r="R14" s="328" t="str">
        <f ca="1">VLOOKUP(B14,'Base de Datos'!E14:AR310,33,0)</f>
        <v>TERMINO</v>
      </c>
      <c r="S14" s="331" t="str">
        <f t="shared" ca="1" si="3"/>
        <v>NO</v>
      </c>
      <c r="T14" s="328" t="str">
        <f t="shared" ca="1" si="4"/>
        <v>Liquidar</v>
      </c>
      <c r="U14" s="328">
        <f>VLOOKUP(B14,'Base de Datos'!$E$7:$AR$401,38,0)</f>
        <v>0</v>
      </c>
      <c r="Y14" s="398">
        <v>700</v>
      </c>
    </row>
    <row r="15" spans="1:29" ht="23.25" customHeight="1" thickTop="1" thickBot="1" x14ac:dyDescent="0.3">
      <c r="A15" s="108">
        <v>9</v>
      </c>
      <c r="B15" s="328" t="str">
        <f>+'Base de Datos'!E15</f>
        <v>120000-260-0-2011</v>
      </c>
      <c r="C15" s="328" t="str">
        <f>+'Base de Datos'!F15</f>
        <v>COTECNA CERTIFICADORA SEVICES LIMITADA</v>
      </c>
      <c r="D15" s="329">
        <f>+'Base de Datos'!I15</f>
        <v>9425000</v>
      </c>
      <c r="E15" s="330">
        <f>+'Base de Datos'!M15</f>
        <v>40870</v>
      </c>
      <c r="F15" s="330">
        <f>+'Base de Datos'!N15</f>
        <v>41236</v>
      </c>
      <c r="G15" s="330">
        <f>+'Base de Datos'!T15</f>
        <v>41356</v>
      </c>
      <c r="H15" s="329">
        <f>+'Base de Datos'!U15</f>
        <v>9425000</v>
      </c>
      <c r="I15" s="331" t="str">
        <f>IF(VLOOKUP(B15,'Base de Datos'!$E$7:$S$303,11,0),"SI","NO")</f>
        <v>NO</v>
      </c>
      <c r="J15" s="332" t="str">
        <f t="shared" si="0"/>
        <v/>
      </c>
      <c r="K15" s="331" t="str">
        <f>IF(VLOOKUP(B15,'Base de Datos'!$E$7:$S$303,11,0),"SI","NO")</f>
        <v>NO</v>
      </c>
      <c r="L15" s="332" t="str">
        <f t="shared" si="1"/>
        <v/>
      </c>
      <c r="M15" s="332">
        <f>VLOOKUP(B15,'Base de Datos'!$E$7:$Z$303,21,0)</f>
        <v>1</v>
      </c>
      <c r="N15" s="394" t="str">
        <f t="shared" ca="1" si="5"/>
        <v/>
      </c>
      <c r="O15" s="332">
        <f ca="1">VLOOKUP(B15,'Base de Datos'!$E$7:$Z$303,22,0)</f>
        <v>1</v>
      </c>
      <c r="P15" s="393">
        <f t="shared" ca="1" si="2"/>
        <v>1762</v>
      </c>
      <c r="Q15" s="406">
        <f t="shared" ca="1" si="6"/>
        <v>14.683333333333334</v>
      </c>
      <c r="R15" s="328" t="str">
        <f ca="1">VLOOKUP(B15,'Base de Datos'!E15:AR311,33,0)</f>
        <v>TERMINO</v>
      </c>
      <c r="S15" s="331" t="str">
        <f t="shared" ca="1" si="3"/>
        <v>NO</v>
      </c>
      <c r="T15" s="328" t="str">
        <f t="shared" ca="1" si="4"/>
        <v>Liquidar</v>
      </c>
      <c r="U15" s="328">
        <f>VLOOKUP(B15,'Base de Datos'!$E$7:$AR$401,38,0)</f>
        <v>42201</v>
      </c>
      <c r="Y15" s="399">
        <v>701</v>
      </c>
    </row>
    <row r="16" spans="1:29" ht="23.25" customHeight="1" thickTop="1" thickBot="1" x14ac:dyDescent="0.3">
      <c r="A16" s="108">
        <v>10</v>
      </c>
      <c r="B16" s="328" t="str">
        <f>+'Base de Datos'!E16</f>
        <v>120000-281-0-2011</v>
      </c>
      <c r="C16" s="328" t="str">
        <f>+'Base de Datos'!F16</f>
        <v>CONSERAUTO</v>
      </c>
      <c r="D16" s="329">
        <f>+'Base de Datos'!I16</f>
        <v>15000000</v>
      </c>
      <c r="E16" s="330">
        <f>+'Base de Datos'!M16</f>
        <v>40863</v>
      </c>
      <c r="F16" s="330">
        <f>+'Base de Datos'!N16</f>
        <v>41364</v>
      </c>
      <c r="G16" s="330">
        <f>+'Base de Datos'!T16</f>
        <v>41364</v>
      </c>
      <c r="H16" s="329">
        <f>+'Base de Datos'!U16</f>
        <v>22930000</v>
      </c>
      <c r="I16" s="331" t="str">
        <f>IF(VLOOKUP(B16,'Base de Datos'!$E$7:$S$303,11,0),"SI","NO")</f>
        <v>SI</v>
      </c>
      <c r="J16" s="332">
        <f t="shared" si="0"/>
        <v>0</v>
      </c>
      <c r="K16" s="331" t="str">
        <f>IF(VLOOKUP(B16,'Base de Datos'!$E$7:$S$303,11,0),"SI","NO")</f>
        <v>SI</v>
      </c>
      <c r="L16" s="332">
        <f t="shared" si="1"/>
        <v>0.52866666666666662</v>
      </c>
      <c r="M16" s="332">
        <f>VLOOKUP(B16,'Base de Datos'!$E$7:$Z$303,21,0)</f>
        <v>0.80386964675098127</v>
      </c>
      <c r="N16" s="394" t="str">
        <f t="shared" ca="1" si="5"/>
        <v/>
      </c>
      <c r="O16" s="332">
        <f ca="1">VLOOKUP(B16,'Base de Datos'!$E$7:$Z$303,22,0)</f>
        <v>1</v>
      </c>
      <c r="P16" s="393">
        <f t="shared" ca="1" si="2"/>
        <v>1754</v>
      </c>
      <c r="Q16" s="406">
        <f t="shared" ca="1" si="6"/>
        <v>14.616666666666667</v>
      </c>
      <c r="R16" s="328" t="str">
        <f ca="1">VLOOKUP(B16,'Base de Datos'!E16:AR312,33,0)</f>
        <v>TERMINO</v>
      </c>
      <c r="S16" s="331" t="str">
        <f t="shared" ca="1" si="3"/>
        <v>NO</v>
      </c>
      <c r="T16" s="328" t="str">
        <f t="shared" ca="1" si="4"/>
        <v>Liquidar</v>
      </c>
      <c r="U16" s="328">
        <f>VLOOKUP(B16,'Base de Datos'!$E$7:$AR$401,38,0)</f>
        <v>42094</v>
      </c>
      <c r="Y16" s="399">
        <v>850</v>
      </c>
    </row>
    <row r="17" spans="1:25" ht="23.25" customHeight="1" thickTop="1" thickBot="1" x14ac:dyDescent="0.3">
      <c r="A17" s="108">
        <v>11</v>
      </c>
      <c r="B17" s="328" t="str">
        <f>+'Base de Datos'!E17</f>
        <v>120000-297-0-2011</v>
      </c>
      <c r="C17" s="328" t="str">
        <f>+'Base de Datos'!F17</f>
        <v>PC MICROS LTDA.</v>
      </c>
      <c r="D17" s="329">
        <f>+'Base de Datos'!I17</f>
        <v>15063760</v>
      </c>
      <c r="E17" s="330">
        <f>+'Base de Datos'!M17</f>
        <v>40862</v>
      </c>
      <c r="F17" s="330">
        <f>+'Base de Datos'!N17</f>
        <v>41242</v>
      </c>
      <c r="G17" s="330">
        <f>+'Base de Datos'!T17</f>
        <v>41362</v>
      </c>
      <c r="H17" s="329">
        <f>+'Base de Datos'!U17</f>
        <v>20044800</v>
      </c>
      <c r="I17" s="331" t="str">
        <f>IF(VLOOKUP(B17,'Base de Datos'!$E$7:$S$303,11,0),"SI","NO")</f>
        <v>SI</v>
      </c>
      <c r="J17" s="332">
        <f t="shared" si="0"/>
        <v>0.31578947368421051</v>
      </c>
      <c r="K17" s="331" t="str">
        <f>IF(VLOOKUP(B17,'Base de Datos'!$E$7:$S$303,11,0),"SI","NO")</f>
        <v>SI</v>
      </c>
      <c r="L17" s="332">
        <f t="shared" si="1"/>
        <v>0.3306637917757585</v>
      </c>
      <c r="M17" s="332">
        <f>VLOOKUP(B17,'Base de Datos'!$E$7:$Z$303,21,0)</f>
        <v>1</v>
      </c>
      <c r="N17" s="394" t="str">
        <f t="shared" ca="1" si="5"/>
        <v/>
      </c>
      <c r="O17" s="332">
        <f ca="1">VLOOKUP(B17,'Base de Datos'!$E$7:$Z$303,22,0)</f>
        <v>1</v>
      </c>
      <c r="P17" s="393">
        <f t="shared" ca="1" si="2"/>
        <v>1756</v>
      </c>
      <c r="Q17" s="406">
        <f t="shared" ca="1" si="6"/>
        <v>14.633333333333333</v>
      </c>
      <c r="R17" s="328" t="str">
        <f ca="1">VLOOKUP(B17,'Base de Datos'!E17:AR313,33,0)</f>
        <v>TERMINO</v>
      </c>
      <c r="S17" s="331" t="str">
        <f t="shared" ca="1" si="3"/>
        <v>NO</v>
      </c>
      <c r="T17" s="328" t="str">
        <f t="shared" ca="1" si="4"/>
        <v>Liquidar</v>
      </c>
      <c r="U17" s="328">
        <f>VLOOKUP(B17,'Base de Datos'!$E$7:$AR$401,38,0)</f>
        <v>0</v>
      </c>
      <c r="Y17" s="400">
        <v>851</v>
      </c>
    </row>
    <row r="18" spans="1:25" ht="23.25" customHeight="1" thickTop="1" thickBot="1" x14ac:dyDescent="0.3">
      <c r="A18" s="108">
        <v>12</v>
      </c>
      <c r="B18" s="328" t="str">
        <f>+'Base de Datos'!E18</f>
        <v>120000-307-0-2011</v>
      </c>
      <c r="C18" s="328" t="str">
        <f>+'Base de Datos'!F18</f>
        <v>ELECTRIMEK LTDA.</v>
      </c>
      <c r="D18" s="329">
        <f>+'Base de Datos'!I18</f>
        <v>8506800</v>
      </c>
      <c r="E18" s="330">
        <f>+'Base de Datos'!M18</f>
        <v>40865</v>
      </c>
      <c r="F18" s="330">
        <f>+'Base de Datos'!N18</f>
        <v>41231</v>
      </c>
      <c r="G18" s="330">
        <f>+'Base de Datos'!T18</f>
        <v>41323</v>
      </c>
      <c r="H18" s="329">
        <f>+'Base de Datos'!U18</f>
        <v>9976800</v>
      </c>
      <c r="I18" s="331" t="str">
        <f>IF(VLOOKUP(B18,'Base de Datos'!$E$7:$S$303,11,0),"SI","NO")</f>
        <v>SI</v>
      </c>
      <c r="J18" s="332">
        <f t="shared" si="0"/>
        <v>0.25136612021857924</v>
      </c>
      <c r="K18" s="331" t="str">
        <f>IF(VLOOKUP(B18,'Base de Datos'!$E$7:$S$303,11,0),"SI","NO")</f>
        <v>SI</v>
      </c>
      <c r="L18" s="332">
        <f t="shared" si="1"/>
        <v>0.17280293412328959</v>
      </c>
      <c r="M18" s="332">
        <f>VLOOKUP(B18,'Base de Datos'!$E$7:$Z$303,21,0)</f>
        <v>0.99997955256194371</v>
      </c>
      <c r="N18" s="394" t="str">
        <f t="shared" ca="1" si="5"/>
        <v/>
      </c>
      <c r="O18" s="332">
        <f ca="1">VLOOKUP(B18,'Base de Datos'!$E$7:$Z$303,22,0)</f>
        <v>1</v>
      </c>
      <c r="P18" s="393">
        <f t="shared" ca="1" si="2"/>
        <v>1795</v>
      </c>
      <c r="Q18" s="406">
        <f t="shared" ca="1" si="6"/>
        <v>14.958333333333334</v>
      </c>
      <c r="R18" s="328" t="str">
        <f ca="1">VLOOKUP(B18,'Base de Datos'!E18:AR314,33,0)</f>
        <v>TERMINO</v>
      </c>
      <c r="S18" s="331" t="str">
        <f t="shared" ca="1" si="3"/>
        <v>NO</v>
      </c>
      <c r="T18" s="328" t="str">
        <f t="shared" ca="1" si="4"/>
        <v>Liquidar</v>
      </c>
      <c r="U18" s="328">
        <f>VLOOKUP(B18,'Base de Datos'!$E$7:$AR$401,38,0)</f>
        <v>0</v>
      </c>
      <c r="Y18" s="400">
        <v>2000</v>
      </c>
    </row>
    <row r="19" spans="1:25" ht="23.25" customHeight="1" thickTop="1" thickBot="1" x14ac:dyDescent="0.3">
      <c r="A19" s="108">
        <v>13</v>
      </c>
      <c r="B19" s="328" t="str">
        <f>+'Base de Datos'!E19</f>
        <v>120000-331-0-2011</v>
      </c>
      <c r="C19" s="328" t="str">
        <f>+'Base de Datos'!F19</f>
        <v>KEY MARKEY S.A.</v>
      </c>
      <c r="D19" s="329">
        <f>+'Base de Datos'!I19</f>
        <v>1306508</v>
      </c>
      <c r="E19" s="330">
        <f>+'Base de Datos'!M19</f>
        <v>40891</v>
      </c>
      <c r="F19" s="330">
        <f>+'Base de Datos'!N19</f>
        <v>40922</v>
      </c>
      <c r="G19" s="330">
        <f>+'Base de Datos'!T19</f>
        <v>40922</v>
      </c>
      <c r="H19" s="329">
        <f>+'Base de Datos'!U19</f>
        <v>1306508</v>
      </c>
      <c r="I19" s="331" t="str">
        <f>IF(VLOOKUP(B19,'Base de Datos'!$E$7:$S$303,11,0),"SI","NO")</f>
        <v>NO</v>
      </c>
      <c r="J19" s="332" t="str">
        <f t="shared" si="0"/>
        <v/>
      </c>
      <c r="K19" s="331" t="str">
        <f>IF(VLOOKUP(B19,'Base de Datos'!$E$7:$S$303,11,0),"SI","NO")</f>
        <v>NO</v>
      </c>
      <c r="L19" s="332" t="str">
        <f t="shared" si="1"/>
        <v/>
      </c>
      <c r="M19" s="332">
        <f>VLOOKUP(B19,'Base de Datos'!$E$7:$Z$303,21,0)</f>
        <v>1</v>
      </c>
      <c r="N19" s="394" t="str">
        <f t="shared" ca="1" si="5"/>
        <v/>
      </c>
      <c r="O19" s="332">
        <f ca="1">VLOOKUP(B19,'Base de Datos'!$E$7:$Z$303,22,0)</f>
        <v>1</v>
      </c>
      <c r="P19" s="393">
        <f t="shared" ca="1" si="2"/>
        <v>2196</v>
      </c>
      <c r="Q19" s="406">
        <f t="shared" ca="1" si="6"/>
        <v>18.3</v>
      </c>
      <c r="R19" s="328" t="str">
        <f ca="1">VLOOKUP(B19,'Base de Datos'!E19:AR315,33,0)</f>
        <v>TERMINO</v>
      </c>
      <c r="S19" s="331" t="str">
        <f t="shared" ca="1" si="3"/>
        <v>NO</v>
      </c>
      <c r="T19" s="328" t="str">
        <f t="shared" ca="1" si="4"/>
        <v>Liquidar</v>
      </c>
      <c r="U19" s="328">
        <f>VLOOKUP(B19,'Base de Datos'!$E$7:$AR$401,38,0)</f>
        <v>0</v>
      </c>
    </row>
    <row r="20" spans="1:25" ht="23.25" customHeight="1" thickTop="1" thickBot="1" x14ac:dyDescent="0.3">
      <c r="A20" s="108">
        <v>14</v>
      </c>
      <c r="B20" s="328" t="str">
        <f>+'Base de Datos'!E20</f>
        <v>120000-361-0-2011</v>
      </c>
      <c r="C20" s="328" t="str">
        <f>+'Base de Datos'!F20</f>
        <v>PAPELERÍA  LOS  LAGOS  LTDA.</v>
      </c>
      <c r="D20" s="329">
        <f>+'Base de Datos'!I20</f>
        <v>102786079</v>
      </c>
      <c r="E20" s="330">
        <f>+'Base de Datos'!M20</f>
        <v>40897</v>
      </c>
      <c r="F20" s="330">
        <f>+'Base de Datos'!N20</f>
        <v>41110</v>
      </c>
      <c r="G20" s="330">
        <f>+'Base de Datos'!T20</f>
        <v>41243</v>
      </c>
      <c r="H20" s="329">
        <f>+'Base de Datos'!U20</f>
        <v>102786079</v>
      </c>
      <c r="I20" s="331" t="str">
        <f>IF(VLOOKUP(B20,'Base de Datos'!$E$7:$S$303,11,0),"SI","NO")</f>
        <v>NO</v>
      </c>
      <c r="J20" s="332" t="str">
        <f t="shared" si="0"/>
        <v/>
      </c>
      <c r="K20" s="331" t="str">
        <f>IF(VLOOKUP(B20,'Base de Datos'!$E$7:$S$303,11,0),"SI","NO")</f>
        <v>NO</v>
      </c>
      <c r="L20" s="332" t="str">
        <f t="shared" si="1"/>
        <v/>
      </c>
      <c r="M20" s="332">
        <f>VLOOKUP(B20,'Base de Datos'!$E$7:$Z$303,21,0)</f>
        <v>0.81768245094746728</v>
      </c>
      <c r="N20" s="394" t="str">
        <f t="shared" ca="1" si="5"/>
        <v/>
      </c>
      <c r="O20" s="332">
        <f ca="1">VLOOKUP(B20,'Base de Datos'!$E$7:$Z$303,22,0)</f>
        <v>1</v>
      </c>
      <c r="P20" s="393">
        <f t="shared" ca="1" si="2"/>
        <v>1875</v>
      </c>
      <c r="Q20" s="406">
        <f t="shared" ca="1" si="6"/>
        <v>15.625</v>
      </c>
      <c r="R20" s="328" t="str">
        <f ca="1">VLOOKUP(B20,'Base de Datos'!E20:AR316,33,0)</f>
        <v>TERMINO</v>
      </c>
      <c r="S20" s="331" t="str">
        <f t="shared" ca="1" si="3"/>
        <v>NO</v>
      </c>
      <c r="T20" s="328" t="str">
        <f t="shared" ca="1" si="4"/>
        <v>Liquidar</v>
      </c>
      <c r="U20" s="328">
        <f>VLOOKUP(B20,'Base de Datos'!$E$7:$AR$401,38,0)</f>
        <v>0</v>
      </c>
    </row>
    <row r="21" spans="1:25" ht="23.25" customHeight="1" thickTop="1" thickBot="1" x14ac:dyDescent="0.3">
      <c r="A21" s="108">
        <v>15</v>
      </c>
      <c r="B21" s="328" t="str">
        <f>+'Base de Datos'!E21</f>
        <v>120000-440-0-2011</v>
      </c>
      <c r="C21" s="328" t="str">
        <f>+'Base de Datos'!F21</f>
        <v>CONTROL SISTEMAS DE COMUNICACIONES C.S.C. LTDA.</v>
      </c>
      <c r="D21" s="329">
        <f>+'Base de Datos'!I21</f>
        <v>49376272</v>
      </c>
      <c r="E21" s="330">
        <f>+'Base de Datos'!M21</f>
        <v>40946</v>
      </c>
      <c r="F21" s="330">
        <f>+'Base de Datos'!N21</f>
        <v>41312</v>
      </c>
      <c r="G21" s="330">
        <f>+'Base de Datos'!T21</f>
        <v>41312</v>
      </c>
      <c r="H21" s="329">
        <f>+'Base de Datos'!U21</f>
        <v>49376272</v>
      </c>
      <c r="I21" s="331" t="str">
        <f>IF(VLOOKUP(B21,'Base de Datos'!$E$7:$S$303,11,0),"SI","NO")</f>
        <v>NO</v>
      </c>
      <c r="J21" s="332" t="str">
        <f t="shared" si="0"/>
        <v/>
      </c>
      <c r="K21" s="331" t="str">
        <f>IF(VLOOKUP(B21,'Base de Datos'!$E$7:$S$303,11,0),"SI","NO")</f>
        <v>NO</v>
      </c>
      <c r="L21" s="332" t="str">
        <f t="shared" si="1"/>
        <v/>
      </c>
      <c r="M21" s="332">
        <f>VLOOKUP(B21,'Base de Datos'!$E$7:$Z$303,21,0)</f>
        <v>1</v>
      </c>
      <c r="N21" s="394" t="str">
        <f t="shared" ca="1" si="5"/>
        <v/>
      </c>
      <c r="O21" s="332">
        <f ca="1">VLOOKUP(B21,'Base de Datos'!$E$7:$Z$303,22,0)</f>
        <v>1</v>
      </c>
      <c r="P21" s="393">
        <f t="shared" ca="1" si="2"/>
        <v>1806</v>
      </c>
      <c r="Q21" s="406">
        <f t="shared" ca="1" si="6"/>
        <v>15.05</v>
      </c>
      <c r="R21" s="328" t="str">
        <f ca="1">VLOOKUP(B21,'Base de Datos'!E21:AR317,33,0)</f>
        <v>TERMINO</v>
      </c>
      <c r="S21" s="331" t="str">
        <f t="shared" ca="1" si="3"/>
        <v>NO</v>
      </c>
      <c r="T21" s="328" t="str">
        <f t="shared" ca="1" si="4"/>
        <v>Liquidar</v>
      </c>
      <c r="U21" s="328">
        <f>VLOOKUP(B21,'Base de Datos'!$E$7:$AR$401,38,0)</f>
        <v>0</v>
      </c>
    </row>
    <row r="22" spans="1:25" ht="23.25" customHeight="1" thickTop="1" thickBot="1" x14ac:dyDescent="0.3">
      <c r="A22" s="108">
        <v>16</v>
      </c>
      <c r="B22" s="328" t="str">
        <f>+'Base de Datos'!E22</f>
        <v>040000-221-0-2012</v>
      </c>
      <c r="C22" s="328" t="str">
        <f>+'Base de Datos'!F22</f>
        <v>FACTOR VISUAL EAT</v>
      </c>
      <c r="D22" s="329">
        <f>+'Base de Datos'!I22</f>
        <v>79634000</v>
      </c>
      <c r="E22" s="330">
        <f>+'Base de Datos'!M22</f>
        <v>41087</v>
      </c>
      <c r="F22" s="330">
        <f>+'Base de Datos'!N22</f>
        <v>41452</v>
      </c>
      <c r="G22" s="330">
        <f>+'Base de Datos'!T22</f>
        <v>41513</v>
      </c>
      <c r="H22" s="329">
        <f>+'Base de Datos'!U22</f>
        <v>79634000</v>
      </c>
      <c r="I22" s="331" t="str">
        <f>IF(VLOOKUP(B22,'Base de Datos'!$E$7:$S$303,11,0),"SI","NO")</f>
        <v>NO</v>
      </c>
      <c r="J22" s="332" t="str">
        <f t="shared" si="0"/>
        <v/>
      </c>
      <c r="K22" s="331" t="str">
        <f>IF(VLOOKUP(B22,'Base de Datos'!$E$7:$S$303,11,0),"SI","NO")</f>
        <v>NO</v>
      </c>
      <c r="L22" s="332" t="str">
        <f t="shared" si="1"/>
        <v/>
      </c>
      <c r="M22" s="332">
        <f>VLOOKUP(B22,'Base de Datos'!$E$7:$Z$303,21,0)</f>
        <v>1</v>
      </c>
      <c r="N22" s="394" t="str">
        <f t="shared" ca="1" si="5"/>
        <v/>
      </c>
      <c r="O22" s="332">
        <f ca="1">VLOOKUP(B22,'Base de Datos'!$E$7:$Z$303,22,0)</f>
        <v>1</v>
      </c>
      <c r="P22" s="393">
        <f t="shared" ca="1" si="2"/>
        <v>1605</v>
      </c>
      <c r="Q22" s="406">
        <f t="shared" ca="1" si="6"/>
        <v>13.375</v>
      </c>
      <c r="R22" s="328" t="str">
        <f ca="1">VLOOKUP(B22,'Base de Datos'!E22:AR318,33,0)</f>
        <v>TERMINO</v>
      </c>
      <c r="S22" s="331" t="str">
        <f t="shared" ca="1" si="3"/>
        <v>NO</v>
      </c>
      <c r="T22" s="328" t="str">
        <f t="shared" ca="1" si="4"/>
        <v>Liquidar</v>
      </c>
      <c r="U22" s="328">
        <f>VLOOKUP(B22,'Base de Datos'!$E$7:$AR$401,38,0)</f>
        <v>41977</v>
      </c>
    </row>
    <row r="23" spans="1:25" ht="23.25" customHeight="1" thickTop="1" thickBot="1" x14ac:dyDescent="0.3">
      <c r="A23" s="108">
        <v>17</v>
      </c>
      <c r="B23" s="328" t="str">
        <f>+'Base de Datos'!E23</f>
        <v>040000-357-0-2012</v>
      </c>
      <c r="C23" s="328" t="str">
        <f>+'Base de Datos'!F23</f>
        <v>LILIA FANNY GUEVARA PARRADO</v>
      </c>
      <c r="D23" s="329">
        <f>+'Base de Datos'!I23</f>
        <v>4206160</v>
      </c>
      <c r="E23" s="330">
        <f>+'Base de Datos'!M23</f>
        <v>41213</v>
      </c>
      <c r="F23" s="330">
        <f>+'Base de Datos'!N23</f>
        <v>41274</v>
      </c>
      <c r="G23" s="330">
        <f>+'Base de Datos'!T23</f>
        <v>41274</v>
      </c>
      <c r="H23" s="329">
        <f>+'Base de Datos'!U23</f>
        <v>4206160</v>
      </c>
      <c r="I23" s="331" t="str">
        <f>IF(VLOOKUP(B23,'Base de Datos'!$E$7:$S$303,11,0),"SI","NO")</f>
        <v>NO</v>
      </c>
      <c r="J23" s="332" t="str">
        <f t="shared" si="0"/>
        <v/>
      </c>
      <c r="K23" s="331" t="str">
        <f>IF(VLOOKUP(B23,'Base de Datos'!$E$7:$S$303,11,0),"SI","NO")</f>
        <v>NO</v>
      </c>
      <c r="L23" s="332" t="str">
        <f t="shared" si="1"/>
        <v/>
      </c>
      <c r="M23" s="332">
        <f>VLOOKUP(B23,'Base de Datos'!$E$7:$Z$303,21,0)</f>
        <v>0</v>
      </c>
      <c r="N23" s="394" t="str">
        <f t="shared" ca="1" si="5"/>
        <v/>
      </c>
      <c r="O23" s="332">
        <f ca="1">VLOOKUP(B23,'Base de Datos'!$E$7:$Z$303,22,0)</f>
        <v>1</v>
      </c>
      <c r="P23" s="393">
        <f t="shared" ca="1" si="2"/>
        <v>1844</v>
      </c>
      <c r="Q23" s="406">
        <f t="shared" ca="1" si="6"/>
        <v>15.366666666666667</v>
      </c>
      <c r="R23" s="328" t="str">
        <f ca="1">VLOOKUP(B23,'Base de Datos'!E23:AR319,33,0)</f>
        <v>TERMINO</v>
      </c>
      <c r="S23" s="331" t="str">
        <f t="shared" ca="1" si="3"/>
        <v>NO</v>
      </c>
      <c r="T23" s="328" t="str">
        <f t="shared" ca="1" si="4"/>
        <v>Liquidar</v>
      </c>
      <c r="U23" s="328">
        <f>VLOOKUP(B23,'Base de Datos'!$E$7:$AR$401,38,0)</f>
        <v>41270</v>
      </c>
    </row>
    <row r="24" spans="1:25" ht="23.25" customHeight="1" thickTop="1" thickBot="1" x14ac:dyDescent="0.3">
      <c r="A24" s="108">
        <v>18</v>
      </c>
      <c r="B24" s="328" t="str">
        <f>+'Base de Datos'!E24</f>
        <v>040000-410-0-2012</v>
      </c>
      <c r="C24" s="328" t="str">
        <f>+'Base de Datos'!F24</f>
        <v>EMPRESA DE TELECOMUNICACIONES DE BOGOTÁ S.A.-ETB-ESP</v>
      </c>
      <c r="D24" s="329">
        <f>+'Base de Datos'!I24</f>
        <v>726335435</v>
      </c>
      <c r="E24" s="330">
        <f>+'Base de Datos'!M24</f>
        <v>41206</v>
      </c>
      <c r="F24" s="330">
        <f>+'Base de Datos'!N24</f>
        <v>41609</v>
      </c>
      <c r="G24" s="330">
        <f>+'Base de Datos'!T24</f>
        <v>41609</v>
      </c>
      <c r="H24" s="329">
        <f>+'Base de Datos'!U24</f>
        <v>726335435</v>
      </c>
      <c r="I24" s="331" t="str">
        <f>IF(VLOOKUP(B24,'Base de Datos'!$E$7:$S$303,11,0),"SI","NO")</f>
        <v>NO</v>
      </c>
      <c r="J24" s="332" t="str">
        <f t="shared" si="0"/>
        <v/>
      </c>
      <c r="K24" s="331" t="str">
        <f>IF(VLOOKUP(B24,'Base de Datos'!$E$7:$S$303,11,0),"SI","NO")</f>
        <v>NO</v>
      </c>
      <c r="L24" s="332" t="str">
        <f t="shared" si="1"/>
        <v/>
      </c>
      <c r="M24" s="332">
        <f>VLOOKUP(B24,'Base de Datos'!$E$7:$Z$303,21,0)</f>
        <v>0.79574612658130883</v>
      </c>
      <c r="N24" s="394" t="str">
        <f t="shared" ca="1" si="5"/>
        <v/>
      </c>
      <c r="O24" s="332">
        <f ca="1">VLOOKUP(B24,'Base de Datos'!$E$7:$Z$303,22,0)</f>
        <v>1</v>
      </c>
      <c r="P24" s="393">
        <f t="shared" ca="1" si="2"/>
        <v>1509</v>
      </c>
      <c r="Q24" s="406">
        <f t="shared" ca="1" si="6"/>
        <v>12.574999999999999</v>
      </c>
      <c r="R24" s="328" t="str">
        <f ca="1">VLOOKUP(B24,'Base de Datos'!E24:AR320,33,0)</f>
        <v>TERMINO</v>
      </c>
      <c r="S24" s="331" t="str">
        <f t="shared" ca="1" si="3"/>
        <v>NO</v>
      </c>
      <c r="T24" s="328" t="str">
        <f t="shared" ca="1" si="4"/>
        <v>Liquidar</v>
      </c>
      <c r="U24" s="328">
        <f>VLOOKUP(B24,'Base de Datos'!$E$7:$AR$401,38,0)</f>
        <v>0</v>
      </c>
    </row>
    <row r="25" spans="1:25" ht="23.25" customHeight="1" thickTop="1" thickBot="1" x14ac:dyDescent="0.3">
      <c r="A25" s="108">
        <v>19</v>
      </c>
      <c r="B25" s="328" t="str">
        <f>+'Base de Datos'!E25</f>
        <v>050000-120-0-2012</v>
      </c>
      <c r="C25" s="328" t="str">
        <f>+'Base de Datos'!F25</f>
        <v>ACE SEGUROS S.A.</v>
      </c>
      <c r="D25" s="329">
        <f>+'Base de Datos'!I25</f>
        <v>48720000</v>
      </c>
      <c r="E25" s="330">
        <f>+'Base de Datos'!M25</f>
        <v>41025</v>
      </c>
      <c r="F25" s="330">
        <f>+'Base de Datos'!N25</f>
        <v>41455</v>
      </c>
      <c r="G25" s="330">
        <f>+'Base de Datos'!T25</f>
        <v>41623</v>
      </c>
      <c r="H25" s="329">
        <f>+'Base de Datos'!U25</f>
        <v>71096157</v>
      </c>
      <c r="I25" s="331" t="str">
        <f>IF(VLOOKUP(B25,'Base de Datos'!$E$7:$S$303,11,0),"SI","NO")</f>
        <v>SI</v>
      </c>
      <c r="J25" s="332">
        <f t="shared" si="0"/>
        <v>0.39069767441860465</v>
      </c>
      <c r="K25" s="331" t="str">
        <f>IF(VLOOKUP(B25,'Base de Datos'!$E$7:$S$303,11,0),"SI","NO")</f>
        <v>SI</v>
      </c>
      <c r="L25" s="332">
        <f t="shared" si="1"/>
        <v>0.45928072660098523</v>
      </c>
      <c r="M25" s="332">
        <f>VLOOKUP(B25,'Base de Datos'!$E$7:$Z$303,21,0)</f>
        <v>1</v>
      </c>
      <c r="N25" s="394" t="str">
        <f t="shared" ca="1" si="5"/>
        <v/>
      </c>
      <c r="O25" s="332">
        <f ca="1">VLOOKUP(B25,'Base de Datos'!$E$7:$Z$303,22,0)</f>
        <v>1</v>
      </c>
      <c r="P25" s="393">
        <f t="shared" ca="1" si="2"/>
        <v>1495</v>
      </c>
      <c r="Q25" s="406">
        <f t="shared" ca="1" si="6"/>
        <v>12.458333333333334</v>
      </c>
      <c r="R25" s="328" t="str">
        <f ca="1">VLOOKUP(B25,'Base de Datos'!E25:AR321,33,0)</f>
        <v>TERMINO</v>
      </c>
      <c r="S25" s="331" t="str">
        <f t="shared" ca="1" si="3"/>
        <v>NO</v>
      </c>
      <c r="T25" s="328" t="str">
        <f t="shared" ca="1" si="4"/>
        <v>Liquidar</v>
      </c>
      <c r="U25" s="328">
        <f>VLOOKUP(B25,'Base de Datos'!$E$7:$AR$401,38,0)</f>
        <v>0</v>
      </c>
    </row>
    <row r="26" spans="1:25" ht="23.25" customHeight="1" thickTop="1" thickBot="1" x14ac:dyDescent="0.3">
      <c r="A26" s="108">
        <v>20</v>
      </c>
      <c r="B26" s="328" t="str">
        <f>+'Base de Datos'!E26</f>
        <v>050000-131-0-2012</v>
      </c>
      <c r="C26" s="328" t="str">
        <f>+'Base de Datos'!F26</f>
        <v xml:space="preserve">MELCO DE COLOMBIA LIMITADA </v>
      </c>
      <c r="D26" s="329">
        <f>+'Base de Datos'!I26</f>
        <v>11587500</v>
      </c>
      <c r="E26" s="330">
        <f>+'Base de Datos'!M26</f>
        <v>41074</v>
      </c>
      <c r="F26" s="330">
        <f>+'Base de Datos'!N26</f>
        <v>41347</v>
      </c>
      <c r="G26" s="330">
        <f>+'Base de Datos'!T26</f>
        <v>41347</v>
      </c>
      <c r="H26" s="329">
        <f>+'Base de Datos'!U26</f>
        <v>11587500</v>
      </c>
      <c r="I26" s="331" t="str">
        <f>IF(VLOOKUP(B26,'Base de Datos'!$E$7:$S$303,11,0),"SI","NO")</f>
        <v>NO</v>
      </c>
      <c r="J26" s="332" t="str">
        <f t="shared" si="0"/>
        <v/>
      </c>
      <c r="K26" s="331" t="str">
        <f>IF(VLOOKUP(B26,'Base de Datos'!$E$7:$S$303,11,0),"SI","NO")</f>
        <v>NO</v>
      </c>
      <c r="L26" s="332" t="str">
        <f t="shared" si="1"/>
        <v/>
      </c>
      <c r="M26" s="332">
        <f>VLOOKUP(B26,'Base de Datos'!$E$7:$Z$303,21,0)</f>
        <v>0.8903394174757282</v>
      </c>
      <c r="N26" s="394" t="str">
        <f t="shared" ca="1" si="5"/>
        <v/>
      </c>
      <c r="O26" s="332">
        <f ca="1">VLOOKUP(B26,'Base de Datos'!$E$7:$Z$303,22,0)</f>
        <v>1</v>
      </c>
      <c r="P26" s="393">
        <f t="shared" ca="1" si="2"/>
        <v>1771</v>
      </c>
      <c r="Q26" s="406">
        <f t="shared" ca="1" si="6"/>
        <v>14.758333333333333</v>
      </c>
      <c r="R26" s="328" t="str">
        <f ca="1">VLOOKUP(B26,'Base de Datos'!E26:AR322,33,0)</f>
        <v>TERMINO</v>
      </c>
      <c r="S26" s="331" t="str">
        <f t="shared" ca="1" si="3"/>
        <v>NO</v>
      </c>
      <c r="T26" s="328" t="str">
        <f t="shared" ca="1" si="4"/>
        <v>Liquidar</v>
      </c>
      <c r="U26" s="328">
        <f>VLOOKUP(B26,'Base de Datos'!$E$7:$AR$401,38,0)</f>
        <v>0</v>
      </c>
    </row>
    <row r="27" spans="1:25" ht="23.25" customHeight="1" thickTop="1" thickBot="1" x14ac:dyDescent="0.3">
      <c r="A27" s="108">
        <v>21</v>
      </c>
      <c r="B27" s="328" t="str">
        <f>+'Base de Datos'!E27</f>
        <v>120000-463-0-2012</v>
      </c>
      <c r="C27" s="328" t="str">
        <f>+'Base de Datos'!F27</f>
        <v>ALPUNTO SOLUCIONES SAS 12000-463-0-2012</v>
      </c>
      <c r="D27" s="329">
        <f>+'Base de Datos'!I27</f>
        <v>4452000</v>
      </c>
      <c r="E27" s="330">
        <f>+'Base de Datos'!M27</f>
        <v>41235</v>
      </c>
      <c r="F27" s="330">
        <f>+'Base de Datos'!N27</f>
        <v>41278</v>
      </c>
      <c r="G27" s="330">
        <f>+'Base de Datos'!T27</f>
        <v>41278</v>
      </c>
      <c r="H27" s="329">
        <f>+'Base de Datos'!U27</f>
        <v>4452000</v>
      </c>
      <c r="I27" s="331" t="str">
        <f>IF(VLOOKUP(B27,'Base de Datos'!$E$7:$S$303,11,0),"SI","NO")</f>
        <v>NO</v>
      </c>
      <c r="J27" s="332" t="str">
        <f t="shared" si="0"/>
        <v/>
      </c>
      <c r="K27" s="331" t="str">
        <f>IF(VLOOKUP(B27,'Base de Datos'!$E$7:$S$303,11,0),"SI","NO")</f>
        <v>NO</v>
      </c>
      <c r="L27" s="332" t="str">
        <f t="shared" si="1"/>
        <v/>
      </c>
      <c r="M27" s="332">
        <f>VLOOKUP(B27,'Base de Datos'!$E$7:$Z$303,21,0)</f>
        <v>1</v>
      </c>
      <c r="N27" s="394" t="str">
        <f t="shared" ca="1" si="5"/>
        <v/>
      </c>
      <c r="O27" s="332">
        <f ca="1">VLOOKUP(B27,'Base de Datos'!$E$7:$Z$303,22,0)</f>
        <v>1</v>
      </c>
      <c r="P27" s="393">
        <f t="shared" ca="1" si="2"/>
        <v>1840</v>
      </c>
      <c r="Q27" s="406">
        <f t="shared" ca="1" si="6"/>
        <v>15.333333333333334</v>
      </c>
      <c r="R27" s="328" t="str">
        <f ca="1">VLOOKUP(B27,'Base de Datos'!E27:AR323,33,0)</f>
        <v>TERMINO</v>
      </c>
      <c r="S27" s="331" t="str">
        <f t="shared" ca="1" si="3"/>
        <v>NO</v>
      </c>
      <c r="T27" s="328" t="str">
        <f t="shared" ca="1" si="4"/>
        <v>Liquidar</v>
      </c>
      <c r="U27" s="328">
        <f>VLOOKUP(B27,'Base de Datos'!$E$7:$AR$401,38,0)</f>
        <v>0</v>
      </c>
    </row>
    <row r="28" spans="1:25" ht="23.25" customHeight="1" thickTop="1" thickBot="1" x14ac:dyDescent="0.3">
      <c r="A28" s="108">
        <v>22</v>
      </c>
      <c r="B28" s="328" t="str">
        <f>+'Base de Datos'!E28</f>
        <v>050000-155-0-2012</v>
      </c>
      <c r="C28" s="328" t="str">
        <f>+'Base de Datos'!F28</f>
        <v>EDITORIAL EL GLOBO S.A</v>
      </c>
      <c r="D28" s="329">
        <f>+'Base de Datos'!I28</f>
        <v>849000</v>
      </c>
      <c r="E28" s="330">
        <f>+'Base de Datos'!M28</f>
        <v>41044</v>
      </c>
      <c r="F28" s="330">
        <f>+'Base de Datos'!N28</f>
        <v>41409</v>
      </c>
      <c r="G28" s="330">
        <f>+'Base de Datos'!T28</f>
        <v>41409</v>
      </c>
      <c r="H28" s="329">
        <f>+'Base de Datos'!U28</f>
        <v>849000</v>
      </c>
      <c r="I28" s="331" t="str">
        <f>IF(VLOOKUP(B28,'Base de Datos'!$E$7:$S$303,11,0),"SI","NO")</f>
        <v>NO</v>
      </c>
      <c r="J28" s="332" t="str">
        <f t="shared" si="0"/>
        <v/>
      </c>
      <c r="K28" s="331" t="str">
        <f>IF(VLOOKUP(B28,'Base de Datos'!$E$7:$S$303,11,0),"SI","NO")</f>
        <v>NO</v>
      </c>
      <c r="L28" s="332" t="str">
        <f t="shared" si="1"/>
        <v/>
      </c>
      <c r="M28" s="332">
        <f>VLOOKUP(B28,'Base de Datos'!$E$7:$Z$303,21,0)</f>
        <v>1</v>
      </c>
      <c r="N28" s="394" t="str">
        <f t="shared" ca="1" si="5"/>
        <v/>
      </c>
      <c r="O28" s="332">
        <f ca="1">VLOOKUP(B28,'Base de Datos'!$E$7:$Z$303,22,0)</f>
        <v>1</v>
      </c>
      <c r="P28" s="393">
        <f t="shared" ca="1" si="2"/>
        <v>1709</v>
      </c>
      <c r="Q28" s="406">
        <f t="shared" ca="1" si="6"/>
        <v>14.241666666666667</v>
      </c>
      <c r="R28" s="328" t="str">
        <f ca="1">VLOOKUP(B28,'Base de Datos'!E28:AR324,33,0)</f>
        <v>TERMINO</v>
      </c>
      <c r="S28" s="331" t="str">
        <f t="shared" ca="1" si="3"/>
        <v>NO</v>
      </c>
      <c r="T28" s="328" t="str">
        <f t="shared" ca="1" si="4"/>
        <v>Liquidar</v>
      </c>
      <c r="U28" s="328">
        <f>VLOOKUP(B28,'Base de Datos'!$E$7:$AR$401,38,0)</f>
        <v>41652</v>
      </c>
    </row>
    <row r="29" spans="1:25" ht="23.25" customHeight="1" thickTop="1" thickBot="1" x14ac:dyDescent="0.3">
      <c r="A29" s="108">
        <v>23</v>
      </c>
      <c r="B29" s="328" t="str">
        <f>+'Base de Datos'!E29</f>
        <v>050000-222-0-2012</v>
      </c>
      <c r="C29" s="328" t="str">
        <f>+'Base de Datos'!F29</f>
        <v>PRODYGRAF LTDA.</v>
      </c>
      <c r="D29" s="329">
        <f>+'Base de Datos'!I29</f>
        <v>7192000</v>
      </c>
      <c r="E29" s="330">
        <f>+'Base de Datos'!M29</f>
        <v>41089</v>
      </c>
      <c r="F29" s="330">
        <f>+'Base de Datos'!N29</f>
        <v>41333</v>
      </c>
      <c r="G29" s="330">
        <f>+'Base de Datos'!T29</f>
        <v>41333</v>
      </c>
      <c r="H29" s="329">
        <f>+'Base de Datos'!U29</f>
        <v>7192000</v>
      </c>
      <c r="I29" s="331" t="str">
        <f>IF(VLOOKUP(B29,'Base de Datos'!$E$7:$S$303,11,0),"SI","NO")</f>
        <v>NO</v>
      </c>
      <c r="J29" s="332" t="str">
        <f t="shared" si="0"/>
        <v/>
      </c>
      <c r="K29" s="331" t="str">
        <f>IF(VLOOKUP(B29,'Base de Datos'!$E$7:$S$303,11,0),"SI","NO")</f>
        <v>NO</v>
      </c>
      <c r="L29" s="332" t="str">
        <f t="shared" si="1"/>
        <v/>
      </c>
      <c r="M29" s="332">
        <f>VLOOKUP(B29,'Base de Datos'!$E$7:$Z$303,21,0)</f>
        <v>1</v>
      </c>
      <c r="N29" s="394" t="str">
        <f t="shared" ca="1" si="5"/>
        <v/>
      </c>
      <c r="O29" s="332">
        <f ca="1">VLOOKUP(B29,'Base de Datos'!$E$7:$Z$303,22,0)</f>
        <v>1</v>
      </c>
      <c r="P29" s="393">
        <f t="shared" ca="1" si="2"/>
        <v>1785</v>
      </c>
      <c r="Q29" s="406">
        <f t="shared" ca="1" si="6"/>
        <v>14.875</v>
      </c>
      <c r="R29" s="328" t="str">
        <f ca="1">VLOOKUP(B29,'Base de Datos'!E29:AR325,33,0)</f>
        <v>TERMINO</v>
      </c>
      <c r="S29" s="331" t="str">
        <f t="shared" ca="1" si="3"/>
        <v>NO</v>
      </c>
      <c r="T29" s="328" t="str">
        <f t="shared" ca="1" si="4"/>
        <v>Liquidar</v>
      </c>
      <c r="U29" s="328">
        <f>VLOOKUP(B29,'Base de Datos'!$E$7:$AR$401,38,0)</f>
        <v>42074</v>
      </c>
    </row>
    <row r="30" spans="1:25" ht="23.25" customHeight="1" thickTop="1" thickBot="1" x14ac:dyDescent="0.3">
      <c r="A30" s="108">
        <v>24</v>
      </c>
      <c r="B30" s="328" t="str">
        <f>+'Base de Datos'!E30</f>
        <v>050000-290-0-2012</v>
      </c>
      <c r="C30" s="328" t="str">
        <f>+'Base de Datos'!F30</f>
        <v>INGENIERÍA DE BOMBAS Y PLANTAS LIMITADA</v>
      </c>
      <c r="D30" s="329">
        <f>+'Base de Datos'!I30</f>
        <v>4839200</v>
      </c>
      <c r="E30" s="330">
        <f>+'Base de Datos'!M30</f>
        <v>41144</v>
      </c>
      <c r="F30" s="330">
        <f>+'Base de Datos'!N30</f>
        <v>41328</v>
      </c>
      <c r="G30" s="330">
        <f>+'Base de Datos'!T30</f>
        <v>41328</v>
      </c>
      <c r="H30" s="329">
        <f>+'Base de Datos'!U30</f>
        <v>4839200</v>
      </c>
      <c r="I30" s="331" t="str">
        <f>IF(VLOOKUP(B30,'Base de Datos'!$E$7:$S$303,11,0),"SI","NO")</f>
        <v>NO</v>
      </c>
      <c r="J30" s="332" t="str">
        <f t="shared" si="0"/>
        <v/>
      </c>
      <c r="K30" s="331" t="str">
        <f>IF(VLOOKUP(B30,'Base de Datos'!$E$7:$S$303,11,0),"SI","NO")</f>
        <v>NO</v>
      </c>
      <c r="L30" s="332" t="str">
        <f t="shared" si="1"/>
        <v/>
      </c>
      <c r="M30" s="332">
        <f>VLOOKUP(B30,'Base de Datos'!$E$7:$Z$303,21,0)</f>
        <v>1</v>
      </c>
      <c r="N30" s="394" t="str">
        <f t="shared" ca="1" si="5"/>
        <v/>
      </c>
      <c r="O30" s="332">
        <f ca="1">VLOOKUP(B30,'Base de Datos'!$E$7:$Z$303,22,0)</f>
        <v>1</v>
      </c>
      <c r="P30" s="393">
        <f t="shared" ca="1" si="2"/>
        <v>1790</v>
      </c>
      <c r="Q30" s="406">
        <f t="shared" ca="1" si="6"/>
        <v>14.916666666666666</v>
      </c>
      <c r="R30" s="328" t="str">
        <f ca="1">VLOOKUP(B30,'Base de Datos'!E30:AR326,33,0)</f>
        <v>TERMINO</v>
      </c>
      <c r="S30" s="331" t="str">
        <f t="shared" ca="1" si="3"/>
        <v>NO</v>
      </c>
      <c r="T30" s="328" t="str">
        <f t="shared" ca="1" si="4"/>
        <v>Liquidar</v>
      </c>
      <c r="U30" s="328">
        <f>VLOOKUP(B30,'Base de Datos'!$E$7:$AR$401,38,0)</f>
        <v>0</v>
      </c>
    </row>
    <row r="31" spans="1:25" ht="23.25" customHeight="1" thickTop="1" thickBot="1" x14ac:dyDescent="0.3">
      <c r="A31" s="108">
        <v>25</v>
      </c>
      <c r="B31" s="328" t="str">
        <f>+'Base de Datos'!E31</f>
        <v>050000-324-0-2012</v>
      </c>
      <c r="C31" s="328" t="str">
        <f>+'Base de Datos'!F31</f>
        <v>JAKO IMPORTACIONES S.A.S</v>
      </c>
      <c r="D31" s="329">
        <f>+'Base de Datos'!I31</f>
        <v>13527752</v>
      </c>
      <c r="E31" s="330">
        <f>+'Base de Datos'!M31</f>
        <v>41137</v>
      </c>
      <c r="F31" s="330">
        <f>+'Base de Datos'!N31</f>
        <v>41349</v>
      </c>
      <c r="G31" s="330">
        <f>+'Base de Datos'!T31</f>
        <v>41349</v>
      </c>
      <c r="H31" s="329">
        <f>+'Base de Datos'!U31</f>
        <v>13527752</v>
      </c>
      <c r="I31" s="331" t="str">
        <f>IF(VLOOKUP(B31,'Base de Datos'!$E$7:$S$303,11,0),"SI","NO")</f>
        <v>NO</v>
      </c>
      <c r="J31" s="332" t="str">
        <f t="shared" si="0"/>
        <v/>
      </c>
      <c r="K31" s="331" t="str">
        <f>IF(VLOOKUP(B31,'Base de Datos'!$E$7:$S$303,11,0),"SI","NO")</f>
        <v>NO</v>
      </c>
      <c r="L31" s="332" t="str">
        <f t="shared" si="1"/>
        <v/>
      </c>
      <c r="M31" s="332">
        <f>VLOOKUP(B31,'Base de Datos'!$E$7:$Z$303,21,0)</f>
        <v>0</v>
      </c>
      <c r="N31" s="394" t="str">
        <f t="shared" ca="1" si="5"/>
        <v/>
      </c>
      <c r="O31" s="332">
        <f ca="1">VLOOKUP(B31,'Base de Datos'!$E$7:$Z$303,22,0)</f>
        <v>1</v>
      </c>
      <c r="P31" s="393">
        <f t="shared" ca="1" si="2"/>
        <v>1769</v>
      </c>
      <c r="Q31" s="406">
        <f t="shared" ca="1" si="6"/>
        <v>14.741666666666667</v>
      </c>
      <c r="R31" s="328" t="str">
        <f ca="1">VLOOKUP(B31,'Base de Datos'!E31:AR327,33,0)</f>
        <v>TERMINO</v>
      </c>
      <c r="S31" s="331" t="str">
        <f t="shared" ca="1" si="3"/>
        <v>NO</v>
      </c>
      <c r="T31" s="328" t="str">
        <f t="shared" ca="1" si="4"/>
        <v>Liquidar</v>
      </c>
      <c r="U31" s="328">
        <f>VLOOKUP(B31,'Base de Datos'!$E$7:$AR$401,38,0)</f>
        <v>41444</v>
      </c>
    </row>
    <row r="32" spans="1:25" ht="23.25" customHeight="1" thickTop="1" thickBot="1" x14ac:dyDescent="0.3">
      <c r="A32" s="108">
        <v>26</v>
      </c>
      <c r="B32" s="328" t="str">
        <f>+'Base de Datos'!E32</f>
        <v>050000-333-0-2012</v>
      </c>
      <c r="C32" s="328" t="str">
        <f>+'Base de Datos'!F32</f>
        <v>POSITIVA COMPAÑÍA DE SEGUROS S A</v>
      </c>
      <c r="D32" s="329">
        <f>+'Base de Datos'!I32</f>
        <v>85219000</v>
      </c>
      <c r="E32" s="330">
        <f>+'Base de Datos'!M32</f>
        <v>41122</v>
      </c>
      <c r="F32" s="330">
        <f>+'Base de Datos'!N32</f>
        <v>41531</v>
      </c>
      <c r="G32" s="330">
        <f>+'Base de Datos'!T32</f>
        <v>41531</v>
      </c>
      <c r="H32" s="329">
        <f>+'Base de Datos'!U32</f>
        <v>85219000</v>
      </c>
      <c r="I32" s="331" t="str">
        <f>IF(VLOOKUP(B32,'Base de Datos'!$E$7:$S$303,11,0),"SI","NO")</f>
        <v>NO</v>
      </c>
      <c r="J32" s="332" t="str">
        <f t="shared" si="0"/>
        <v/>
      </c>
      <c r="K32" s="331" t="str">
        <f>IF(VLOOKUP(B32,'Base de Datos'!$E$7:$S$303,11,0),"SI","NO")</f>
        <v>NO</v>
      </c>
      <c r="L32" s="332" t="str">
        <f t="shared" si="1"/>
        <v/>
      </c>
      <c r="M32" s="332">
        <f>VLOOKUP(B32,'Base de Datos'!$E$7:$Z$303,21,0)</f>
        <v>1.1185458055128552</v>
      </c>
      <c r="N32" s="394" t="str">
        <f t="shared" ca="1" si="5"/>
        <v/>
      </c>
      <c r="O32" s="332">
        <f ca="1">VLOOKUP(B32,'Base de Datos'!$E$7:$Z$303,22,0)</f>
        <v>1</v>
      </c>
      <c r="P32" s="393">
        <f t="shared" ca="1" si="2"/>
        <v>1587</v>
      </c>
      <c r="Q32" s="406">
        <f t="shared" ca="1" si="6"/>
        <v>13.225</v>
      </c>
      <c r="R32" s="328" t="str">
        <f ca="1">VLOOKUP(B32,'Base de Datos'!E32:AR328,33,0)</f>
        <v>TERMINO</v>
      </c>
      <c r="S32" s="331" t="str">
        <f t="shared" ca="1" si="3"/>
        <v>NO</v>
      </c>
      <c r="T32" s="328" t="str">
        <f t="shared" ca="1" si="4"/>
        <v>Liquidar</v>
      </c>
      <c r="U32" s="328">
        <f>VLOOKUP(B32,'Base de Datos'!$E$7:$AR$401,38,0)</f>
        <v>42004</v>
      </c>
    </row>
    <row r="33" spans="1:21" ht="23.25" customHeight="1" thickTop="1" thickBot="1" x14ac:dyDescent="0.3">
      <c r="A33" s="108">
        <v>27</v>
      </c>
      <c r="B33" s="328" t="str">
        <f>+'Base de Datos'!E33</f>
        <v>050000-340-0-2012</v>
      </c>
      <c r="C33" s="328" t="str">
        <f>+'Base de Datos'!F33</f>
        <v>UNIÓN TEMPORAL SEGUROS GENERALES SURAMERICANA S.A. PREVISORA S.A. COMPAÑÍA DE SEGUROS Y QBE SEGUROS S.A.</v>
      </c>
      <c r="D33" s="329">
        <f>+'Base de Datos'!I33</f>
        <v>81888094</v>
      </c>
      <c r="E33" s="330">
        <f>+'Base de Datos'!M33</f>
        <v>41122</v>
      </c>
      <c r="F33" s="330">
        <f>+'Base de Datos'!N33</f>
        <v>41516</v>
      </c>
      <c r="G33" s="330">
        <f>+'Base de Datos'!T33</f>
        <v>41623</v>
      </c>
      <c r="H33" s="329">
        <f>+'Base de Datos'!U33</f>
        <v>99122327</v>
      </c>
      <c r="I33" s="331" t="str">
        <f>IF(VLOOKUP(B33,'Base de Datos'!$E$7:$S$303,11,0),"SI","NO")</f>
        <v>SI</v>
      </c>
      <c r="J33" s="332">
        <f t="shared" si="0"/>
        <v>0.27157360406091369</v>
      </c>
      <c r="K33" s="331" t="str">
        <f>IF(VLOOKUP(B33,'Base de Datos'!$E$7:$S$303,11,0),"SI","NO")</f>
        <v>SI</v>
      </c>
      <c r="L33" s="332">
        <f t="shared" si="1"/>
        <v>0.21046079055155442</v>
      </c>
      <c r="M33" s="332">
        <f>VLOOKUP(B33,'Base de Datos'!$E$7:$Z$303,21,0)</f>
        <v>0.94671447735483449</v>
      </c>
      <c r="N33" s="394" t="str">
        <f t="shared" ca="1" si="5"/>
        <v/>
      </c>
      <c r="O33" s="332">
        <f ca="1">VLOOKUP(B33,'Base de Datos'!$E$7:$Z$303,22,0)</f>
        <v>1</v>
      </c>
      <c r="P33" s="393">
        <f t="shared" ca="1" si="2"/>
        <v>1495</v>
      </c>
      <c r="Q33" s="406">
        <f t="shared" ca="1" si="6"/>
        <v>12.458333333333334</v>
      </c>
      <c r="R33" s="328" t="str">
        <f ca="1">VLOOKUP(B33,'Base de Datos'!E33:AR329,33,0)</f>
        <v>TERMINO</v>
      </c>
      <c r="S33" s="331" t="str">
        <f t="shared" ca="1" si="3"/>
        <v>NO</v>
      </c>
      <c r="T33" s="328" t="str">
        <f t="shared" ca="1" si="4"/>
        <v>Liquidar</v>
      </c>
      <c r="U33" s="328">
        <f>VLOOKUP(B33,'Base de Datos'!$E$7:$AR$401,38,0)</f>
        <v>0</v>
      </c>
    </row>
    <row r="34" spans="1:21" ht="23.25" customHeight="1" thickTop="1" thickBot="1" x14ac:dyDescent="0.3">
      <c r="A34" s="108">
        <v>28</v>
      </c>
      <c r="B34" s="328" t="str">
        <f>+'Base de Datos'!E34</f>
        <v>050000-342-0-2012</v>
      </c>
      <c r="C34" s="328" t="str">
        <f>+'Base de Datos'!F34</f>
        <v>COMUNICAN S.A</v>
      </c>
      <c r="D34" s="329">
        <f>+'Base de Datos'!I34</f>
        <v>900000</v>
      </c>
      <c r="E34" s="330">
        <f>+'Base de Datos'!M34</f>
        <v>41162</v>
      </c>
      <c r="F34" s="330">
        <f>+'Base de Datos'!N34</f>
        <v>41527</v>
      </c>
      <c r="G34" s="330">
        <f>+'Base de Datos'!T34</f>
        <v>41527</v>
      </c>
      <c r="H34" s="329">
        <f>+'Base de Datos'!U34</f>
        <v>900000</v>
      </c>
      <c r="I34" s="331" t="str">
        <f>IF(VLOOKUP(B34,'Base de Datos'!$E$7:$S$303,11,0),"SI","NO")</f>
        <v>NO</v>
      </c>
      <c r="J34" s="332" t="str">
        <f t="shared" si="0"/>
        <v/>
      </c>
      <c r="K34" s="331" t="str">
        <f>IF(VLOOKUP(B34,'Base de Datos'!$E$7:$S$303,11,0),"SI","NO")</f>
        <v>NO</v>
      </c>
      <c r="L34" s="332" t="str">
        <f t="shared" si="1"/>
        <v/>
      </c>
      <c r="M34" s="332">
        <f>VLOOKUP(B34,'Base de Datos'!$E$7:$Z$303,21,0)</f>
        <v>1</v>
      </c>
      <c r="N34" s="394" t="str">
        <f t="shared" ca="1" si="5"/>
        <v/>
      </c>
      <c r="O34" s="332">
        <f ca="1">VLOOKUP(B34,'Base de Datos'!$E$7:$Z$303,22,0)</f>
        <v>1</v>
      </c>
      <c r="P34" s="393">
        <f t="shared" ca="1" si="2"/>
        <v>1591</v>
      </c>
      <c r="Q34" s="406">
        <f t="shared" ca="1" si="6"/>
        <v>13.258333333333333</v>
      </c>
      <c r="R34" s="328" t="str">
        <f ca="1">VLOOKUP(B34,'Base de Datos'!E34:AR330,33,0)</f>
        <v>TERMINO</v>
      </c>
      <c r="S34" s="331" t="str">
        <f t="shared" ca="1" si="3"/>
        <v>NO</v>
      </c>
      <c r="T34" s="328" t="str">
        <f t="shared" ca="1" si="4"/>
        <v>Liquidar</v>
      </c>
      <c r="U34" s="328">
        <f>VLOOKUP(B34,'Base de Datos'!$E$7:$AR$401,38,0)</f>
        <v>0</v>
      </c>
    </row>
    <row r="35" spans="1:21" ht="23.25" customHeight="1" thickTop="1" thickBot="1" x14ac:dyDescent="0.3">
      <c r="A35" s="108">
        <v>29</v>
      </c>
      <c r="B35" s="328" t="str">
        <f>+'Base de Datos'!E35</f>
        <v>050000-346-0-2012</v>
      </c>
      <c r="C35" s="328" t="str">
        <f>+'Base de Datos'!F35</f>
        <v>EDITORIAL LA UNIDAD</v>
      </c>
      <c r="D35" s="329">
        <f>+'Base de Datos'!I35</f>
        <v>840000</v>
      </c>
      <c r="E35" s="330">
        <f>+'Base de Datos'!M35</f>
        <v>41165</v>
      </c>
      <c r="F35" s="330">
        <f>+'Base de Datos'!N35</f>
        <v>41530</v>
      </c>
      <c r="G35" s="330">
        <f>+'Base de Datos'!T35</f>
        <v>41530</v>
      </c>
      <c r="H35" s="329">
        <f>+'Base de Datos'!U35</f>
        <v>840000</v>
      </c>
      <c r="I35" s="331" t="str">
        <f>IF(VLOOKUP(B35,'Base de Datos'!$E$7:$S$303,11,0),"SI","NO")</f>
        <v>NO</v>
      </c>
      <c r="J35" s="332" t="str">
        <f t="shared" si="0"/>
        <v/>
      </c>
      <c r="K35" s="331" t="str">
        <f>IF(VLOOKUP(B35,'Base de Datos'!$E$7:$S$303,11,0),"SI","NO")</f>
        <v>NO</v>
      </c>
      <c r="L35" s="332" t="str">
        <f t="shared" si="1"/>
        <v/>
      </c>
      <c r="M35" s="332">
        <f>VLOOKUP(B35,'Base de Datos'!$E$7:$Z$303,21,0)</f>
        <v>1</v>
      </c>
      <c r="N35" s="394" t="str">
        <f t="shared" ca="1" si="5"/>
        <v/>
      </c>
      <c r="O35" s="332">
        <f ca="1">VLOOKUP(B35,'Base de Datos'!$E$7:$Z$303,22,0)</f>
        <v>1</v>
      </c>
      <c r="P35" s="393">
        <f t="shared" ca="1" si="2"/>
        <v>1588</v>
      </c>
      <c r="Q35" s="406">
        <f t="shared" ca="1" si="6"/>
        <v>13.233333333333333</v>
      </c>
      <c r="R35" s="328" t="str">
        <f ca="1">VLOOKUP(B35,'Base de Datos'!E35:AR331,33,0)</f>
        <v>TERMINO</v>
      </c>
      <c r="S35" s="331" t="str">
        <f t="shared" ca="1" si="3"/>
        <v>NO</v>
      </c>
      <c r="T35" s="328" t="str">
        <f t="shared" ca="1" si="4"/>
        <v>Liquidar</v>
      </c>
      <c r="U35" s="328">
        <f>VLOOKUP(B35,'Base de Datos'!$E$7:$AR$401,38,0)</f>
        <v>41659</v>
      </c>
    </row>
    <row r="36" spans="1:21" ht="23.25" customHeight="1" thickTop="1" thickBot="1" x14ac:dyDescent="0.3">
      <c r="A36" s="108">
        <v>30</v>
      </c>
      <c r="B36" s="328" t="str">
        <f>+'Base de Datos'!E36</f>
        <v>050000-348-0-2012</v>
      </c>
      <c r="C36" s="328" t="str">
        <f>+'Base de Datos'!F36</f>
        <v>PUBLICACIONES SEMANA S.A.</v>
      </c>
      <c r="D36" s="329">
        <f>+'Base de Datos'!I36</f>
        <v>795000</v>
      </c>
      <c r="E36" s="330">
        <f>+'Base de Datos'!M36</f>
        <v>41180</v>
      </c>
      <c r="F36" s="330">
        <f>+'Base de Datos'!N36</f>
        <v>41545</v>
      </c>
      <c r="G36" s="330">
        <f>+'Base de Datos'!T36</f>
        <v>41545</v>
      </c>
      <c r="H36" s="329">
        <f>+'Base de Datos'!U36</f>
        <v>795000</v>
      </c>
      <c r="I36" s="331" t="str">
        <f>IF(VLOOKUP(B36,'Base de Datos'!$E$7:$S$303,11,0),"SI","NO")</f>
        <v>NO</v>
      </c>
      <c r="J36" s="332" t="str">
        <f t="shared" si="0"/>
        <v/>
      </c>
      <c r="K36" s="331" t="str">
        <f>IF(VLOOKUP(B36,'Base de Datos'!$E$7:$S$303,11,0),"SI","NO")</f>
        <v>NO</v>
      </c>
      <c r="L36" s="332" t="str">
        <f t="shared" si="1"/>
        <v/>
      </c>
      <c r="M36" s="332">
        <f>VLOOKUP(B36,'Base de Datos'!$E$7:$Z$303,21,0)</f>
        <v>1</v>
      </c>
      <c r="N36" s="394" t="str">
        <f t="shared" ca="1" si="5"/>
        <v/>
      </c>
      <c r="O36" s="332">
        <f ca="1">VLOOKUP(B36,'Base de Datos'!$E$7:$Z$303,22,0)</f>
        <v>1</v>
      </c>
      <c r="P36" s="393">
        <f t="shared" ca="1" si="2"/>
        <v>1573</v>
      </c>
      <c r="Q36" s="406">
        <f t="shared" ca="1" si="6"/>
        <v>13.108333333333333</v>
      </c>
      <c r="R36" s="328" t="str">
        <f ca="1">VLOOKUP(B36,'Base de Datos'!E36:AR332,33,0)</f>
        <v>TERMINO</v>
      </c>
      <c r="S36" s="331" t="str">
        <f t="shared" ca="1" si="3"/>
        <v>NO</v>
      </c>
      <c r="T36" s="328" t="str">
        <f t="shared" ca="1" si="4"/>
        <v>Liquidar</v>
      </c>
      <c r="U36" s="328">
        <f>VLOOKUP(B36,'Base de Datos'!$E$7:$AR$401,38,0)</f>
        <v>42208</v>
      </c>
    </row>
    <row r="37" spans="1:21" ht="23.25" customHeight="1" thickTop="1" thickBot="1" x14ac:dyDescent="0.3">
      <c r="A37" s="108">
        <v>31</v>
      </c>
      <c r="B37" s="328" t="str">
        <f>+'Base de Datos'!E37</f>
        <v>050000-349-0-2012</v>
      </c>
      <c r="C37" s="328" t="str">
        <f>+'Base de Datos'!F37</f>
        <v>INTEGRA SECURITY SYSTEMS S A</v>
      </c>
      <c r="D37" s="329">
        <f>+'Base de Datos'!I37</f>
        <v>1818000</v>
      </c>
      <c r="E37" s="330">
        <f>+'Base de Datos'!M37</f>
        <v>41165</v>
      </c>
      <c r="F37" s="330">
        <f>+'Base de Datos'!N37</f>
        <v>41346</v>
      </c>
      <c r="G37" s="330">
        <f>+'Base de Datos'!T37</f>
        <v>41346</v>
      </c>
      <c r="H37" s="329">
        <f>+'Base de Datos'!U37</f>
        <v>1818000</v>
      </c>
      <c r="I37" s="331" t="str">
        <f>IF(VLOOKUP(B37,'Base de Datos'!$E$7:$S$303,11,0),"SI","NO")</f>
        <v>NO</v>
      </c>
      <c r="J37" s="332" t="str">
        <f t="shared" si="0"/>
        <v/>
      </c>
      <c r="K37" s="331" t="str">
        <f>IF(VLOOKUP(B37,'Base de Datos'!$E$7:$S$303,11,0),"SI","NO")</f>
        <v>NO</v>
      </c>
      <c r="L37" s="332" t="str">
        <f t="shared" si="1"/>
        <v/>
      </c>
      <c r="M37" s="332">
        <f>VLOOKUP(B37,'Base de Datos'!$E$7:$Z$303,21,0)</f>
        <v>0</v>
      </c>
      <c r="N37" s="394" t="str">
        <f t="shared" ca="1" si="5"/>
        <v/>
      </c>
      <c r="O37" s="332">
        <f ca="1">VLOOKUP(B37,'Base de Datos'!$E$7:$Z$303,22,0)</f>
        <v>1</v>
      </c>
      <c r="P37" s="393">
        <f t="shared" ca="1" si="2"/>
        <v>1772</v>
      </c>
      <c r="Q37" s="406">
        <f t="shared" ca="1" si="6"/>
        <v>14.766666666666667</v>
      </c>
      <c r="R37" s="328" t="str">
        <f ca="1">VLOOKUP(B37,'Base de Datos'!E37:AR333,33,0)</f>
        <v>TERMINO</v>
      </c>
      <c r="S37" s="331" t="str">
        <f t="shared" ca="1" si="3"/>
        <v>NO</v>
      </c>
      <c r="T37" s="328" t="str">
        <f t="shared" ca="1" si="4"/>
        <v>Liquidar</v>
      </c>
      <c r="U37" s="328">
        <f>VLOOKUP(B37,'Base de Datos'!$E$7:$AR$401,38,0)</f>
        <v>0</v>
      </c>
    </row>
    <row r="38" spans="1:21" ht="23.25" customHeight="1" thickTop="1" thickBot="1" x14ac:dyDescent="0.3">
      <c r="A38" s="108">
        <v>32</v>
      </c>
      <c r="B38" s="328" t="str">
        <f>+'Base de Datos'!E38</f>
        <v>050000-353-0-2012</v>
      </c>
      <c r="C38" s="328" t="str">
        <f>+'Base de Datos'!F38</f>
        <v>YAMILE MARIVEL MOLANO GUZMÁN</v>
      </c>
      <c r="D38" s="329">
        <f>+'Base de Datos'!I38</f>
        <v>30000000</v>
      </c>
      <c r="E38" s="330">
        <f>+'Base de Datos'!M38</f>
        <v>41151</v>
      </c>
      <c r="F38" s="330">
        <f>+'Base de Datos'!N38</f>
        <v>41333</v>
      </c>
      <c r="G38" s="330">
        <f>+'Base de Datos'!T38</f>
        <v>41333</v>
      </c>
      <c r="H38" s="329">
        <f>+'Base de Datos'!U38</f>
        <v>30000000</v>
      </c>
      <c r="I38" s="331" t="str">
        <f>IF(VLOOKUP(B38,'Base de Datos'!$E$7:$S$303,11,0),"SI","NO")</f>
        <v>NO</v>
      </c>
      <c r="J38" s="332" t="str">
        <f t="shared" si="0"/>
        <v/>
      </c>
      <c r="K38" s="331" t="str">
        <f>IF(VLOOKUP(B38,'Base de Datos'!$E$7:$S$303,11,0),"SI","NO")</f>
        <v>NO</v>
      </c>
      <c r="L38" s="332" t="str">
        <f t="shared" si="1"/>
        <v/>
      </c>
      <c r="M38" s="332">
        <f>VLOOKUP(B38,'Base de Datos'!$E$7:$Z$303,21,0)</f>
        <v>1</v>
      </c>
      <c r="N38" s="394" t="str">
        <f t="shared" ca="1" si="5"/>
        <v/>
      </c>
      <c r="O38" s="332">
        <f ca="1">VLOOKUP(B38,'Base de Datos'!$E$7:$Z$303,22,0)</f>
        <v>1</v>
      </c>
      <c r="P38" s="393">
        <f t="shared" ca="1" si="2"/>
        <v>1785</v>
      </c>
      <c r="Q38" s="406">
        <f t="shared" ca="1" si="6"/>
        <v>14.875</v>
      </c>
      <c r="R38" s="328" t="str">
        <f ca="1">VLOOKUP(B38,'Base de Datos'!E38:AR334,33,0)</f>
        <v>TERMINO</v>
      </c>
      <c r="S38" s="331" t="str">
        <f t="shared" ca="1" si="3"/>
        <v>NO</v>
      </c>
      <c r="T38" s="328" t="str">
        <f t="shared" ca="1" si="4"/>
        <v>Liquidar</v>
      </c>
      <c r="U38" s="328">
        <f>VLOOKUP(B38,'Base de Datos'!$E$7:$AR$401,38,0)</f>
        <v>41845</v>
      </c>
    </row>
    <row r="39" spans="1:21" ht="23.25" customHeight="1" thickTop="1" thickBot="1" x14ac:dyDescent="0.3">
      <c r="A39" s="108">
        <v>33</v>
      </c>
      <c r="B39" s="328" t="str">
        <f>+'Base de Datos'!E39</f>
        <v>050000-356-0-2012</v>
      </c>
      <c r="C39" s="328" t="str">
        <f>+'Base de Datos'!F39</f>
        <v>AMANDA LILIANA RICO DÍAZ</v>
      </c>
      <c r="D39" s="329">
        <f>+'Base de Datos'!I39</f>
        <v>35000000</v>
      </c>
      <c r="E39" s="330">
        <f>+'Base de Datos'!M39</f>
        <v>41155</v>
      </c>
      <c r="F39" s="330">
        <f>+'Base de Datos'!N39</f>
        <v>41367</v>
      </c>
      <c r="G39" s="330">
        <f>+'Base de Datos'!T39</f>
        <v>41367</v>
      </c>
      <c r="H39" s="329">
        <f>+'Base de Datos'!U39</f>
        <v>35000000</v>
      </c>
      <c r="I39" s="331" t="str">
        <f>IF(VLOOKUP(B39,'Base de Datos'!$E$7:$S$303,11,0),"SI","NO")</f>
        <v>NO</v>
      </c>
      <c r="J39" s="332" t="str">
        <f t="shared" si="0"/>
        <v/>
      </c>
      <c r="K39" s="331" t="str">
        <f>IF(VLOOKUP(B39,'Base de Datos'!$E$7:$S$303,11,0),"SI","NO")</f>
        <v>NO</v>
      </c>
      <c r="L39" s="332" t="str">
        <f t="shared" si="1"/>
        <v/>
      </c>
      <c r="M39" s="332">
        <f>VLOOKUP(B39,'Base de Datos'!$E$7:$Z$303,21,0)</f>
        <v>0.99047620000000003</v>
      </c>
      <c r="N39" s="394" t="str">
        <f t="shared" ca="1" si="5"/>
        <v/>
      </c>
      <c r="O39" s="332">
        <f ca="1">VLOOKUP(B39,'Base de Datos'!$E$7:$Z$303,22,0)</f>
        <v>1</v>
      </c>
      <c r="P39" s="393">
        <f t="shared" ca="1" si="2"/>
        <v>1751</v>
      </c>
      <c r="Q39" s="406">
        <f t="shared" ca="1" si="6"/>
        <v>14.591666666666667</v>
      </c>
      <c r="R39" s="328" t="str">
        <f ca="1">VLOOKUP(B39,'Base de Datos'!E39:AR335,33,0)</f>
        <v>TERMINO</v>
      </c>
      <c r="S39" s="331" t="str">
        <f t="shared" ca="1" si="3"/>
        <v>NO</v>
      </c>
      <c r="T39" s="328" t="str">
        <f t="shared" ca="1" si="4"/>
        <v>Liquidar</v>
      </c>
      <c r="U39" s="328">
        <f>VLOOKUP(B39,'Base de Datos'!$E$7:$AR$401,38,0)</f>
        <v>42150</v>
      </c>
    </row>
    <row r="40" spans="1:21" ht="23.25" customHeight="1" thickTop="1" thickBot="1" x14ac:dyDescent="0.3">
      <c r="A40" s="108">
        <v>34</v>
      </c>
      <c r="B40" s="328" t="str">
        <f>+'Base de Datos'!E40</f>
        <v>050000-358-0-2012</v>
      </c>
      <c r="C40" s="328" t="str">
        <f>+'Base de Datos'!F40</f>
        <v>CALIDAD COMPORTAMIENTO EMPRESARIAL LTDA</v>
      </c>
      <c r="D40" s="329">
        <f>+'Base de Datos'!I40</f>
        <v>8334226</v>
      </c>
      <c r="E40" s="330">
        <f>+'Base de Datos'!M40</f>
        <v>41170</v>
      </c>
      <c r="F40" s="330">
        <f>+'Base de Datos'!N40</f>
        <v>41626</v>
      </c>
      <c r="G40" s="330">
        <f>+'Base de Datos'!T40</f>
        <v>41626</v>
      </c>
      <c r="H40" s="329">
        <f>+'Base de Datos'!U40</f>
        <v>8334226</v>
      </c>
      <c r="I40" s="331" t="str">
        <f>IF(VLOOKUP(B40,'Base de Datos'!$E$7:$S$303,11,0),"SI","NO")</f>
        <v>NO</v>
      </c>
      <c r="J40" s="332" t="str">
        <f t="shared" si="0"/>
        <v/>
      </c>
      <c r="K40" s="331" t="str">
        <f>IF(VLOOKUP(B40,'Base de Datos'!$E$7:$S$303,11,0),"SI","NO")</f>
        <v>NO</v>
      </c>
      <c r="L40" s="332" t="str">
        <f t="shared" si="1"/>
        <v/>
      </c>
      <c r="M40" s="332">
        <f>VLOOKUP(B40,'Base de Datos'!$E$7:$Z$303,21,0)</f>
        <v>1</v>
      </c>
      <c r="N40" s="394" t="str">
        <f t="shared" ca="1" si="5"/>
        <v/>
      </c>
      <c r="O40" s="332">
        <f ca="1">VLOOKUP(B40,'Base de Datos'!$E$7:$Z$303,22,0)</f>
        <v>1</v>
      </c>
      <c r="P40" s="393">
        <f t="shared" ca="1" si="2"/>
        <v>1492</v>
      </c>
      <c r="Q40" s="406">
        <f t="shared" ca="1" si="6"/>
        <v>12.433333333333334</v>
      </c>
      <c r="R40" s="328" t="str">
        <f ca="1">VLOOKUP(B40,'Base de Datos'!E40:AR336,33,0)</f>
        <v>TERMINO</v>
      </c>
      <c r="S40" s="331" t="str">
        <f t="shared" ca="1" si="3"/>
        <v>NO</v>
      </c>
      <c r="T40" s="328" t="str">
        <f t="shared" ca="1" si="4"/>
        <v>Liquidar</v>
      </c>
      <c r="U40" s="328">
        <f>VLOOKUP(B40,'Base de Datos'!$E$7:$AR$401,38,0)</f>
        <v>0</v>
      </c>
    </row>
    <row r="41" spans="1:21" ht="23.25" customHeight="1" thickTop="1" thickBot="1" x14ac:dyDescent="0.3">
      <c r="A41" s="108">
        <v>35</v>
      </c>
      <c r="B41" s="328" t="str">
        <f>+'Base de Datos'!E41</f>
        <v>120000-371-0-2012</v>
      </c>
      <c r="C41" s="328" t="str">
        <f>+'Base de Datos'!F41</f>
        <v>ORGANIZACIÓN TERPEL S.A.</v>
      </c>
      <c r="D41" s="329">
        <f>+'Base de Datos'!I41</f>
        <v>315000000</v>
      </c>
      <c r="E41" s="330">
        <f>+'Base de Datos'!M41</f>
        <v>41163</v>
      </c>
      <c r="F41" s="330">
        <f>+'Base de Datos'!N41</f>
        <v>41375</v>
      </c>
      <c r="G41" s="330">
        <f>+'Base de Datos'!T41</f>
        <v>41452</v>
      </c>
      <c r="H41" s="329">
        <f>+'Base de Datos'!U41</f>
        <v>315000000</v>
      </c>
      <c r="I41" s="331" t="str">
        <f>IF(VLOOKUP(B41,'Base de Datos'!$E$7:$S$303,11,0),"SI","NO")</f>
        <v>NO</v>
      </c>
      <c r="J41" s="332" t="str">
        <f t="shared" si="0"/>
        <v/>
      </c>
      <c r="K41" s="331" t="str">
        <f>IF(VLOOKUP(B41,'Base de Datos'!$E$7:$S$303,11,0),"SI","NO")</f>
        <v>NO</v>
      </c>
      <c r="L41" s="332" t="str">
        <f t="shared" si="1"/>
        <v/>
      </c>
      <c r="M41" s="332">
        <f>VLOOKUP(B41,'Base de Datos'!$E$7:$Z$303,21,0)</f>
        <v>0.99832980000000004</v>
      </c>
      <c r="N41" s="394" t="str">
        <f t="shared" ca="1" si="5"/>
        <v/>
      </c>
      <c r="O41" s="332">
        <f ca="1">VLOOKUP(B41,'Base de Datos'!$E$7:$Z$303,22,0)</f>
        <v>1</v>
      </c>
      <c r="P41" s="393">
        <f t="shared" ca="1" si="2"/>
        <v>1666</v>
      </c>
      <c r="Q41" s="406">
        <f t="shared" ca="1" si="6"/>
        <v>13.883333333333333</v>
      </c>
      <c r="R41" s="328" t="str">
        <f ca="1">VLOOKUP(B41,'Base de Datos'!E41:AR337,33,0)</f>
        <v>TERMINO</v>
      </c>
      <c r="S41" s="331" t="str">
        <f t="shared" ca="1" si="3"/>
        <v>NO</v>
      </c>
      <c r="T41" s="328" t="str">
        <f t="shared" ca="1" si="4"/>
        <v>Liquidar</v>
      </c>
      <c r="U41" s="328">
        <f>VLOOKUP(B41,'Base de Datos'!$E$7:$AR$401,38,0)</f>
        <v>42362</v>
      </c>
    </row>
    <row r="42" spans="1:21" ht="23.25" customHeight="1" thickTop="1" thickBot="1" x14ac:dyDescent="0.3">
      <c r="A42" s="108">
        <v>36</v>
      </c>
      <c r="B42" s="328" t="str">
        <f>+'Base de Datos'!E42</f>
        <v>050000-386-0-2012</v>
      </c>
      <c r="C42" s="328" t="str">
        <f>+'Base de Datos'!F42</f>
        <v>JUAN MANUEL GÓMEZ DUARTE</v>
      </c>
      <c r="D42" s="329">
        <f>+'Base de Datos'!I42</f>
        <v>20565000</v>
      </c>
      <c r="E42" s="330">
        <f>+'Base de Datos'!M42</f>
        <v>41162</v>
      </c>
      <c r="F42" s="330">
        <f>+'Base de Datos'!N42</f>
        <v>41343</v>
      </c>
      <c r="G42" s="330">
        <f>+'Base de Datos'!T42</f>
        <v>41343</v>
      </c>
      <c r="H42" s="329">
        <f>+'Base de Datos'!U42</f>
        <v>20565000</v>
      </c>
      <c r="I42" s="331" t="str">
        <f>IF(VLOOKUP(B42,'Base de Datos'!$E$7:$S$303,11,0),"SI","NO")</f>
        <v>NO</v>
      </c>
      <c r="J42" s="332" t="str">
        <f t="shared" si="0"/>
        <v/>
      </c>
      <c r="K42" s="331" t="str">
        <f>IF(VLOOKUP(B42,'Base de Datos'!$E$7:$S$303,11,0),"SI","NO")</f>
        <v>NO</v>
      </c>
      <c r="L42" s="332" t="str">
        <f t="shared" si="1"/>
        <v/>
      </c>
      <c r="M42" s="332">
        <f>VLOOKUP(B42,'Base de Datos'!$E$7:$Z$303,21,0)</f>
        <v>1</v>
      </c>
      <c r="N42" s="394" t="str">
        <f t="shared" ca="1" si="5"/>
        <v/>
      </c>
      <c r="O42" s="332">
        <f ca="1">VLOOKUP(B42,'Base de Datos'!$E$7:$Z$303,22,0)</f>
        <v>1</v>
      </c>
      <c r="P42" s="393">
        <f t="shared" ca="1" si="2"/>
        <v>1775</v>
      </c>
      <c r="Q42" s="406">
        <f t="shared" ca="1" si="6"/>
        <v>14.791666666666666</v>
      </c>
      <c r="R42" s="328" t="str">
        <f ca="1">VLOOKUP(B42,'Base de Datos'!E42:AR338,33,0)</f>
        <v>TERMINO</v>
      </c>
      <c r="S42" s="331" t="str">
        <f t="shared" ca="1" si="3"/>
        <v>NO</v>
      </c>
      <c r="T42" s="328" t="str">
        <f t="shared" ca="1" si="4"/>
        <v>Liquidar</v>
      </c>
      <c r="U42" s="328">
        <f>VLOOKUP(B42,'Base de Datos'!$E$7:$AR$401,38,0)</f>
        <v>41904</v>
      </c>
    </row>
    <row r="43" spans="1:21" ht="23.25" customHeight="1" thickTop="1" thickBot="1" x14ac:dyDescent="0.3">
      <c r="A43" s="108">
        <v>37</v>
      </c>
      <c r="B43" s="328" t="str">
        <f>+'Base de Datos'!E43</f>
        <v>050000-395-0-2012</v>
      </c>
      <c r="C43" s="328" t="str">
        <f>+'Base de Datos'!F43</f>
        <v>KARINA BELTRÁN MEJÍA</v>
      </c>
      <c r="D43" s="329">
        <f>+'Base de Datos'!I43</f>
        <v>6730000</v>
      </c>
      <c r="E43" s="330">
        <f>+'Base de Datos'!M43</f>
        <v>41193</v>
      </c>
      <c r="F43" s="330">
        <f>+'Base de Datos'!N43</f>
        <v>41254</v>
      </c>
      <c r="G43" s="330">
        <f>+'Base de Datos'!T43</f>
        <v>41263</v>
      </c>
      <c r="H43" s="329">
        <f>+'Base de Datos'!U43</f>
        <v>6730000</v>
      </c>
      <c r="I43" s="331" t="str">
        <f>IF(VLOOKUP(B43,'Base de Datos'!$E$7:$S$303,11,0),"SI","NO")</f>
        <v>NO</v>
      </c>
      <c r="J43" s="332" t="str">
        <f t="shared" si="0"/>
        <v/>
      </c>
      <c r="K43" s="331" t="str">
        <f>IF(VLOOKUP(B43,'Base de Datos'!$E$7:$S$303,11,0),"SI","NO")</f>
        <v>NO</v>
      </c>
      <c r="L43" s="332" t="str">
        <f t="shared" si="1"/>
        <v/>
      </c>
      <c r="M43" s="332">
        <f>VLOOKUP(B43,'Base de Datos'!$E$7:$Z$303,21,0)</f>
        <v>0.95022288261515597</v>
      </c>
      <c r="N43" s="394" t="str">
        <f t="shared" ca="1" si="5"/>
        <v/>
      </c>
      <c r="O43" s="332">
        <f ca="1">VLOOKUP(B43,'Base de Datos'!$E$7:$Z$303,22,0)</f>
        <v>1</v>
      </c>
      <c r="P43" s="393">
        <f t="shared" ca="1" si="2"/>
        <v>1855</v>
      </c>
      <c r="Q43" s="406">
        <f t="shared" ca="1" si="6"/>
        <v>15.458333333333334</v>
      </c>
      <c r="R43" s="328" t="str">
        <f ca="1">VLOOKUP(B43,'Base de Datos'!E43:AR339,33,0)</f>
        <v>TERMINO</v>
      </c>
      <c r="S43" s="331" t="str">
        <f t="shared" ca="1" si="3"/>
        <v>NO</v>
      </c>
      <c r="T43" s="328" t="str">
        <f t="shared" ca="1" si="4"/>
        <v>Liquidar</v>
      </c>
      <c r="U43" s="328">
        <f>VLOOKUP(B43,'Base de Datos'!$E$7:$AR$401,38,0)</f>
        <v>0</v>
      </c>
    </row>
    <row r="44" spans="1:21" ht="23.25" customHeight="1" thickTop="1" thickBot="1" x14ac:dyDescent="0.3">
      <c r="A44" s="108">
        <v>38</v>
      </c>
      <c r="B44" s="328" t="str">
        <f>+'Base de Datos'!E44</f>
        <v>050000-427-0-2012</v>
      </c>
      <c r="C44" s="328" t="str">
        <f>+'Base de Datos'!F44</f>
        <v xml:space="preserve">JORGE ENRIQUE AVILAN </v>
      </c>
      <c r="D44" s="329">
        <f>+'Base de Datos'!I44</f>
        <v>23994880</v>
      </c>
      <c r="E44" s="330">
        <f>+'Base de Datos'!M44</f>
        <v>41205</v>
      </c>
      <c r="F44" s="330">
        <f>+'Base de Datos'!N44</f>
        <v>41387</v>
      </c>
      <c r="G44" s="330">
        <f>+'Base de Datos'!T44</f>
        <v>41387</v>
      </c>
      <c r="H44" s="329">
        <f>+'Base de Datos'!U44</f>
        <v>23994880</v>
      </c>
      <c r="I44" s="331" t="str">
        <f>IF(VLOOKUP(B44,'Base de Datos'!$E$7:$S$303,11,0),"SI","NO")</f>
        <v>NO</v>
      </c>
      <c r="J44" s="332" t="str">
        <f t="shared" si="0"/>
        <v/>
      </c>
      <c r="K44" s="331" t="str">
        <f>IF(VLOOKUP(B44,'Base de Datos'!$E$7:$S$303,11,0),"SI","NO")</f>
        <v>NO</v>
      </c>
      <c r="L44" s="332" t="str">
        <f t="shared" si="1"/>
        <v/>
      </c>
      <c r="M44" s="332">
        <f>VLOOKUP(B44,'Base de Datos'!$E$7:$Z$303,21,0)</f>
        <v>0.9999998332977702</v>
      </c>
      <c r="N44" s="394" t="str">
        <f t="shared" ca="1" si="5"/>
        <v/>
      </c>
      <c r="O44" s="332">
        <f ca="1">VLOOKUP(B44,'Base de Datos'!$E$7:$Z$303,22,0)</f>
        <v>1</v>
      </c>
      <c r="P44" s="393">
        <f t="shared" ca="1" si="2"/>
        <v>1731</v>
      </c>
      <c r="Q44" s="406">
        <f t="shared" ca="1" si="6"/>
        <v>14.425000000000001</v>
      </c>
      <c r="R44" s="328" t="str">
        <f ca="1">VLOOKUP(B44,'Base de Datos'!E44:AR340,33,0)</f>
        <v>TERMINO</v>
      </c>
      <c r="S44" s="331" t="str">
        <f t="shared" ca="1" si="3"/>
        <v>NO</v>
      </c>
      <c r="T44" s="328" t="str">
        <f t="shared" ca="1" si="4"/>
        <v>Liquidar</v>
      </c>
      <c r="U44" s="328">
        <f>VLOOKUP(B44,'Base de Datos'!$E$7:$AR$401,38,0)</f>
        <v>41654</v>
      </c>
    </row>
    <row r="45" spans="1:21" ht="23.25" customHeight="1" thickTop="1" thickBot="1" x14ac:dyDescent="0.3">
      <c r="A45" s="108">
        <v>39</v>
      </c>
      <c r="B45" s="328" t="str">
        <f>+'Base de Datos'!E45</f>
        <v>050000-433-0-2012</v>
      </c>
      <c r="C45" s="328" t="str">
        <f>+'Base de Datos'!F45</f>
        <v>CARLOS EDUARDO PINEDA AMÓRTEGUI</v>
      </c>
      <c r="D45" s="329">
        <f>+'Base de Datos'!I45</f>
        <v>38400000</v>
      </c>
      <c r="E45" s="330">
        <f>+'Base de Datos'!M45</f>
        <v>41187</v>
      </c>
      <c r="F45" s="330">
        <f>+'Base de Datos'!N45</f>
        <v>41369</v>
      </c>
      <c r="G45" s="330">
        <f>+'Base de Datos'!T45</f>
        <v>41369</v>
      </c>
      <c r="H45" s="329">
        <f>+'Base de Datos'!U45</f>
        <v>38400000</v>
      </c>
      <c r="I45" s="331" t="str">
        <f>IF(VLOOKUP(B45,'Base de Datos'!$E$7:$S$303,11,0),"SI","NO")</f>
        <v>NO</v>
      </c>
      <c r="J45" s="332" t="str">
        <f t="shared" si="0"/>
        <v/>
      </c>
      <c r="K45" s="331" t="str">
        <f>IF(VLOOKUP(B45,'Base de Datos'!$E$7:$S$303,11,0),"SI","NO")</f>
        <v>NO</v>
      </c>
      <c r="L45" s="332" t="str">
        <f t="shared" si="1"/>
        <v/>
      </c>
      <c r="M45" s="332">
        <f>VLOOKUP(B45,'Base de Datos'!$E$7:$Z$303,21,0)</f>
        <v>1</v>
      </c>
      <c r="N45" s="394" t="str">
        <f t="shared" ca="1" si="5"/>
        <v/>
      </c>
      <c r="O45" s="332">
        <f ca="1">VLOOKUP(B45,'Base de Datos'!$E$7:$Z$303,22,0)</f>
        <v>1</v>
      </c>
      <c r="P45" s="393">
        <f t="shared" ca="1" si="2"/>
        <v>1749</v>
      </c>
      <c r="Q45" s="406">
        <f t="shared" ca="1" si="6"/>
        <v>14.574999999999999</v>
      </c>
      <c r="R45" s="328" t="str">
        <f ca="1">VLOOKUP(B45,'Base de Datos'!E45:AR341,33,0)</f>
        <v>TERMINO</v>
      </c>
      <c r="S45" s="331" t="str">
        <f t="shared" ca="1" si="3"/>
        <v>NO</v>
      </c>
      <c r="T45" s="328" t="str">
        <f t="shared" ca="1" si="4"/>
        <v>Liquidar</v>
      </c>
      <c r="U45" s="328">
        <f>VLOOKUP(B45,'Base de Datos'!$E$7:$AR$401,38,0)</f>
        <v>0</v>
      </c>
    </row>
    <row r="46" spans="1:21" ht="23.25" customHeight="1" thickTop="1" thickBot="1" x14ac:dyDescent="0.3">
      <c r="A46" s="108">
        <v>40</v>
      </c>
      <c r="B46" s="328" t="str">
        <f>+'Base de Datos'!E46</f>
        <v>050000-468-0-2012</v>
      </c>
      <c r="C46" s="328" t="str">
        <f>+'Base de Datos'!F46</f>
        <v>DAMTON ARTÍCULOS PUBLICITARIOS LTDA</v>
      </c>
      <c r="D46" s="329">
        <f>+'Base de Datos'!I46</f>
        <v>3961330</v>
      </c>
      <c r="E46" s="330">
        <f>+'Base de Datos'!M46</f>
        <v>41246</v>
      </c>
      <c r="F46" s="330">
        <f>+'Base de Datos'!N46</f>
        <v>41308</v>
      </c>
      <c r="G46" s="330">
        <f>+'Base de Datos'!T46</f>
        <v>41308</v>
      </c>
      <c r="H46" s="329">
        <f>+'Base de Datos'!U46</f>
        <v>3961330</v>
      </c>
      <c r="I46" s="331" t="str">
        <f>IF(VLOOKUP(B46,'Base de Datos'!$E$7:$S$303,11,0),"SI","NO")</f>
        <v>NO</v>
      </c>
      <c r="J46" s="332" t="str">
        <f t="shared" si="0"/>
        <v/>
      </c>
      <c r="K46" s="331" t="str">
        <f>IF(VLOOKUP(B46,'Base de Datos'!$E$7:$S$303,11,0),"SI","NO")</f>
        <v>NO</v>
      </c>
      <c r="L46" s="332" t="str">
        <f t="shared" si="1"/>
        <v/>
      </c>
      <c r="M46" s="332">
        <f>VLOOKUP(B46,'Base de Datos'!$E$7:$Z$303,21,0)</f>
        <v>1</v>
      </c>
      <c r="N46" s="394" t="str">
        <f t="shared" ca="1" si="5"/>
        <v/>
      </c>
      <c r="O46" s="332">
        <f ca="1">VLOOKUP(B46,'Base de Datos'!$E$7:$Z$303,22,0)</f>
        <v>1</v>
      </c>
      <c r="P46" s="393">
        <f t="shared" ca="1" si="2"/>
        <v>1810</v>
      </c>
      <c r="Q46" s="406">
        <f t="shared" ca="1" si="6"/>
        <v>15.083333333333334</v>
      </c>
      <c r="R46" s="328" t="str">
        <f ca="1">VLOOKUP(B46,'Base de Datos'!E46:AR342,33,0)</f>
        <v>TERMINO</v>
      </c>
      <c r="S46" s="331" t="str">
        <f t="shared" ca="1" si="3"/>
        <v>NO</v>
      </c>
      <c r="T46" s="328" t="str">
        <f t="shared" ca="1" si="4"/>
        <v>Liquidar</v>
      </c>
      <c r="U46" s="328">
        <f>VLOOKUP(B46,'Base de Datos'!$E$7:$AR$401,38,0)</f>
        <v>0</v>
      </c>
    </row>
    <row r="47" spans="1:21" ht="23.25" customHeight="1" thickTop="1" thickBot="1" x14ac:dyDescent="0.3">
      <c r="A47" s="108">
        <v>41</v>
      </c>
      <c r="B47" s="328" t="str">
        <f>+'Base de Datos'!E47</f>
        <v>050000-498-0-2012</v>
      </c>
      <c r="C47" s="328" t="str">
        <f>+'Base de Datos'!F47</f>
        <v>CORPORACIÓN INSTITUTO COLOMBIANO DE CUALIFICACIÓN EMPRESARIAL -CICCE</v>
      </c>
      <c r="D47" s="329">
        <f>+'Base de Datos'!I47</f>
        <v>24000000</v>
      </c>
      <c r="E47" s="330">
        <f>+'Base de Datos'!M47</f>
        <v>41270</v>
      </c>
      <c r="F47" s="330">
        <f>+'Base de Datos'!N47</f>
        <v>41452</v>
      </c>
      <c r="G47" s="330">
        <f>+'Base de Datos'!T47</f>
        <v>41452</v>
      </c>
      <c r="H47" s="329">
        <f>+'Base de Datos'!U47</f>
        <v>24000000</v>
      </c>
      <c r="I47" s="331" t="str">
        <f>IF(VLOOKUP(B47,'Base de Datos'!$E$7:$S$303,11,0),"SI","NO")</f>
        <v>NO</v>
      </c>
      <c r="J47" s="332" t="str">
        <f t="shared" si="0"/>
        <v/>
      </c>
      <c r="K47" s="331" t="str">
        <f>IF(VLOOKUP(B47,'Base de Datos'!$E$7:$S$303,11,0),"SI","NO")</f>
        <v>NO</v>
      </c>
      <c r="L47" s="332" t="str">
        <f t="shared" si="1"/>
        <v/>
      </c>
      <c r="M47" s="332">
        <f>VLOOKUP(B47,'Base de Datos'!$E$7:$Z$303,21,0)</f>
        <v>1</v>
      </c>
      <c r="N47" s="394" t="str">
        <f t="shared" ca="1" si="5"/>
        <v/>
      </c>
      <c r="O47" s="332">
        <f ca="1">VLOOKUP(B47,'Base de Datos'!$E$7:$Z$303,22,0)</f>
        <v>1</v>
      </c>
      <c r="P47" s="393">
        <f t="shared" ca="1" si="2"/>
        <v>1666</v>
      </c>
      <c r="Q47" s="406">
        <f t="shared" ca="1" si="6"/>
        <v>13.883333333333333</v>
      </c>
      <c r="R47" s="328" t="str">
        <f ca="1">VLOOKUP(B47,'Base de Datos'!E47:AR343,33,0)</f>
        <v>TERMINO</v>
      </c>
      <c r="S47" s="331" t="str">
        <f t="shared" ca="1" si="3"/>
        <v>NO</v>
      </c>
      <c r="T47" s="328" t="str">
        <f t="shared" ca="1" si="4"/>
        <v>Liquidar</v>
      </c>
      <c r="U47" s="328">
        <f>VLOOKUP(B47,'Base de Datos'!$E$7:$AR$401,38,0)</f>
        <v>42338</v>
      </c>
    </row>
    <row r="48" spans="1:21" ht="23.25" customHeight="1" thickTop="1" thickBot="1" x14ac:dyDescent="0.3">
      <c r="A48" s="108">
        <v>42</v>
      </c>
      <c r="B48" s="328" t="str">
        <f>+'Base de Datos'!E48</f>
        <v>050000-501-0-2012</v>
      </c>
      <c r="C48" s="328" t="str">
        <f>+'Base de Datos'!F48</f>
        <v>CESAR ALEJANDRO GUERRERO BARRIGA</v>
      </c>
      <c r="D48" s="329">
        <f>+'Base de Datos'!I48</f>
        <v>6000000</v>
      </c>
      <c r="E48" s="330">
        <f>+'Base de Datos'!M48</f>
        <v>41292</v>
      </c>
      <c r="F48" s="330">
        <f>+'Base de Datos'!N48</f>
        <v>41350</v>
      </c>
      <c r="G48" s="330">
        <f>+'Base de Datos'!T48</f>
        <v>41350</v>
      </c>
      <c r="H48" s="329">
        <f>+'Base de Datos'!U48</f>
        <v>6000000</v>
      </c>
      <c r="I48" s="331" t="str">
        <f>IF(VLOOKUP(B48,'Base de Datos'!$E$7:$S$303,11,0),"SI","NO")</f>
        <v>NO</v>
      </c>
      <c r="J48" s="332" t="str">
        <f t="shared" si="0"/>
        <v/>
      </c>
      <c r="K48" s="331" t="str">
        <f>IF(VLOOKUP(B48,'Base de Datos'!$E$7:$S$303,11,0),"SI","NO")</f>
        <v>NO</v>
      </c>
      <c r="L48" s="332" t="str">
        <f t="shared" si="1"/>
        <v/>
      </c>
      <c r="M48" s="332">
        <f>VLOOKUP(B48,'Base de Datos'!$E$7:$Z$303,21,0)</f>
        <v>1</v>
      </c>
      <c r="N48" s="394" t="str">
        <f t="shared" ca="1" si="5"/>
        <v/>
      </c>
      <c r="O48" s="332">
        <f ca="1">VLOOKUP(B48,'Base de Datos'!$E$7:$Z$303,22,0)</f>
        <v>1</v>
      </c>
      <c r="P48" s="393">
        <f t="shared" ca="1" si="2"/>
        <v>1768</v>
      </c>
      <c r="Q48" s="406">
        <f t="shared" ca="1" si="6"/>
        <v>14.733333333333333</v>
      </c>
      <c r="R48" s="328" t="str">
        <f ca="1">VLOOKUP(B48,'Base de Datos'!E48:AR344,33,0)</f>
        <v>TERMINO</v>
      </c>
      <c r="S48" s="331" t="str">
        <f t="shared" ca="1" si="3"/>
        <v>NO</v>
      </c>
      <c r="T48" s="328" t="str">
        <f t="shared" ca="1" si="4"/>
        <v>Liquidar</v>
      </c>
      <c r="U48" s="328">
        <f>VLOOKUP(B48,'Base de Datos'!$E$7:$AR$401,38,0)</f>
        <v>0</v>
      </c>
    </row>
    <row r="49" spans="1:21" ht="23.25" customHeight="1" thickTop="1" thickBot="1" x14ac:dyDescent="0.3">
      <c r="A49" s="108">
        <v>43</v>
      </c>
      <c r="B49" s="328" t="str">
        <f>+'Base de Datos'!E49</f>
        <v>120000-125-0-2012</v>
      </c>
      <c r="C49" s="328" t="str">
        <f>+'Base de Datos'!F49</f>
        <v>REVISTA EL CONGRESO SIGLO XXI LTDA</v>
      </c>
      <c r="D49" s="329">
        <f>+'Base de Datos'!I49</f>
        <v>7740000</v>
      </c>
      <c r="E49" s="330">
        <f>+'Base de Datos'!M49</f>
        <v>41107</v>
      </c>
      <c r="F49" s="330">
        <f>+'Base de Datos'!N49</f>
        <v>41472</v>
      </c>
      <c r="G49" s="330">
        <f>+'Base de Datos'!T49</f>
        <v>41472</v>
      </c>
      <c r="H49" s="329">
        <f>+'Base de Datos'!U49</f>
        <v>7740000</v>
      </c>
      <c r="I49" s="331" t="str">
        <f>IF(VLOOKUP(B49,'Base de Datos'!$E$7:$S$303,11,0),"SI","NO")</f>
        <v>NO</v>
      </c>
      <c r="J49" s="332" t="str">
        <f t="shared" si="0"/>
        <v/>
      </c>
      <c r="K49" s="331" t="str">
        <f>IF(VLOOKUP(B49,'Base de Datos'!$E$7:$S$303,11,0),"SI","NO")</f>
        <v>NO</v>
      </c>
      <c r="L49" s="332" t="str">
        <f t="shared" si="1"/>
        <v/>
      </c>
      <c r="M49" s="332">
        <f>VLOOKUP(B49,'Base de Datos'!$E$7:$Z$303,21,0)</f>
        <v>1</v>
      </c>
      <c r="N49" s="394" t="str">
        <f t="shared" ca="1" si="5"/>
        <v/>
      </c>
      <c r="O49" s="332">
        <f ca="1">VLOOKUP(B49,'Base de Datos'!$E$7:$Z$303,22,0)</f>
        <v>1</v>
      </c>
      <c r="P49" s="393">
        <f t="shared" ca="1" si="2"/>
        <v>1646</v>
      </c>
      <c r="Q49" s="406">
        <f t="shared" ca="1" si="6"/>
        <v>13.716666666666667</v>
      </c>
      <c r="R49" s="328" t="str">
        <f ca="1">VLOOKUP(B49,'Base de Datos'!E49:AR345,33,0)</f>
        <v>TERMINO</v>
      </c>
      <c r="S49" s="331" t="str">
        <f t="shared" ca="1" si="3"/>
        <v>NO</v>
      </c>
      <c r="T49" s="328" t="str">
        <f t="shared" ca="1" si="4"/>
        <v>Liquidar</v>
      </c>
      <c r="U49" s="328">
        <f>VLOOKUP(B49,'Base de Datos'!$E$7:$AR$401,38,0)</f>
        <v>41653</v>
      </c>
    </row>
    <row r="50" spans="1:21" ht="23.25" customHeight="1" thickTop="1" thickBot="1" x14ac:dyDescent="0.3">
      <c r="A50" s="108">
        <v>44</v>
      </c>
      <c r="B50" s="328" t="str">
        <f>+'Base de Datos'!E50</f>
        <v>120000-151-0-2012</v>
      </c>
      <c r="C50" s="328" t="str">
        <f>+'Base de Datos'!F50</f>
        <v>SOCIEDAD ENTORNO COMPAÑÍA LTDA</v>
      </c>
      <c r="D50" s="329">
        <f>+'Base de Datos'!I50</f>
        <v>47000000</v>
      </c>
      <c r="E50" s="330">
        <f>+'Base de Datos'!M50</f>
        <v>41064</v>
      </c>
      <c r="F50" s="330">
        <f>+'Base de Datos'!N50</f>
        <v>41309</v>
      </c>
      <c r="G50" s="330">
        <f>+'Base de Datos'!T50</f>
        <v>41398</v>
      </c>
      <c r="H50" s="329">
        <f>+'Base de Datos'!U50</f>
        <v>47000000</v>
      </c>
      <c r="I50" s="331" t="str">
        <f>IF(VLOOKUP(B50,'Base de Datos'!$E$7:$S$303,11,0),"SI","NO")</f>
        <v>NO</v>
      </c>
      <c r="J50" s="332" t="str">
        <f t="shared" si="0"/>
        <v/>
      </c>
      <c r="K50" s="331" t="str">
        <f>IF(VLOOKUP(B50,'Base de Datos'!$E$7:$S$303,11,0),"SI","NO")</f>
        <v>NO</v>
      </c>
      <c r="L50" s="332" t="str">
        <f t="shared" si="1"/>
        <v/>
      </c>
      <c r="M50" s="332">
        <f>VLOOKUP(B50,'Base de Datos'!$E$7:$Z$303,21,0)</f>
        <v>0.87755319148936173</v>
      </c>
      <c r="N50" s="394" t="str">
        <f t="shared" ca="1" si="5"/>
        <v/>
      </c>
      <c r="O50" s="332">
        <f ca="1">VLOOKUP(B50,'Base de Datos'!$E$7:$Z$303,22,0)</f>
        <v>1</v>
      </c>
      <c r="P50" s="393">
        <f t="shared" ca="1" si="2"/>
        <v>1720</v>
      </c>
      <c r="Q50" s="406">
        <f t="shared" ca="1" si="6"/>
        <v>14.333333333333334</v>
      </c>
      <c r="R50" s="328" t="str">
        <f ca="1">VLOOKUP(B50,'Base de Datos'!E50:AR346,33,0)</f>
        <v>TERMINO</v>
      </c>
      <c r="S50" s="331" t="str">
        <f t="shared" ca="1" si="3"/>
        <v>NO</v>
      </c>
      <c r="T50" s="328" t="str">
        <f t="shared" ca="1" si="4"/>
        <v>Liquidar</v>
      </c>
      <c r="U50" s="328">
        <f>VLOOKUP(B50,'Base de Datos'!$E$7:$AR$401,38,0)</f>
        <v>41953</v>
      </c>
    </row>
    <row r="51" spans="1:21" ht="23.25" customHeight="1" thickTop="1" thickBot="1" x14ac:dyDescent="0.3">
      <c r="A51" s="108">
        <v>45</v>
      </c>
      <c r="B51" s="328" t="str">
        <f>+'Base de Datos'!E51</f>
        <v>120000-177-0-2012</v>
      </c>
      <c r="C51" s="328" t="str">
        <f>+'Base de Datos'!F51</f>
        <v>CANAL CAPITAL</v>
      </c>
      <c r="D51" s="329">
        <f>+'Base de Datos'!I51</f>
        <v>950000000</v>
      </c>
      <c r="E51" s="330">
        <f>+'Base de Datos'!M51</f>
        <v>41053</v>
      </c>
      <c r="F51" s="330">
        <f>+'Base de Datos'!N51</f>
        <v>41388</v>
      </c>
      <c r="G51" s="330">
        <f>+'Base de Datos'!T51</f>
        <v>41400</v>
      </c>
      <c r="H51" s="329">
        <f>+'Base de Datos'!U51</f>
        <v>950000000</v>
      </c>
      <c r="I51" s="331" t="str">
        <f>IF(VLOOKUP(B51,'Base de Datos'!$E$7:$S$303,11,0),"SI","NO")</f>
        <v>NO</v>
      </c>
      <c r="J51" s="332" t="str">
        <f t="shared" si="0"/>
        <v/>
      </c>
      <c r="K51" s="331" t="str">
        <f>IF(VLOOKUP(B51,'Base de Datos'!$E$7:$S$303,11,0),"SI","NO")</f>
        <v>NO</v>
      </c>
      <c r="L51" s="332" t="str">
        <f t="shared" si="1"/>
        <v/>
      </c>
      <c r="M51" s="332">
        <f>VLOOKUP(B51,'Base de Datos'!$E$7:$Z$303,21,0)</f>
        <v>1</v>
      </c>
      <c r="N51" s="394" t="str">
        <f t="shared" ca="1" si="5"/>
        <v/>
      </c>
      <c r="O51" s="332">
        <f ca="1">VLOOKUP(B51,'Base de Datos'!$E$7:$Z$303,22,0)</f>
        <v>1</v>
      </c>
      <c r="P51" s="393">
        <f t="shared" ca="1" si="2"/>
        <v>1718</v>
      </c>
      <c r="Q51" s="406">
        <f t="shared" ca="1" si="6"/>
        <v>14.316666666666666</v>
      </c>
      <c r="R51" s="328" t="str">
        <f ca="1">VLOOKUP(B51,'Base de Datos'!E51:AR347,33,0)</f>
        <v>TERMINO</v>
      </c>
      <c r="S51" s="331" t="str">
        <f t="shared" ca="1" si="3"/>
        <v>NO</v>
      </c>
      <c r="T51" s="328" t="str">
        <f t="shared" ca="1" si="4"/>
        <v>Liquidar</v>
      </c>
      <c r="U51" s="328">
        <f>VLOOKUP(B51,'Base de Datos'!$E$7:$AR$401,38,0)</f>
        <v>41565</v>
      </c>
    </row>
    <row r="52" spans="1:21" ht="23.25" customHeight="1" thickTop="1" thickBot="1" x14ac:dyDescent="0.3">
      <c r="A52" s="108">
        <v>46</v>
      </c>
      <c r="B52" s="328" t="str">
        <f>+'Base de Datos'!E52</f>
        <v>120000-223-0-2012</v>
      </c>
      <c r="C52" s="328" t="str">
        <f>+'Base de Datos'!F52</f>
        <v>SECURITY TECH  CONTROL LTDA</v>
      </c>
      <c r="D52" s="329">
        <f>+'Base de Datos'!I52</f>
        <v>27918648</v>
      </c>
      <c r="E52" s="330">
        <f>+'Base de Datos'!M52</f>
        <v>41081</v>
      </c>
      <c r="F52" s="330">
        <f>+'Base de Datos'!N52</f>
        <v>41132</v>
      </c>
      <c r="G52" s="330">
        <f>+'Base de Datos'!T52</f>
        <v>41213</v>
      </c>
      <c r="H52" s="329">
        <f>+'Base de Datos'!U52</f>
        <v>41705635</v>
      </c>
      <c r="I52" s="331" t="str">
        <f>IF(VLOOKUP(B52,'Base de Datos'!$E$7:$S$303,11,0),"SI","NO")</f>
        <v>SI</v>
      </c>
      <c r="J52" s="332">
        <f t="shared" si="0"/>
        <v>1.588235294117647</v>
      </c>
      <c r="K52" s="331" t="str">
        <f>IF(VLOOKUP(B52,'Base de Datos'!$E$7:$S$303,11,0),"SI","NO")</f>
        <v>SI</v>
      </c>
      <c r="L52" s="332">
        <f t="shared" si="1"/>
        <v>0.49382717243327828</v>
      </c>
      <c r="M52" s="332">
        <f>VLOOKUP(B52,'Base de Datos'!$E$7:$Z$303,21,0)</f>
        <v>1</v>
      </c>
      <c r="N52" s="394" t="str">
        <f t="shared" ca="1" si="5"/>
        <v/>
      </c>
      <c r="O52" s="332">
        <f ca="1">VLOOKUP(B52,'Base de Datos'!$E$7:$Z$303,22,0)</f>
        <v>1</v>
      </c>
      <c r="P52" s="393">
        <f t="shared" ca="1" si="2"/>
        <v>1905</v>
      </c>
      <c r="Q52" s="406">
        <f t="shared" ca="1" si="6"/>
        <v>15.875</v>
      </c>
      <c r="R52" s="328" t="str">
        <f ca="1">VLOOKUP(B52,'Base de Datos'!E52:AR348,33,0)</f>
        <v>TERMINO</v>
      </c>
      <c r="S52" s="331" t="str">
        <f t="shared" ca="1" si="3"/>
        <v>NO</v>
      </c>
      <c r="T52" s="328" t="str">
        <f t="shared" ca="1" si="4"/>
        <v>Liquidar</v>
      </c>
      <c r="U52" s="328">
        <f>VLOOKUP(B52,'Base de Datos'!$E$7:$AR$401,38,0)</f>
        <v>0</v>
      </c>
    </row>
    <row r="53" spans="1:21" ht="23.25" customHeight="1" thickTop="1" thickBot="1" x14ac:dyDescent="0.3">
      <c r="A53" s="108">
        <v>47</v>
      </c>
      <c r="B53" s="328" t="str">
        <f>+'Base de Datos'!E53</f>
        <v>120000-289-0-2012</v>
      </c>
      <c r="C53" s="328" t="str">
        <f>+'Base de Datos'!F53</f>
        <v>SEGUROS DEL ESTADO S.A</v>
      </c>
      <c r="D53" s="329">
        <f>+'Base de Datos'!I53</f>
        <v>4100000</v>
      </c>
      <c r="E53" s="330">
        <f>+'Base de Datos'!M53</f>
        <v>41103</v>
      </c>
      <c r="F53" s="330">
        <f>+'Base de Datos'!N53</f>
        <v>41471</v>
      </c>
      <c r="G53" s="330">
        <f>+'Base de Datos'!T53</f>
        <v>41471</v>
      </c>
      <c r="H53" s="329">
        <f>+'Base de Datos'!U53</f>
        <v>4100000</v>
      </c>
      <c r="I53" s="331" t="str">
        <f>IF(VLOOKUP(B53,'Base de Datos'!$E$7:$S$303,11,0),"SI","NO")</f>
        <v>NO</v>
      </c>
      <c r="J53" s="332" t="str">
        <f t="shared" si="0"/>
        <v/>
      </c>
      <c r="K53" s="331" t="str">
        <f>IF(VLOOKUP(B53,'Base de Datos'!$E$7:$S$303,11,0),"SI","NO")</f>
        <v>NO</v>
      </c>
      <c r="L53" s="332" t="str">
        <f t="shared" si="1"/>
        <v/>
      </c>
      <c r="M53" s="332">
        <f>VLOOKUP(B53,'Base de Datos'!$E$7:$Z$303,21,0)</f>
        <v>0.82673170731707313</v>
      </c>
      <c r="N53" s="394" t="str">
        <f t="shared" ca="1" si="5"/>
        <v/>
      </c>
      <c r="O53" s="332">
        <f ca="1">VLOOKUP(B53,'Base de Datos'!$E$7:$Z$303,22,0)</f>
        <v>1</v>
      </c>
      <c r="P53" s="393">
        <f t="shared" ca="1" si="2"/>
        <v>1647</v>
      </c>
      <c r="Q53" s="406">
        <f t="shared" ca="1" si="6"/>
        <v>13.725</v>
      </c>
      <c r="R53" s="328" t="str">
        <f ca="1">VLOOKUP(B53,'Base de Datos'!E53:AR349,33,0)</f>
        <v>TERMINO</v>
      </c>
      <c r="S53" s="331" t="str">
        <f t="shared" ca="1" si="3"/>
        <v>NO</v>
      </c>
      <c r="T53" s="328" t="str">
        <f t="shared" ca="1" si="4"/>
        <v>Liquidar</v>
      </c>
      <c r="U53" s="328">
        <f>VLOOKUP(B53,'Base de Datos'!$E$7:$AR$401,38,0)</f>
        <v>0</v>
      </c>
    </row>
    <row r="54" spans="1:21" ht="23.25" customHeight="1" thickTop="1" thickBot="1" x14ac:dyDescent="0.3">
      <c r="A54" s="108">
        <v>48</v>
      </c>
      <c r="B54" s="328" t="str">
        <f>+'Base de Datos'!E54</f>
        <v>120000-312-0-2012</v>
      </c>
      <c r="C54" s="328" t="str">
        <f>+'Base de Datos'!F54</f>
        <v>SOLUCIONES Y DIAGNÓSTICOS EN INGENIERÍA ELÉCTRICA LTDA</v>
      </c>
      <c r="D54" s="329">
        <f>+'Base de Datos'!I54</f>
        <v>8932201</v>
      </c>
      <c r="E54" s="330">
        <f>+'Base de Datos'!M54</f>
        <v>41151</v>
      </c>
      <c r="F54" s="330">
        <f>+'Base de Datos'!N54</f>
        <v>41424</v>
      </c>
      <c r="G54" s="330">
        <f>+'Base de Datos'!T54</f>
        <v>41547</v>
      </c>
      <c r="H54" s="329">
        <f>+'Base de Datos'!U54</f>
        <v>8932201</v>
      </c>
      <c r="I54" s="331" t="str">
        <f>IF(VLOOKUP(B54,'Base de Datos'!$E$7:$S$303,11,0),"SI","NO")</f>
        <v>NO</v>
      </c>
      <c r="J54" s="332" t="str">
        <f t="shared" si="0"/>
        <v/>
      </c>
      <c r="K54" s="331" t="str">
        <f>IF(VLOOKUP(B54,'Base de Datos'!$E$7:$S$303,11,0),"SI","NO")</f>
        <v>NO</v>
      </c>
      <c r="L54" s="332" t="str">
        <f t="shared" si="1"/>
        <v/>
      </c>
      <c r="M54" s="332">
        <f>VLOOKUP(B54,'Base de Datos'!$E$7:$Z$303,21,0)</f>
        <v>0.99714146602836184</v>
      </c>
      <c r="N54" s="394" t="str">
        <f t="shared" ca="1" si="5"/>
        <v/>
      </c>
      <c r="O54" s="332">
        <f ca="1">VLOOKUP(B54,'Base de Datos'!$E$7:$Z$303,22,0)</f>
        <v>1</v>
      </c>
      <c r="P54" s="393">
        <f t="shared" ca="1" si="2"/>
        <v>1571</v>
      </c>
      <c r="Q54" s="406">
        <f t="shared" ca="1" si="6"/>
        <v>13.091666666666667</v>
      </c>
      <c r="R54" s="328" t="str">
        <f ca="1">VLOOKUP(B54,'Base de Datos'!E54:AR350,33,0)</f>
        <v>TERMINO</v>
      </c>
      <c r="S54" s="331" t="str">
        <f t="shared" ca="1" si="3"/>
        <v>NO</v>
      </c>
      <c r="T54" s="328" t="str">
        <f t="shared" ca="1" si="4"/>
        <v>Liquidar</v>
      </c>
      <c r="U54" s="328">
        <f>VLOOKUP(B54,'Base de Datos'!$E$7:$AR$401,38,0)</f>
        <v>42160</v>
      </c>
    </row>
    <row r="55" spans="1:21" ht="23.25" customHeight="1" thickTop="1" thickBot="1" x14ac:dyDescent="0.3">
      <c r="A55" s="108">
        <v>49</v>
      </c>
      <c r="B55" s="328" t="str">
        <f>+'Base de Datos'!E55</f>
        <v>120000-328-0-2012</v>
      </c>
      <c r="C55" s="328" t="str">
        <f>+'Base de Datos'!F55</f>
        <v>PORTES DE COLOMBIA LTDA</v>
      </c>
      <c r="D55" s="329">
        <f>+'Base de Datos'!I55</f>
        <v>8545000</v>
      </c>
      <c r="E55" s="330">
        <f>+'Base de Datos'!M55</f>
        <v>41155</v>
      </c>
      <c r="F55" s="330">
        <f>+'Base de Datos'!N55</f>
        <v>41367</v>
      </c>
      <c r="G55" s="330">
        <f>+'Base de Datos'!T55</f>
        <v>41458</v>
      </c>
      <c r="H55" s="329">
        <f>+'Base de Datos'!U55</f>
        <v>8545000</v>
      </c>
      <c r="I55" s="331" t="str">
        <f>IF(VLOOKUP(B55,'Base de Datos'!$E$7:$S$303,11,0),"SI","NO")</f>
        <v>NO</v>
      </c>
      <c r="J55" s="332" t="str">
        <f t="shared" si="0"/>
        <v/>
      </c>
      <c r="K55" s="331" t="str">
        <f>IF(VLOOKUP(B55,'Base de Datos'!$E$7:$S$303,11,0),"SI","NO")</f>
        <v>NO</v>
      </c>
      <c r="L55" s="332" t="str">
        <f t="shared" si="1"/>
        <v/>
      </c>
      <c r="M55" s="332">
        <f>VLOOKUP(B55,'Base de Datos'!$E$7:$Z$303,21,0)</f>
        <v>0.50743124634289061</v>
      </c>
      <c r="N55" s="394" t="str">
        <f t="shared" ca="1" si="5"/>
        <v/>
      </c>
      <c r="O55" s="332">
        <f ca="1">VLOOKUP(B55,'Base de Datos'!$E$7:$Z$303,22,0)</f>
        <v>1</v>
      </c>
      <c r="P55" s="393">
        <f t="shared" ca="1" si="2"/>
        <v>1660</v>
      </c>
      <c r="Q55" s="406">
        <f t="shared" ca="1" si="6"/>
        <v>13.833333333333334</v>
      </c>
      <c r="R55" s="328" t="str">
        <f ca="1">VLOOKUP(B55,'Base de Datos'!E55:AR351,33,0)</f>
        <v>TERMINO</v>
      </c>
      <c r="S55" s="331" t="str">
        <f t="shared" ca="1" si="3"/>
        <v>NO</v>
      </c>
      <c r="T55" s="328" t="str">
        <f t="shared" ca="1" si="4"/>
        <v>Liquidar</v>
      </c>
      <c r="U55" s="328">
        <f>VLOOKUP(B55,'Base de Datos'!$E$7:$AR$401,38,0)</f>
        <v>41971</v>
      </c>
    </row>
    <row r="56" spans="1:21" ht="23.25" customHeight="1" thickTop="1" thickBot="1" x14ac:dyDescent="0.3">
      <c r="A56" s="108">
        <v>50</v>
      </c>
      <c r="B56" s="328" t="str">
        <f>+'Base de Datos'!E56</f>
        <v>120000-368-0-2012</v>
      </c>
      <c r="C56" s="328" t="str">
        <f>+'Base de Datos'!F56</f>
        <v xml:space="preserve">UNIÓN TEMPORAL EMINSER-SOLOASEO </v>
      </c>
      <c r="D56" s="329">
        <f>+'Base de Datos'!I56</f>
        <v>220839000</v>
      </c>
      <c r="E56" s="330">
        <f>+'Base de Datos'!M56</f>
        <v>41172</v>
      </c>
      <c r="F56" s="330">
        <f>+'Base de Datos'!N56</f>
        <v>41384</v>
      </c>
      <c r="G56" s="330">
        <f>+'Base de Datos'!T56</f>
        <v>41445</v>
      </c>
      <c r="H56" s="329">
        <f>+'Base de Datos'!U56</f>
        <v>242578353</v>
      </c>
      <c r="I56" s="331" t="str">
        <f>IF(VLOOKUP(B56,'Base de Datos'!$E$7:$S$303,11,0),"SI","NO")</f>
        <v>SI</v>
      </c>
      <c r="J56" s="332">
        <f t="shared" si="0"/>
        <v>0.28773584905660377</v>
      </c>
      <c r="K56" s="331" t="str">
        <f>IF(VLOOKUP(B56,'Base de Datos'!$E$7:$S$303,11,0),"SI","NO")</f>
        <v>SI</v>
      </c>
      <c r="L56" s="332">
        <f t="shared" si="1"/>
        <v>9.8439827204434005E-2</v>
      </c>
      <c r="M56" s="332">
        <f>VLOOKUP(B56,'Base de Datos'!$E$7:$Z$303,21,0)</f>
        <v>0.89976841008562702</v>
      </c>
      <c r="N56" s="394" t="str">
        <f t="shared" ca="1" si="5"/>
        <v/>
      </c>
      <c r="O56" s="332">
        <f ca="1">VLOOKUP(B56,'Base de Datos'!$E$7:$Z$303,22,0)</f>
        <v>1</v>
      </c>
      <c r="P56" s="393">
        <f t="shared" ca="1" si="2"/>
        <v>1673</v>
      </c>
      <c r="Q56" s="406">
        <f t="shared" ca="1" si="6"/>
        <v>13.941666666666666</v>
      </c>
      <c r="R56" s="328" t="str">
        <f ca="1">VLOOKUP(B56,'Base de Datos'!E56:AR352,33,0)</f>
        <v>TERMINO</v>
      </c>
      <c r="S56" s="331" t="str">
        <f t="shared" ca="1" si="3"/>
        <v>NO</v>
      </c>
      <c r="T56" s="328" t="str">
        <f t="shared" ca="1" si="4"/>
        <v>Liquidar</v>
      </c>
      <c r="U56" s="328">
        <f>VLOOKUP(B56,'Base de Datos'!$E$7:$AR$401,38,0)</f>
        <v>0</v>
      </c>
    </row>
    <row r="57" spans="1:21" ht="23.25" customHeight="1" thickTop="1" thickBot="1" x14ac:dyDescent="0.3">
      <c r="A57" s="108">
        <v>51</v>
      </c>
      <c r="B57" s="328" t="str">
        <f>+'Base de Datos'!E57</f>
        <v>120000-376-0-2012</v>
      </c>
      <c r="C57" s="328" t="str">
        <f>+'Base de Datos'!F57</f>
        <v>NELSON EDUARDO MUÑOZ MORENO</v>
      </c>
      <c r="D57" s="329">
        <f>+'Base de Datos'!I57</f>
        <v>4493000</v>
      </c>
      <c r="E57" s="330">
        <f>+'Base de Datos'!M57</f>
        <v>41172</v>
      </c>
      <c r="F57" s="330">
        <f>+'Base de Datos'!N57</f>
        <v>41353</v>
      </c>
      <c r="G57" s="330">
        <f>+'Base de Datos'!T57</f>
        <v>41414</v>
      </c>
      <c r="H57" s="329">
        <f>+'Base de Datos'!U57</f>
        <v>4493000</v>
      </c>
      <c r="I57" s="331" t="str">
        <f>IF(VLOOKUP(B57,'Base de Datos'!$E$7:$S$303,11,0),"SI","NO")</f>
        <v>NO</v>
      </c>
      <c r="J57" s="332" t="str">
        <f t="shared" si="0"/>
        <v/>
      </c>
      <c r="K57" s="331" t="str">
        <f>IF(VLOOKUP(B57,'Base de Datos'!$E$7:$S$303,11,0),"SI","NO")</f>
        <v>NO</v>
      </c>
      <c r="L57" s="332" t="str">
        <f t="shared" si="1"/>
        <v/>
      </c>
      <c r="M57" s="332">
        <f>VLOOKUP(B57,'Base de Datos'!$E$7:$Z$303,21,0)</f>
        <v>0.73647896728243933</v>
      </c>
      <c r="N57" s="394" t="str">
        <f t="shared" ca="1" si="5"/>
        <v/>
      </c>
      <c r="O57" s="332">
        <f ca="1">VLOOKUP(B57,'Base de Datos'!$E$7:$Z$303,22,0)</f>
        <v>1</v>
      </c>
      <c r="P57" s="393">
        <f t="shared" ca="1" si="2"/>
        <v>1704</v>
      </c>
      <c r="Q57" s="406">
        <f t="shared" ca="1" si="6"/>
        <v>14.2</v>
      </c>
      <c r="R57" s="328" t="str">
        <f ca="1">VLOOKUP(B57,'Base de Datos'!E57:AR353,33,0)</f>
        <v>TERMINO</v>
      </c>
      <c r="S57" s="331" t="str">
        <f t="shared" ca="1" si="3"/>
        <v>NO</v>
      </c>
      <c r="T57" s="328" t="str">
        <f t="shared" ca="1" si="4"/>
        <v>Liquidar</v>
      </c>
      <c r="U57" s="328">
        <f>VLOOKUP(B57,'Base de Datos'!$E$7:$AR$401,38,0)</f>
        <v>42023</v>
      </c>
    </row>
    <row r="58" spans="1:21" ht="23.25" customHeight="1" thickTop="1" thickBot="1" x14ac:dyDescent="0.3">
      <c r="A58" s="108">
        <v>52</v>
      </c>
      <c r="B58" s="328" t="str">
        <f>+'Base de Datos'!E58</f>
        <v>120000-381-0-2012</v>
      </c>
      <c r="C58" s="328" t="str">
        <f>+'Base de Datos'!F58</f>
        <v>SOLUTION COPY LTDA</v>
      </c>
      <c r="D58" s="329">
        <f>+'Base de Datos'!I58</f>
        <v>22726000</v>
      </c>
      <c r="E58" s="330">
        <f>+'Base de Datos'!M58</f>
        <v>41163</v>
      </c>
      <c r="F58" s="330">
        <f>+'Base de Datos'!N58</f>
        <v>41375</v>
      </c>
      <c r="G58" s="330">
        <f>+'Base de Datos'!T58</f>
        <v>41425</v>
      </c>
      <c r="H58" s="329">
        <f>+'Base de Datos'!U58</f>
        <v>24726000</v>
      </c>
      <c r="I58" s="331" t="str">
        <f>IF(VLOOKUP(B58,'Base de Datos'!$E$7:$S$303,11,0),"SI","NO")</f>
        <v>SI</v>
      </c>
      <c r="J58" s="332">
        <f t="shared" si="0"/>
        <v>0.23584905660377359</v>
      </c>
      <c r="K58" s="331" t="str">
        <f>IF(VLOOKUP(B58,'Base de Datos'!$E$7:$S$303,11,0),"SI","NO")</f>
        <v>SI</v>
      </c>
      <c r="L58" s="332">
        <f t="shared" si="1"/>
        <v>8.8004928275983454E-2</v>
      </c>
      <c r="M58" s="332">
        <f>VLOOKUP(B58,'Base de Datos'!$E$7:$Z$303,21,0)</f>
        <v>0.99999830138315948</v>
      </c>
      <c r="N58" s="394" t="str">
        <f t="shared" ca="1" si="5"/>
        <v/>
      </c>
      <c r="O58" s="332">
        <f ca="1">VLOOKUP(B58,'Base de Datos'!$E$7:$Z$303,22,0)</f>
        <v>1</v>
      </c>
      <c r="P58" s="393">
        <f t="shared" ca="1" si="2"/>
        <v>1693</v>
      </c>
      <c r="Q58" s="406">
        <f t="shared" ca="1" si="6"/>
        <v>14.108333333333333</v>
      </c>
      <c r="R58" s="328" t="str">
        <f ca="1">VLOOKUP(B58,'Base de Datos'!E58:AR354,33,0)</f>
        <v>TERMINO</v>
      </c>
      <c r="S58" s="331" t="str">
        <f t="shared" ca="1" si="3"/>
        <v>NO</v>
      </c>
      <c r="T58" s="328" t="str">
        <f t="shared" ca="1" si="4"/>
        <v>Liquidar</v>
      </c>
      <c r="U58" s="328">
        <f>VLOOKUP(B58,'Base de Datos'!$E$7:$AR$401,38,0)</f>
        <v>41977</v>
      </c>
    </row>
    <row r="59" spans="1:21" ht="23.25" customHeight="1" thickTop="1" thickBot="1" x14ac:dyDescent="0.3">
      <c r="A59" s="108">
        <v>53</v>
      </c>
      <c r="B59" s="328" t="str">
        <f>+'Base de Datos'!E59</f>
        <v>120000-390-0-2012</v>
      </c>
      <c r="C59" s="328" t="str">
        <f>+'Base de Datos'!F59</f>
        <v>UNIÓN TEMPORAL INTERPOSTAL URBANEX</v>
      </c>
      <c r="D59" s="329">
        <f>+'Base de Datos'!I59</f>
        <v>19116000</v>
      </c>
      <c r="E59" s="330">
        <f>+'Base de Datos'!M59</f>
        <v>41176</v>
      </c>
      <c r="F59" s="330">
        <f>+'Base de Datos'!N59</f>
        <v>41388</v>
      </c>
      <c r="G59" s="330">
        <f>+'Base de Datos'!T59</f>
        <v>41409</v>
      </c>
      <c r="H59" s="329">
        <f>+'Base de Datos'!U59</f>
        <v>20923575</v>
      </c>
      <c r="I59" s="331" t="str">
        <f>IF(VLOOKUP(B59,'Base de Datos'!$E$7:$S$303,11,0),"SI","NO")</f>
        <v>SI</v>
      </c>
      <c r="J59" s="332">
        <f t="shared" si="0"/>
        <v>9.9056603773584911E-2</v>
      </c>
      <c r="K59" s="331" t="str">
        <f>IF(VLOOKUP(B59,'Base de Datos'!$E$7:$S$303,11,0),"SI","NO")</f>
        <v>SI</v>
      </c>
      <c r="L59" s="332">
        <f t="shared" si="1"/>
        <v>9.4558223477715003E-2</v>
      </c>
      <c r="M59" s="332">
        <f>VLOOKUP(B59,'Base de Datos'!$E$7:$Z$303,21,0)</f>
        <v>0.95166337492517417</v>
      </c>
      <c r="N59" s="394" t="str">
        <f t="shared" ca="1" si="5"/>
        <v/>
      </c>
      <c r="O59" s="332">
        <f ca="1">VLOOKUP(B59,'Base de Datos'!$E$7:$Z$303,22,0)</f>
        <v>1</v>
      </c>
      <c r="P59" s="393">
        <f t="shared" ca="1" si="2"/>
        <v>1709</v>
      </c>
      <c r="Q59" s="406">
        <f t="shared" ca="1" si="6"/>
        <v>14.241666666666667</v>
      </c>
      <c r="R59" s="328" t="str">
        <f ca="1">VLOOKUP(B59,'Base de Datos'!E59:AR355,33,0)</f>
        <v>TERMINO</v>
      </c>
      <c r="S59" s="331" t="str">
        <f t="shared" ca="1" si="3"/>
        <v>NO</v>
      </c>
      <c r="T59" s="328" t="str">
        <f t="shared" ca="1" si="4"/>
        <v>Liquidar</v>
      </c>
      <c r="U59" s="328">
        <f>VLOOKUP(B59,'Base de Datos'!$E$7:$AR$401,38,0)</f>
        <v>42306</v>
      </c>
    </row>
    <row r="60" spans="1:21" ht="23.25" customHeight="1" thickTop="1" thickBot="1" x14ac:dyDescent="0.3">
      <c r="A60" s="108">
        <v>54</v>
      </c>
      <c r="B60" s="328" t="str">
        <f>+'Base de Datos'!E60</f>
        <v>120000-396-0-2012</v>
      </c>
      <c r="C60" s="328" t="str">
        <f>+'Base de Datos'!F60</f>
        <v>CENTRO DE RECURSOS EDUCATIVOS PARA LA COMPETITIVIDAD EMPRESARIAL LTDA - CRECE</v>
      </c>
      <c r="D60" s="329">
        <f>+'Base de Datos'!I60</f>
        <v>282073266</v>
      </c>
      <c r="E60" s="330">
        <f>+'Base de Datos'!M60</f>
        <v>41198</v>
      </c>
      <c r="F60" s="330">
        <f>+'Base de Datos'!N60</f>
        <v>41441</v>
      </c>
      <c r="G60" s="330">
        <f>+'Base de Datos'!T60</f>
        <v>41441</v>
      </c>
      <c r="H60" s="329">
        <f>+'Base de Datos'!U60</f>
        <v>282073266</v>
      </c>
      <c r="I60" s="331" t="str">
        <f>IF(VLOOKUP(B60,'Base de Datos'!$E$7:$S$303,11,0),"SI","NO")</f>
        <v>NO</v>
      </c>
      <c r="J60" s="332" t="str">
        <f t="shared" si="0"/>
        <v/>
      </c>
      <c r="K60" s="331" t="str">
        <f>IF(VLOOKUP(B60,'Base de Datos'!$E$7:$S$303,11,0),"SI","NO")</f>
        <v>NO</v>
      </c>
      <c r="L60" s="332" t="str">
        <f t="shared" si="1"/>
        <v/>
      </c>
      <c r="M60" s="332">
        <f>VLOOKUP(B60,'Base de Datos'!$E$7:$Z$303,21,0)</f>
        <v>1</v>
      </c>
      <c r="N60" s="394" t="str">
        <f t="shared" ca="1" si="5"/>
        <v/>
      </c>
      <c r="O60" s="332">
        <f ca="1">VLOOKUP(B60,'Base de Datos'!$E$7:$Z$303,22,0)</f>
        <v>1</v>
      </c>
      <c r="P60" s="393">
        <f t="shared" ca="1" si="2"/>
        <v>1677</v>
      </c>
      <c r="Q60" s="406">
        <f t="shared" ca="1" si="6"/>
        <v>13.975</v>
      </c>
      <c r="R60" s="328" t="str">
        <f ca="1">VLOOKUP(B60,'Base de Datos'!E60:AR356,33,0)</f>
        <v>TERMINO</v>
      </c>
      <c r="S60" s="331" t="str">
        <f t="shared" ca="1" si="3"/>
        <v>NO</v>
      </c>
      <c r="T60" s="328" t="str">
        <f t="shared" ca="1" si="4"/>
        <v>Liquidar</v>
      </c>
      <c r="U60" s="328">
        <f>VLOOKUP(B60,'Base de Datos'!$E$7:$AR$401,38,0)</f>
        <v>41968</v>
      </c>
    </row>
    <row r="61" spans="1:21" ht="23.25" customHeight="1" thickTop="1" thickBot="1" x14ac:dyDescent="0.3">
      <c r="A61" s="108">
        <v>55</v>
      </c>
      <c r="B61" s="328" t="str">
        <f>+'Base de Datos'!E61</f>
        <v>120000-398-0-2012</v>
      </c>
      <c r="C61" s="328" t="str">
        <f>+'Base de Datos'!F61</f>
        <v>ECO COLSULTORES</v>
      </c>
      <c r="D61" s="329">
        <f>+'Base de Datos'!I61</f>
        <v>50618751</v>
      </c>
      <c r="E61" s="330">
        <f>+'Base de Datos'!M61</f>
        <v>41198</v>
      </c>
      <c r="F61" s="330">
        <f>+'Base de Datos'!N61</f>
        <v>41441</v>
      </c>
      <c r="G61" s="330">
        <f>+'Base de Datos'!T61</f>
        <v>41441</v>
      </c>
      <c r="H61" s="329">
        <f>+'Base de Datos'!U61</f>
        <v>50618751</v>
      </c>
      <c r="I61" s="331" t="str">
        <f>IF(VLOOKUP(B61,'Base de Datos'!$E$7:$S$303,11,0),"SI","NO")</f>
        <v>NO</v>
      </c>
      <c r="J61" s="332" t="str">
        <f t="shared" si="0"/>
        <v/>
      </c>
      <c r="K61" s="331" t="str">
        <f>IF(VLOOKUP(B61,'Base de Datos'!$E$7:$S$303,11,0),"SI","NO")</f>
        <v>NO</v>
      </c>
      <c r="L61" s="332" t="str">
        <f t="shared" si="1"/>
        <v/>
      </c>
      <c r="M61" s="332">
        <f>VLOOKUP(B61,'Base de Datos'!$E$7:$Z$303,21,0)</f>
        <v>1</v>
      </c>
      <c r="N61" s="394" t="str">
        <f t="shared" ca="1" si="5"/>
        <v/>
      </c>
      <c r="O61" s="332">
        <f ca="1">VLOOKUP(B61,'Base de Datos'!$E$7:$Z$303,22,0)</f>
        <v>1</v>
      </c>
      <c r="P61" s="393">
        <f t="shared" ca="1" si="2"/>
        <v>1677</v>
      </c>
      <c r="Q61" s="406">
        <f t="shared" ca="1" si="6"/>
        <v>13.975</v>
      </c>
      <c r="R61" s="328" t="str">
        <f ca="1">VLOOKUP(B61,'Base de Datos'!E61:AR357,33,0)</f>
        <v>TERMINO</v>
      </c>
      <c r="S61" s="331" t="str">
        <f t="shared" ca="1" si="3"/>
        <v>NO</v>
      </c>
      <c r="T61" s="328" t="str">
        <f t="shared" ca="1" si="4"/>
        <v>Liquidar</v>
      </c>
      <c r="U61" s="328">
        <f>VLOOKUP(B61,'Base de Datos'!$E$7:$AR$401,38,0)</f>
        <v>41984</v>
      </c>
    </row>
    <row r="62" spans="1:21" ht="23.25" customHeight="1" thickTop="1" thickBot="1" x14ac:dyDescent="0.3">
      <c r="A62" s="108">
        <v>56</v>
      </c>
      <c r="B62" s="328" t="str">
        <f>+'Base de Datos'!E62</f>
        <v>120000-399-0-2012</v>
      </c>
      <c r="C62" s="328" t="str">
        <f>+'Base de Datos'!F62</f>
        <v>UNIVERSIDAD LA GRAN COLOMBIA</v>
      </c>
      <c r="D62" s="329">
        <f>+'Base de Datos'!I62</f>
        <v>69900000</v>
      </c>
      <c r="E62" s="330">
        <f>+'Base de Datos'!M62</f>
        <v>41202</v>
      </c>
      <c r="F62" s="330">
        <f>+'Base de Datos'!N62</f>
        <v>41445</v>
      </c>
      <c r="G62" s="330">
        <f>+'Base de Datos'!T62</f>
        <v>41486</v>
      </c>
      <c r="H62" s="329">
        <f>+'Base de Datos'!U62</f>
        <v>69900000</v>
      </c>
      <c r="I62" s="331" t="str">
        <f>IF(VLOOKUP(B62,'Base de Datos'!$E$7:$S$303,11,0),"SI","NO")</f>
        <v>NO</v>
      </c>
      <c r="J62" s="332" t="str">
        <f t="shared" si="0"/>
        <v/>
      </c>
      <c r="K62" s="331" t="str">
        <f>IF(VLOOKUP(B62,'Base de Datos'!$E$7:$S$303,11,0),"SI","NO")</f>
        <v>NO</v>
      </c>
      <c r="L62" s="332" t="str">
        <f t="shared" si="1"/>
        <v/>
      </c>
      <c r="M62" s="332">
        <f>VLOOKUP(B62,'Base de Datos'!$E$7:$Z$303,21,0)</f>
        <v>1</v>
      </c>
      <c r="N62" s="394" t="str">
        <f t="shared" ca="1" si="5"/>
        <v/>
      </c>
      <c r="O62" s="332">
        <f ca="1">VLOOKUP(B62,'Base de Datos'!$E$7:$Z$303,22,0)</f>
        <v>1</v>
      </c>
      <c r="P62" s="393">
        <f t="shared" ca="1" si="2"/>
        <v>1632</v>
      </c>
      <c r="Q62" s="406">
        <f t="shared" ca="1" si="6"/>
        <v>13.6</v>
      </c>
      <c r="R62" s="328" t="str">
        <f ca="1">VLOOKUP(B62,'Base de Datos'!E62:AR358,33,0)</f>
        <v>TERMINO</v>
      </c>
      <c r="S62" s="331" t="str">
        <f t="shared" ca="1" si="3"/>
        <v>NO</v>
      </c>
      <c r="T62" s="328" t="str">
        <f t="shared" ca="1" si="4"/>
        <v>Liquidar</v>
      </c>
      <c r="U62" s="328">
        <f>VLOOKUP(B62,'Base de Datos'!$E$7:$AR$401,38,0)</f>
        <v>42017</v>
      </c>
    </row>
    <row r="63" spans="1:21" ht="23.25" customHeight="1" thickTop="1" thickBot="1" x14ac:dyDescent="0.3">
      <c r="A63" s="108">
        <v>57</v>
      </c>
      <c r="B63" s="328" t="str">
        <f>+'Base de Datos'!E63</f>
        <v>120000-402-0-2012</v>
      </c>
      <c r="C63" s="328" t="str">
        <f>+'Base de Datos'!F63</f>
        <v>INSTITUTO DISTRITAL DEL PATRIMONIO CULTURAL - IDCP</v>
      </c>
      <c r="D63" s="329">
        <f>+'Base de Datos'!I63</f>
        <v>500000000</v>
      </c>
      <c r="E63" s="330">
        <f>+'Base de Datos'!M63</f>
        <v>41170</v>
      </c>
      <c r="F63" s="330">
        <f>+'Base de Datos'!N63</f>
        <v>41412</v>
      </c>
      <c r="G63" s="330">
        <f>+'Base de Datos'!T63</f>
        <v>41412</v>
      </c>
      <c r="H63" s="329">
        <f>+'Base de Datos'!U63</f>
        <v>500000000</v>
      </c>
      <c r="I63" s="331" t="str">
        <f>IF(VLOOKUP(B63,'Base de Datos'!$E$7:$S$303,11,0),"SI","NO")</f>
        <v>NO</v>
      </c>
      <c r="J63" s="332" t="str">
        <f t="shared" si="0"/>
        <v/>
      </c>
      <c r="K63" s="331" t="str">
        <f>IF(VLOOKUP(B63,'Base de Datos'!$E$7:$S$303,11,0),"SI","NO")</f>
        <v>NO</v>
      </c>
      <c r="L63" s="332" t="str">
        <f t="shared" si="1"/>
        <v/>
      </c>
      <c r="M63" s="332">
        <f>VLOOKUP(B63,'Base de Datos'!$E$7:$Z$303,21,0)</f>
        <v>1</v>
      </c>
      <c r="N63" s="394" t="str">
        <f t="shared" ca="1" si="5"/>
        <v/>
      </c>
      <c r="O63" s="332">
        <f ca="1">VLOOKUP(B63,'Base de Datos'!$E$7:$Z$303,22,0)</f>
        <v>1</v>
      </c>
      <c r="P63" s="393">
        <f t="shared" ca="1" si="2"/>
        <v>1706</v>
      </c>
      <c r="Q63" s="406">
        <f t="shared" ca="1" si="6"/>
        <v>14.216666666666667</v>
      </c>
      <c r="R63" s="328" t="str">
        <f ca="1">VLOOKUP(B63,'Base de Datos'!E63:AR359,33,0)</f>
        <v>TERMINO</v>
      </c>
      <c r="S63" s="331" t="str">
        <f t="shared" ca="1" si="3"/>
        <v>NO</v>
      </c>
      <c r="T63" s="328" t="str">
        <f t="shared" ca="1" si="4"/>
        <v>Liquidar</v>
      </c>
      <c r="U63" s="328">
        <f>VLOOKUP(B63,'Base de Datos'!$E$7:$AR$401,38,0)</f>
        <v>0</v>
      </c>
    </row>
    <row r="64" spans="1:21" ht="23.25" customHeight="1" thickTop="1" thickBot="1" x14ac:dyDescent="0.3">
      <c r="A64" s="108">
        <v>58</v>
      </c>
      <c r="B64" s="328" t="str">
        <f>+'Base de Datos'!E64</f>
        <v>120000-196-0-2012</v>
      </c>
      <c r="C64" s="328" t="str">
        <f>+'Base de Datos'!F64</f>
        <v>SGS COLOMBIA S.A.</v>
      </c>
      <c r="D64" s="329">
        <f>+'Base de Datos'!I64</f>
        <v>10440000</v>
      </c>
      <c r="E64" s="330">
        <f>+'Base de Datos'!M64</f>
        <v>41067</v>
      </c>
      <c r="F64" s="330">
        <f>+'Base de Datos'!N64</f>
        <v>41312</v>
      </c>
      <c r="G64" s="330">
        <f>+'Base de Datos'!T64</f>
        <v>41312</v>
      </c>
      <c r="H64" s="329">
        <f>+'Base de Datos'!U64</f>
        <v>10440000</v>
      </c>
      <c r="I64" s="331" t="str">
        <f>IF(VLOOKUP(B64,'Base de Datos'!$E$7:$S$303,11,0),"SI","NO")</f>
        <v>NO</v>
      </c>
      <c r="J64" s="332" t="str">
        <f t="shared" si="0"/>
        <v/>
      </c>
      <c r="K64" s="331" t="str">
        <f>IF(VLOOKUP(B64,'Base de Datos'!$E$7:$S$303,11,0),"SI","NO")</f>
        <v>NO</v>
      </c>
      <c r="L64" s="332" t="str">
        <f t="shared" si="1"/>
        <v/>
      </c>
      <c r="M64" s="332">
        <f>VLOOKUP(B64,'Base de Datos'!$E$7:$Z$303,21,0)</f>
        <v>1</v>
      </c>
      <c r="N64" s="394" t="str">
        <f t="shared" ca="1" si="5"/>
        <v/>
      </c>
      <c r="O64" s="332">
        <f ca="1">VLOOKUP(B64,'Base de Datos'!$E$7:$Z$303,22,0)</f>
        <v>1</v>
      </c>
      <c r="P64" s="393">
        <f t="shared" ca="1" si="2"/>
        <v>1806</v>
      </c>
      <c r="Q64" s="406">
        <f t="shared" ca="1" si="6"/>
        <v>15.05</v>
      </c>
      <c r="R64" s="328" t="str">
        <f ca="1">VLOOKUP(B64,'Base de Datos'!E64:AR360,33,0)</f>
        <v>TERMINO</v>
      </c>
      <c r="S64" s="331" t="str">
        <f t="shared" ca="1" si="3"/>
        <v>NO</v>
      </c>
      <c r="T64" s="328" t="str">
        <f t="shared" ca="1" si="4"/>
        <v>Liquidar</v>
      </c>
      <c r="U64" s="328">
        <f>VLOOKUP(B64,'Base de Datos'!$E$7:$AR$401,38,0)</f>
        <v>42221</v>
      </c>
    </row>
    <row r="65" spans="1:21" ht="23.25" customHeight="1" thickTop="1" thickBot="1" x14ac:dyDescent="0.3">
      <c r="A65" s="108">
        <v>59</v>
      </c>
      <c r="B65" s="328" t="str">
        <f>+'Base de Datos'!E65</f>
        <v>120000-403-0-2012</v>
      </c>
      <c r="C65" s="328" t="str">
        <f>+'Base de Datos'!F65</f>
        <v>INCTEC INGENIEROS CIVILES ARQUITECTOS LTDA</v>
      </c>
      <c r="D65" s="329">
        <f>+'Base de Datos'!I65</f>
        <v>24824832</v>
      </c>
      <c r="E65" s="330">
        <f>+'Base de Datos'!M65</f>
        <v>41208</v>
      </c>
      <c r="F65" s="330">
        <f>+'Base de Datos'!N65</f>
        <v>41481</v>
      </c>
      <c r="G65" s="330">
        <f>+'Base de Datos'!T65</f>
        <v>41481</v>
      </c>
      <c r="H65" s="329">
        <f>+'Base de Datos'!U65</f>
        <v>24824832</v>
      </c>
      <c r="I65" s="331" t="str">
        <f>IF(VLOOKUP(B65,'Base de Datos'!$E$7:$S$303,11,0),"SI","NO")</f>
        <v>NO</v>
      </c>
      <c r="J65" s="332" t="str">
        <f t="shared" si="0"/>
        <v/>
      </c>
      <c r="K65" s="331" t="str">
        <f>IF(VLOOKUP(B65,'Base de Datos'!$E$7:$S$303,11,0),"SI","NO")</f>
        <v>NO</v>
      </c>
      <c r="L65" s="332" t="str">
        <f t="shared" si="1"/>
        <v/>
      </c>
      <c r="M65" s="332">
        <f>VLOOKUP(B65,'Base de Datos'!$E$7:$Z$303,21,0)</f>
        <v>1</v>
      </c>
      <c r="N65" s="394" t="str">
        <f t="shared" ca="1" si="5"/>
        <v/>
      </c>
      <c r="O65" s="332">
        <f ca="1">VLOOKUP(B65,'Base de Datos'!$E$7:$Z$303,22,0)</f>
        <v>1</v>
      </c>
      <c r="P65" s="393">
        <f t="shared" ca="1" si="2"/>
        <v>1637</v>
      </c>
      <c r="Q65" s="406">
        <f t="shared" ca="1" si="6"/>
        <v>13.641666666666667</v>
      </c>
      <c r="R65" s="328" t="str">
        <f ca="1">VLOOKUP(B65,'Base de Datos'!E65:AR361,33,0)</f>
        <v>TERMINO</v>
      </c>
      <c r="S65" s="331" t="str">
        <f t="shared" ca="1" si="3"/>
        <v>NO</v>
      </c>
      <c r="T65" s="328" t="str">
        <f t="shared" ca="1" si="4"/>
        <v>Liquidar</v>
      </c>
      <c r="U65" s="328">
        <f>VLOOKUP(B65,'Base de Datos'!$E$7:$AR$401,38,0)</f>
        <v>41982</v>
      </c>
    </row>
    <row r="66" spans="1:21" ht="23.25" customHeight="1" thickTop="1" thickBot="1" x14ac:dyDescent="0.3">
      <c r="A66" s="108">
        <v>60</v>
      </c>
      <c r="B66" s="328" t="str">
        <f>+'Base de Datos'!E66</f>
        <v>120000-406-0-2012</v>
      </c>
      <c r="C66" s="328" t="str">
        <f>+'Base de Datos'!F66</f>
        <v>GRUPO EDITORIAL EL PERIÓDICO S.A.S</v>
      </c>
      <c r="D66" s="329">
        <f>+'Base de Datos'!I66</f>
        <v>810000</v>
      </c>
      <c r="E66" s="330">
        <f>+'Base de Datos'!M66</f>
        <v>41193</v>
      </c>
      <c r="F66" s="330">
        <f>+'Base de Datos'!N66</f>
        <v>41558</v>
      </c>
      <c r="G66" s="330">
        <f>+'Base de Datos'!T66</f>
        <v>41558</v>
      </c>
      <c r="H66" s="329">
        <f>+'Base de Datos'!U66</f>
        <v>810000</v>
      </c>
      <c r="I66" s="331" t="str">
        <f>IF(VLOOKUP(B66,'Base de Datos'!$E$7:$S$303,11,0),"SI","NO")</f>
        <v>NO</v>
      </c>
      <c r="J66" s="332" t="str">
        <f t="shared" si="0"/>
        <v/>
      </c>
      <c r="K66" s="331" t="str">
        <f>IF(VLOOKUP(B66,'Base de Datos'!$E$7:$S$303,11,0),"SI","NO")</f>
        <v>NO</v>
      </c>
      <c r="L66" s="332" t="str">
        <f t="shared" si="1"/>
        <v/>
      </c>
      <c r="M66" s="332">
        <f>VLOOKUP(B66,'Base de Datos'!$E$7:$Z$303,21,0)</f>
        <v>1</v>
      </c>
      <c r="N66" s="394" t="str">
        <f t="shared" ca="1" si="5"/>
        <v/>
      </c>
      <c r="O66" s="332">
        <f ca="1">VLOOKUP(B66,'Base de Datos'!$E$7:$Z$303,22,0)</f>
        <v>1</v>
      </c>
      <c r="P66" s="393">
        <f t="shared" ca="1" si="2"/>
        <v>1560</v>
      </c>
      <c r="Q66" s="406">
        <f t="shared" ca="1" si="6"/>
        <v>13</v>
      </c>
      <c r="R66" s="328" t="str">
        <f ca="1">VLOOKUP(B66,'Base de Datos'!E66:AR362,33,0)</f>
        <v>TERMINO</v>
      </c>
      <c r="S66" s="331" t="str">
        <f t="shared" ca="1" si="3"/>
        <v>NO</v>
      </c>
      <c r="T66" s="328" t="str">
        <f t="shared" ca="1" si="4"/>
        <v>Liquidar</v>
      </c>
      <c r="U66" s="328">
        <f>VLOOKUP(B66,'Base de Datos'!$E$7:$AR$401,38,0)</f>
        <v>0</v>
      </c>
    </row>
    <row r="67" spans="1:21" ht="23.25" customHeight="1" thickTop="1" thickBot="1" x14ac:dyDescent="0.3">
      <c r="A67" s="108">
        <v>61</v>
      </c>
      <c r="B67" s="328" t="str">
        <f>+'Base de Datos'!E67</f>
        <v>120000-416-0-2012</v>
      </c>
      <c r="C67" s="328" t="str">
        <f>+'Base de Datos'!F67</f>
        <v xml:space="preserve">COMPAÑÍA COLOMBIANA DE CONSTRUCCIÓN COD S.A. </v>
      </c>
      <c r="D67" s="329">
        <f>+'Base de Datos'!I67</f>
        <v>299287875</v>
      </c>
      <c r="E67" s="330">
        <f>+'Base de Datos'!M67</f>
        <v>41208</v>
      </c>
      <c r="F67" s="330">
        <f>+'Base de Datos'!N67</f>
        <v>41451</v>
      </c>
      <c r="G67" s="330">
        <f>+'Base de Datos'!T67</f>
        <v>41451</v>
      </c>
      <c r="H67" s="329">
        <f>+'Base de Datos'!U67</f>
        <v>299287875</v>
      </c>
      <c r="I67" s="331" t="str">
        <f>IF(VLOOKUP(B67,'Base de Datos'!$E$7:$S$303,11,0),"SI","NO")</f>
        <v>NO</v>
      </c>
      <c r="J67" s="332" t="str">
        <f t="shared" si="0"/>
        <v/>
      </c>
      <c r="K67" s="331" t="str">
        <f>IF(VLOOKUP(B67,'Base de Datos'!$E$7:$S$303,11,0),"SI","NO")</f>
        <v>NO</v>
      </c>
      <c r="L67" s="332" t="str">
        <f t="shared" si="1"/>
        <v/>
      </c>
      <c r="M67" s="332">
        <f>VLOOKUP(B67,'Base de Datos'!$E$7:$Z$303,21,0)</f>
        <v>0.53742565080526572</v>
      </c>
      <c r="N67" s="394" t="str">
        <f t="shared" ca="1" si="5"/>
        <v/>
      </c>
      <c r="O67" s="332">
        <f ca="1">VLOOKUP(B67,'Base de Datos'!$E$7:$Z$303,22,0)</f>
        <v>1</v>
      </c>
      <c r="P67" s="393">
        <f t="shared" ca="1" si="2"/>
        <v>1667</v>
      </c>
      <c r="Q67" s="406">
        <f t="shared" ca="1" si="6"/>
        <v>13.891666666666667</v>
      </c>
      <c r="R67" s="328" t="str">
        <f ca="1">VLOOKUP(B67,'Base de Datos'!E67:AR363,33,0)</f>
        <v>TERMINO</v>
      </c>
      <c r="S67" s="331" t="str">
        <f t="shared" ca="1" si="3"/>
        <v>NO</v>
      </c>
      <c r="T67" s="328" t="str">
        <f t="shared" ca="1" si="4"/>
        <v>Liquidar</v>
      </c>
      <c r="U67" s="328">
        <f>VLOOKUP(B67,'Base de Datos'!$E$7:$AR$401,38,0)</f>
        <v>41799</v>
      </c>
    </row>
    <row r="68" spans="1:21" ht="23.25" customHeight="1" thickTop="1" thickBot="1" x14ac:dyDescent="0.3">
      <c r="A68" s="108">
        <v>62</v>
      </c>
      <c r="B68" s="328" t="str">
        <f>+'Base de Datos'!E68</f>
        <v>120000-420-0-2012</v>
      </c>
      <c r="C68" s="328" t="str">
        <f>+'Base de Datos'!F68</f>
        <v xml:space="preserve">MEDIDORES TÉCNICA EQUIPOS S.A. </v>
      </c>
      <c r="D68" s="329">
        <f>+'Base de Datos'!I68</f>
        <v>1392000</v>
      </c>
      <c r="E68" s="330">
        <f>+'Base de Datos'!M68</f>
        <v>41242</v>
      </c>
      <c r="F68" s="330">
        <f>+'Base de Datos'!N68</f>
        <v>41303</v>
      </c>
      <c r="G68" s="330">
        <f>+'Base de Datos'!T68</f>
        <v>41534</v>
      </c>
      <c r="H68" s="329">
        <f>+'Base de Datos'!U68</f>
        <v>1392000</v>
      </c>
      <c r="I68" s="331" t="str">
        <f>IF(VLOOKUP(B68,'Base de Datos'!$E$7:$S$303,11,0),"SI","NO")</f>
        <v>NO</v>
      </c>
      <c r="J68" s="332" t="str">
        <f t="shared" si="0"/>
        <v/>
      </c>
      <c r="K68" s="331" t="str">
        <f>IF(VLOOKUP(B68,'Base de Datos'!$E$7:$S$303,11,0),"SI","NO")</f>
        <v>NO</v>
      </c>
      <c r="L68" s="332" t="str">
        <f t="shared" si="1"/>
        <v/>
      </c>
      <c r="M68" s="332">
        <f>VLOOKUP(B68,'Base de Datos'!$E$7:$Z$303,21,0)</f>
        <v>0</v>
      </c>
      <c r="N68" s="394" t="str">
        <f t="shared" ca="1" si="5"/>
        <v/>
      </c>
      <c r="O68" s="332">
        <f ca="1">VLOOKUP(B68,'Base de Datos'!$E$7:$Z$303,22,0)</f>
        <v>1</v>
      </c>
      <c r="P68" s="393">
        <f t="shared" ca="1" si="2"/>
        <v>1584</v>
      </c>
      <c r="Q68" s="406">
        <f t="shared" ca="1" si="6"/>
        <v>13.2</v>
      </c>
      <c r="R68" s="328" t="str">
        <f ca="1">VLOOKUP(B68,'Base de Datos'!E68:AR364,33,0)</f>
        <v>TERMINO</v>
      </c>
      <c r="S68" s="331" t="str">
        <f t="shared" ca="1" si="3"/>
        <v>NO</v>
      </c>
      <c r="T68" s="328" t="str">
        <f t="shared" ca="1" si="4"/>
        <v>Liquidar</v>
      </c>
      <c r="U68" s="328">
        <f>VLOOKUP(B68,'Base de Datos'!$E$7:$AR$401,38,0)</f>
        <v>0</v>
      </c>
    </row>
    <row r="69" spans="1:21" ht="23.25" customHeight="1" thickTop="1" thickBot="1" x14ac:dyDescent="0.3">
      <c r="A69" s="108">
        <v>63</v>
      </c>
      <c r="B69" s="328" t="str">
        <f>+'Base de Datos'!E69</f>
        <v>120000-425-0-2012</v>
      </c>
      <c r="C69" s="328" t="str">
        <f>+'Base de Datos'!F69</f>
        <v>INDUARCHIVOS LTDA</v>
      </c>
      <c r="D69" s="329">
        <f>+'Base de Datos'!I69</f>
        <v>4056000</v>
      </c>
      <c r="E69" s="330">
        <f>+'Base de Datos'!M69</f>
        <v>41208</v>
      </c>
      <c r="F69" s="330">
        <f>+'Base de Datos'!N69</f>
        <v>41390</v>
      </c>
      <c r="G69" s="330">
        <f>+'Base de Datos'!T69</f>
        <v>41390</v>
      </c>
      <c r="H69" s="329">
        <f>+'Base de Datos'!U69</f>
        <v>4056000</v>
      </c>
      <c r="I69" s="331" t="str">
        <f>IF(VLOOKUP(B69,'Base de Datos'!$E$7:$S$303,11,0),"SI","NO")</f>
        <v>NO</v>
      </c>
      <c r="J69" s="332" t="str">
        <f t="shared" si="0"/>
        <v/>
      </c>
      <c r="K69" s="331" t="str">
        <f>IF(VLOOKUP(B69,'Base de Datos'!$E$7:$S$303,11,0),"SI","NO")</f>
        <v>NO</v>
      </c>
      <c r="L69" s="332" t="str">
        <f t="shared" si="1"/>
        <v/>
      </c>
      <c r="M69" s="332">
        <f>VLOOKUP(B69,'Base de Datos'!$E$7:$Z$303,21,0)</f>
        <v>1</v>
      </c>
      <c r="N69" s="394" t="str">
        <f t="shared" ca="1" si="5"/>
        <v/>
      </c>
      <c r="O69" s="332">
        <f ca="1">VLOOKUP(B69,'Base de Datos'!$E$7:$Z$303,22,0)</f>
        <v>1</v>
      </c>
      <c r="P69" s="393">
        <f t="shared" ca="1" si="2"/>
        <v>1728</v>
      </c>
      <c r="Q69" s="406">
        <f t="shared" ca="1" si="6"/>
        <v>14.4</v>
      </c>
      <c r="R69" s="328" t="str">
        <f ca="1">VLOOKUP(B69,'Base de Datos'!E69:AR365,33,0)</f>
        <v>TERMINO</v>
      </c>
      <c r="S69" s="331" t="str">
        <f t="shared" ca="1" si="3"/>
        <v>NO</v>
      </c>
      <c r="T69" s="328" t="str">
        <f t="shared" ca="1" si="4"/>
        <v>Liquidar</v>
      </c>
      <c r="U69" s="328">
        <f>VLOOKUP(B69,'Base de Datos'!$E$7:$AR$401,38,0)</f>
        <v>42303</v>
      </c>
    </row>
    <row r="70" spans="1:21" ht="23.25" customHeight="1" thickTop="1" thickBot="1" x14ac:dyDescent="0.3">
      <c r="A70" s="108">
        <v>64</v>
      </c>
      <c r="B70" s="328" t="str">
        <f>+'Base de Datos'!E70</f>
        <v>120000-442-0-2012</v>
      </c>
      <c r="C70" s="328" t="str">
        <f>+'Base de Datos'!F70</f>
        <v>UNIÓN TEMPORAL VISE - VIGILANCIA ACOSTA - COSERVICREA - RUMBO</v>
      </c>
      <c r="D70" s="329">
        <f>+'Base de Datos'!I70</f>
        <v>431745000</v>
      </c>
      <c r="E70" s="330">
        <f>+'Base de Datos'!M70</f>
        <v>41214</v>
      </c>
      <c r="F70" s="330">
        <f>+'Base de Datos'!N70</f>
        <v>41518</v>
      </c>
      <c r="G70" s="330">
        <f>+'Base de Datos'!T70</f>
        <v>41579</v>
      </c>
      <c r="H70" s="329">
        <f>+'Base de Datos'!U70</f>
        <v>526745000</v>
      </c>
      <c r="I70" s="331" t="str">
        <f>IF(VLOOKUP(B70,'Base de Datos'!$E$7:$S$303,11,0),"SI","NO")</f>
        <v>SI</v>
      </c>
      <c r="J70" s="332">
        <f t="shared" si="0"/>
        <v>0.20065789473684212</v>
      </c>
      <c r="K70" s="331" t="str">
        <f>IF(VLOOKUP(B70,'Base de Datos'!$E$7:$S$303,11,0),"SI","NO")</f>
        <v>SI</v>
      </c>
      <c r="L70" s="332">
        <f t="shared" si="1"/>
        <v>0.22003729053028986</v>
      </c>
      <c r="M70" s="332">
        <f>VLOOKUP(B70,'Base de Datos'!$E$7:$Z$303,21,0)</f>
        <v>1</v>
      </c>
      <c r="N70" s="394" t="str">
        <f t="shared" ca="1" si="5"/>
        <v/>
      </c>
      <c r="O70" s="332">
        <f ca="1">VLOOKUP(B70,'Base de Datos'!$E$7:$Z$303,22,0)</f>
        <v>1</v>
      </c>
      <c r="P70" s="393">
        <f t="shared" ca="1" si="2"/>
        <v>1539</v>
      </c>
      <c r="Q70" s="406">
        <f t="shared" ca="1" si="6"/>
        <v>12.824999999999999</v>
      </c>
      <c r="R70" s="328" t="str">
        <f ca="1">VLOOKUP(B70,'Base de Datos'!E70:AR366,33,0)</f>
        <v>TERMINO</v>
      </c>
      <c r="S70" s="331" t="str">
        <f t="shared" ca="1" si="3"/>
        <v>NO</v>
      </c>
      <c r="T70" s="328" t="str">
        <f t="shared" ca="1" si="4"/>
        <v>Liquidar</v>
      </c>
      <c r="U70" s="328">
        <f>VLOOKUP(B70,'Base de Datos'!$E$7:$AR$401,38,0)</f>
        <v>0</v>
      </c>
    </row>
    <row r="71" spans="1:21" ht="23.25" customHeight="1" thickTop="1" thickBot="1" x14ac:dyDescent="0.3">
      <c r="A71" s="108">
        <v>65</v>
      </c>
      <c r="B71" s="328" t="str">
        <f>+'Base de Datos'!E71</f>
        <v>120000-451-0-2012</v>
      </c>
      <c r="C71" s="328" t="str">
        <f>+'Base de Datos'!F71</f>
        <v>CAJA DE COMPENSACIÓN FAMILIAR COMPENSAR - BIENESTAR</v>
      </c>
      <c r="D71" s="329">
        <f>+'Base de Datos'!I71</f>
        <v>407400000</v>
      </c>
      <c r="E71" s="330">
        <f>+'Base de Datos'!M71</f>
        <v>41232</v>
      </c>
      <c r="F71" s="330">
        <f>+'Base de Datos'!N71</f>
        <v>41383</v>
      </c>
      <c r="G71" s="330">
        <f>+'Base de Datos'!T71</f>
        <v>41562</v>
      </c>
      <c r="H71" s="329">
        <f>+'Base de Datos'!U71</f>
        <v>619289880</v>
      </c>
      <c r="I71" s="331" t="str">
        <f>IF(VLOOKUP(B71,'Base de Datos'!$E$7:$S$303,11,0),"SI","NO")</f>
        <v>SI</v>
      </c>
      <c r="J71" s="332">
        <f t="shared" ref="J71:J134" si="7">IF(I71=$AB$7,((G71-F71)*100%)/(F71-E71),"")</f>
        <v>1.185430463576159</v>
      </c>
      <c r="K71" s="331" t="str">
        <f>IF(VLOOKUP(B71,'Base de Datos'!$E$7:$S$303,11,0),"SI","NO")</f>
        <v>SI</v>
      </c>
      <c r="L71" s="332">
        <f t="shared" ref="L71:L134" si="8">IF(K71=$AB$7,((H71-D71)*100%)/(D71),"")</f>
        <v>0.52010279823269512</v>
      </c>
      <c r="M71" s="332">
        <f>VLOOKUP(B71,'Base de Datos'!$E$7:$Z$303,21,0)</f>
        <v>1</v>
      </c>
      <c r="N71" s="394" t="str">
        <f t="shared" ca="1" si="5"/>
        <v/>
      </c>
      <c r="O71" s="332">
        <f ca="1">VLOOKUP(B71,'Base de Datos'!$E$7:$Z$303,22,0)</f>
        <v>1</v>
      </c>
      <c r="P71" s="393">
        <f t="shared" ref="P71:P134" ca="1" si="9">IF(R71=$AC$7,"",IFERROR(IF(R71=$AC$8,"",($C$5-G71)),""))</f>
        <v>1556</v>
      </c>
      <c r="Q71" s="406">
        <f t="shared" ca="1" si="6"/>
        <v>12.966666666666667</v>
      </c>
      <c r="R71" s="328" t="str">
        <f ca="1">VLOOKUP(B71,'Base de Datos'!E71:AR367,33,0)</f>
        <v>TERMINO</v>
      </c>
      <c r="S71" s="331" t="str">
        <f t="shared" ref="S71:S134" ca="1" si="10">IF((TODAY()-G71&lt;900),"SI","NO")</f>
        <v>NO</v>
      </c>
      <c r="T71" s="328" t="str">
        <f t="shared" ref="T71:T134" ca="1" si="11">IF(R71=$AC$8,"",IF(O71=100%,"Liquidar",IF(R71=$AC$7,"Supervisar","")))</f>
        <v>Liquidar</v>
      </c>
      <c r="U71" s="328">
        <f>VLOOKUP(B71,'Base de Datos'!$E$7:$AR$401,38,0)</f>
        <v>42017</v>
      </c>
    </row>
    <row r="72" spans="1:21" ht="23.25" customHeight="1" thickTop="1" thickBot="1" x14ac:dyDescent="0.3">
      <c r="A72" s="108">
        <v>66</v>
      </c>
      <c r="B72" s="328" t="str">
        <f>+'Base de Datos'!E72</f>
        <v>120000-456-0-2012</v>
      </c>
      <c r="C72" s="328" t="str">
        <f>+'Base de Datos'!F72</f>
        <v>MIGUEL ANDRÉS GUTIÉRREZ ROMERO</v>
      </c>
      <c r="D72" s="329">
        <f>+'Base de Datos'!I72</f>
        <v>37359000</v>
      </c>
      <c r="E72" s="330">
        <f>+'Base de Datos'!M72</f>
        <v>41234</v>
      </c>
      <c r="F72" s="330">
        <f>+'Base de Datos'!N72</f>
        <v>41446</v>
      </c>
      <c r="G72" s="330">
        <f>+'Base de Datos'!T72</f>
        <v>41446</v>
      </c>
      <c r="H72" s="329">
        <f>+'Base de Datos'!U72</f>
        <v>37359000</v>
      </c>
      <c r="I72" s="331" t="str">
        <f>IF(VLOOKUP(B72,'Base de Datos'!$E$7:$S$303,11,0),"SI","NO")</f>
        <v>NO</v>
      </c>
      <c r="J72" s="332" t="str">
        <f t="shared" si="7"/>
        <v/>
      </c>
      <c r="K72" s="331" t="str">
        <f>IF(VLOOKUP(B72,'Base de Datos'!$E$7:$S$303,11,0),"SI","NO")</f>
        <v>NO</v>
      </c>
      <c r="L72" s="332" t="str">
        <f t="shared" si="8"/>
        <v/>
      </c>
      <c r="M72" s="332">
        <f>VLOOKUP(B72,'Base de Datos'!$E$7:$Z$303,21,0)</f>
        <v>1</v>
      </c>
      <c r="N72" s="394" t="str">
        <f t="shared" ref="N72:N135" ca="1" si="12">IF(G72&lt;TODAY(),"",G72-TODAY())</f>
        <v/>
      </c>
      <c r="O72" s="332">
        <f ca="1">VLOOKUP(B72,'Base de Datos'!$E$7:$Z$303,22,0)</f>
        <v>1</v>
      </c>
      <c r="P72" s="393">
        <f t="shared" ca="1" si="9"/>
        <v>1672</v>
      </c>
      <c r="Q72" s="406">
        <f t="shared" ref="Q72:Q135" ca="1" si="13">IF(P72=0,"",(P72*100%)/120)</f>
        <v>13.933333333333334</v>
      </c>
      <c r="R72" s="328" t="str">
        <f ca="1">VLOOKUP(B72,'Base de Datos'!E72:AR368,33,0)</f>
        <v>TERMINO</v>
      </c>
      <c r="S72" s="331" t="str">
        <f t="shared" ca="1" si="10"/>
        <v>NO</v>
      </c>
      <c r="T72" s="328" t="str">
        <f t="shared" ca="1" si="11"/>
        <v>Liquidar</v>
      </c>
      <c r="U72" s="328">
        <f>VLOOKUP(B72,'Base de Datos'!$E$7:$AR$401,38,0)</f>
        <v>42234</v>
      </c>
    </row>
    <row r="73" spans="1:21" ht="23.25" customHeight="1" thickTop="1" thickBot="1" x14ac:dyDescent="0.3">
      <c r="A73" s="108">
        <v>67</v>
      </c>
      <c r="B73" s="328" t="str">
        <f>+'Base de Datos'!E73</f>
        <v>120000-464-0-2012</v>
      </c>
      <c r="C73" s="328" t="str">
        <f>+'Base de Datos'!F73</f>
        <v>CR TROFEOS LTDA</v>
      </c>
      <c r="D73" s="329">
        <f>+'Base de Datos'!I73</f>
        <v>20358000</v>
      </c>
      <c r="E73" s="330">
        <f>+'Base de Datos'!M73</f>
        <v>41240</v>
      </c>
      <c r="F73" s="330">
        <f>+'Base de Datos'!N73</f>
        <v>41421</v>
      </c>
      <c r="G73" s="330">
        <f>+'Base de Datos'!T73</f>
        <v>41452</v>
      </c>
      <c r="H73" s="329">
        <f>+'Base de Datos'!U73</f>
        <v>28420000</v>
      </c>
      <c r="I73" s="331" t="str">
        <f>IF(VLOOKUP(B73,'Base de Datos'!$E$7:$S$303,11,0),"SI","NO")</f>
        <v>SI</v>
      </c>
      <c r="J73" s="332">
        <f t="shared" si="7"/>
        <v>0.17127071823204421</v>
      </c>
      <c r="K73" s="331" t="str">
        <f>IF(VLOOKUP(B73,'Base de Datos'!$E$7:$S$303,11,0),"SI","NO")</f>
        <v>SI</v>
      </c>
      <c r="L73" s="332">
        <f t="shared" si="8"/>
        <v>0.39601139601139601</v>
      </c>
      <c r="M73" s="332">
        <f>VLOOKUP(B73,'Base de Datos'!$E$7:$Z$303,21,0)</f>
        <v>0.99857142857142855</v>
      </c>
      <c r="N73" s="394" t="str">
        <f t="shared" ca="1" si="12"/>
        <v/>
      </c>
      <c r="O73" s="332">
        <f ca="1">VLOOKUP(B73,'Base de Datos'!$E$7:$Z$303,22,0)</f>
        <v>1</v>
      </c>
      <c r="P73" s="393">
        <f t="shared" ca="1" si="9"/>
        <v>1666</v>
      </c>
      <c r="Q73" s="406">
        <f t="shared" ca="1" si="13"/>
        <v>13.883333333333333</v>
      </c>
      <c r="R73" s="328" t="str">
        <f ca="1">VLOOKUP(B73,'Base de Datos'!E73:AR369,33,0)</f>
        <v>TERMINO</v>
      </c>
      <c r="S73" s="331" t="str">
        <f t="shared" ca="1" si="10"/>
        <v>NO</v>
      </c>
      <c r="T73" s="328" t="str">
        <f t="shared" ca="1" si="11"/>
        <v>Liquidar</v>
      </c>
      <c r="U73" s="328">
        <f>VLOOKUP(B73,'Base de Datos'!$E$7:$AR$401,38,0)</f>
        <v>42107</v>
      </c>
    </row>
    <row r="74" spans="1:21" ht="23.25" customHeight="1" thickTop="1" thickBot="1" x14ac:dyDescent="0.3">
      <c r="A74" s="108">
        <v>68</v>
      </c>
      <c r="B74" s="328" t="str">
        <f>+'Base de Datos'!E74</f>
        <v>120000-466-0-2012</v>
      </c>
      <c r="C74" s="328" t="str">
        <f>+'Base de Datos'!F74</f>
        <v>JARDÍN BOTÁNICO</v>
      </c>
      <c r="D74" s="329">
        <f>+'Base de Datos'!I74</f>
        <v>6388708</v>
      </c>
      <c r="E74" s="330">
        <f>+'Base de Datos'!M74</f>
        <v>41248</v>
      </c>
      <c r="F74" s="330">
        <f>+'Base de Datos'!N74</f>
        <v>41500</v>
      </c>
      <c r="G74" s="330">
        <f>+'Base de Datos'!T74</f>
        <v>41580</v>
      </c>
      <c r="H74" s="329">
        <f>+'Base de Datos'!U74</f>
        <v>9037264</v>
      </c>
      <c r="I74" s="331" t="str">
        <f>IF(VLOOKUP(B74,'Base de Datos'!$E$7:$S$303,11,0),"SI","NO")</f>
        <v>SI</v>
      </c>
      <c r="J74" s="332">
        <f t="shared" si="7"/>
        <v>0.31746031746031744</v>
      </c>
      <c r="K74" s="331" t="str">
        <f>IF(VLOOKUP(B74,'Base de Datos'!$E$7:$S$303,11,0),"SI","NO")</f>
        <v>SI</v>
      </c>
      <c r="L74" s="332">
        <f t="shared" si="8"/>
        <v>0.41456832899547136</v>
      </c>
      <c r="M74" s="332">
        <f>VLOOKUP(B74,'Base de Datos'!$E$7:$Z$303,21,0)</f>
        <v>0.82905844069621071</v>
      </c>
      <c r="N74" s="394" t="str">
        <f t="shared" ca="1" si="12"/>
        <v/>
      </c>
      <c r="O74" s="332">
        <f ca="1">VLOOKUP(B74,'Base de Datos'!$E$7:$Z$303,22,0)</f>
        <v>1</v>
      </c>
      <c r="P74" s="393">
        <f t="shared" ca="1" si="9"/>
        <v>1538</v>
      </c>
      <c r="Q74" s="406">
        <f t="shared" ca="1" si="13"/>
        <v>12.816666666666666</v>
      </c>
      <c r="R74" s="328" t="str">
        <f ca="1">VLOOKUP(B74,'Base de Datos'!E74:AR370,33,0)</f>
        <v>TERMINO</v>
      </c>
      <c r="S74" s="331" t="str">
        <f t="shared" ca="1" si="10"/>
        <v>NO</v>
      </c>
      <c r="T74" s="328" t="str">
        <f t="shared" ca="1" si="11"/>
        <v>Liquidar</v>
      </c>
      <c r="U74" s="328">
        <f>VLOOKUP(B74,'Base de Datos'!$E$7:$AR$401,38,0)</f>
        <v>42278</v>
      </c>
    </row>
    <row r="75" spans="1:21" ht="23.25" customHeight="1" thickTop="1" thickBot="1" x14ac:dyDescent="0.3">
      <c r="A75" s="108">
        <v>69</v>
      </c>
      <c r="B75" s="328" t="str">
        <f>+'Base de Datos'!E75</f>
        <v>120000-478-0-2012</v>
      </c>
      <c r="C75" s="328" t="str">
        <f>+'Base de Datos'!F75</f>
        <v>CAJA COLOMBIANA DE SUBSIDIO FAMILIAR - COLSUBSIDIO - BONOS</v>
      </c>
      <c r="D75" s="329">
        <f>+'Base de Datos'!I75</f>
        <v>58300000</v>
      </c>
      <c r="E75" s="330">
        <f>+'Base de Datos'!M75</f>
        <v>41260</v>
      </c>
      <c r="F75" s="330">
        <f>+'Base de Datos'!N75</f>
        <v>41322</v>
      </c>
      <c r="G75" s="330">
        <f>+'Base de Datos'!T75</f>
        <v>41322</v>
      </c>
      <c r="H75" s="329">
        <f>+'Base de Datos'!U75</f>
        <v>58300000</v>
      </c>
      <c r="I75" s="331" t="str">
        <f>IF(VLOOKUP(B75,'Base de Datos'!$E$7:$S$303,11,0),"SI","NO")</f>
        <v>NO</v>
      </c>
      <c r="J75" s="332" t="str">
        <f t="shared" si="7"/>
        <v/>
      </c>
      <c r="K75" s="331" t="str">
        <f>IF(VLOOKUP(B75,'Base de Datos'!$E$7:$S$303,11,0),"SI","NO")</f>
        <v>NO</v>
      </c>
      <c r="L75" s="332" t="str">
        <f t="shared" si="8"/>
        <v/>
      </c>
      <c r="M75" s="332">
        <f>VLOOKUP(B75,'Base de Datos'!$E$7:$Z$303,21,0)</f>
        <v>1</v>
      </c>
      <c r="N75" s="394" t="str">
        <f t="shared" ca="1" si="12"/>
        <v/>
      </c>
      <c r="O75" s="332">
        <f ca="1">VLOOKUP(B75,'Base de Datos'!$E$7:$Z$303,22,0)</f>
        <v>1</v>
      </c>
      <c r="P75" s="393">
        <f t="shared" ca="1" si="9"/>
        <v>1796</v>
      </c>
      <c r="Q75" s="406">
        <f t="shared" ca="1" si="13"/>
        <v>14.966666666666667</v>
      </c>
      <c r="R75" s="328" t="str">
        <f ca="1">VLOOKUP(B75,'Base de Datos'!E75:AR371,33,0)</f>
        <v>TERMINO</v>
      </c>
      <c r="S75" s="331" t="str">
        <f t="shared" ca="1" si="10"/>
        <v>NO</v>
      </c>
      <c r="T75" s="328" t="str">
        <f t="shared" ca="1" si="11"/>
        <v>Liquidar</v>
      </c>
      <c r="U75" s="328">
        <f>VLOOKUP(B75,'Base de Datos'!$E$7:$AR$401,38,0)</f>
        <v>42121</v>
      </c>
    </row>
    <row r="76" spans="1:21" ht="23.25" customHeight="1" thickTop="1" thickBot="1" x14ac:dyDescent="0.3">
      <c r="A76" s="108">
        <v>70</v>
      </c>
      <c r="B76" s="328" t="str">
        <f>+'Base de Datos'!E76</f>
        <v>120000-483-0-2012</v>
      </c>
      <c r="C76" s="328" t="str">
        <f>+'Base de Datos'!F76</f>
        <v>SERVIMEDIOS LTDA</v>
      </c>
      <c r="D76" s="329">
        <f>+'Base de Datos'!I76</f>
        <v>293000000</v>
      </c>
      <c r="E76" s="330">
        <f>+'Base de Datos'!M76</f>
        <v>41269</v>
      </c>
      <c r="F76" s="330">
        <f>+'Base de Datos'!N76</f>
        <v>41451</v>
      </c>
      <c r="G76" s="330">
        <f>+'Base de Datos'!T76</f>
        <v>41593</v>
      </c>
      <c r="H76" s="329">
        <f>+'Base de Datos'!U76</f>
        <v>411000000</v>
      </c>
      <c r="I76" s="331" t="str">
        <f>IF(VLOOKUP(B76,'Base de Datos'!$E$7:$S$303,11,0),"SI","NO")</f>
        <v>SI</v>
      </c>
      <c r="J76" s="332">
        <f t="shared" si="7"/>
        <v>0.78021978021978022</v>
      </c>
      <c r="K76" s="331" t="str">
        <f>IF(VLOOKUP(B76,'Base de Datos'!$E$7:$S$303,11,0),"SI","NO")</f>
        <v>SI</v>
      </c>
      <c r="L76" s="332">
        <f t="shared" si="8"/>
        <v>0.40273037542662116</v>
      </c>
      <c r="M76" s="332">
        <f>VLOOKUP(B76,'Base de Datos'!$E$7:$Z$303,21,0)</f>
        <v>1</v>
      </c>
      <c r="N76" s="394" t="str">
        <f t="shared" ca="1" si="12"/>
        <v/>
      </c>
      <c r="O76" s="332">
        <f ca="1">VLOOKUP(B76,'Base de Datos'!$E$7:$Z$303,22,0)</f>
        <v>1</v>
      </c>
      <c r="P76" s="393">
        <f t="shared" ca="1" si="9"/>
        <v>1525</v>
      </c>
      <c r="Q76" s="406">
        <f t="shared" ca="1" si="13"/>
        <v>12.708333333333334</v>
      </c>
      <c r="R76" s="328" t="str">
        <f ca="1">VLOOKUP(B76,'Base de Datos'!E76:AR372,33,0)</f>
        <v>TERMINO</v>
      </c>
      <c r="S76" s="331" t="str">
        <f t="shared" ca="1" si="10"/>
        <v>NO</v>
      </c>
      <c r="T76" s="328" t="str">
        <f t="shared" ca="1" si="11"/>
        <v>Liquidar</v>
      </c>
      <c r="U76" s="328">
        <f>VLOOKUP(B76,'Base de Datos'!$E$7:$AR$401,38,0)</f>
        <v>0</v>
      </c>
    </row>
    <row r="77" spans="1:21" ht="23.25" customHeight="1" thickTop="1" thickBot="1" x14ac:dyDescent="0.3">
      <c r="A77" s="108">
        <v>71</v>
      </c>
      <c r="B77" s="328" t="str">
        <f>+'Base de Datos'!E77</f>
        <v>120000-490-0-2012</v>
      </c>
      <c r="C77" s="328" t="str">
        <f>+'Base de Datos'!F77</f>
        <v>SISTEMAS INTEGRALES DE TRATAMIENTOS DE AGUAS LTDA - ACUANATURA</v>
      </c>
      <c r="D77" s="329">
        <f>+'Base de Datos'!I77</f>
        <v>10032000</v>
      </c>
      <c r="E77" s="330">
        <f>+'Base de Datos'!M77</f>
        <v>41271</v>
      </c>
      <c r="F77" s="330">
        <f>+'Base de Datos'!N77</f>
        <v>41514</v>
      </c>
      <c r="G77" s="330">
        <f>+'Base de Datos'!T77</f>
        <v>41575</v>
      </c>
      <c r="H77" s="329">
        <f>+'Base de Datos'!U77</f>
        <v>10032000</v>
      </c>
      <c r="I77" s="331" t="str">
        <f>IF(VLOOKUP(B77,'Base de Datos'!$E$7:$S$303,11,0),"SI","NO")</f>
        <v>NO</v>
      </c>
      <c r="J77" s="332" t="str">
        <f t="shared" si="7"/>
        <v/>
      </c>
      <c r="K77" s="331" t="str">
        <f>IF(VLOOKUP(B77,'Base de Datos'!$E$7:$S$303,11,0),"SI","NO")</f>
        <v>NO</v>
      </c>
      <c r="L77" s="332" t="str">
        <f t="shared" si="8"/>
        <v/>
      </c>
      <c r="M77" s="332">
        <f>VLOOKUP(B77,'Base de Datos'!$E$7:$Z$303,21,0)</f>
        <v>0.93101375598086122</v>
      </c>
      <c r="N77" s="394" t="str">
        <f t="shared" ca="1" si="12"/>
        <v/>
      </c>
      <c r="O77" s="332">
        <f ca="1">VLOOKUP(B77,'Base de Datos'!$E$7:$Z$303,22,0)</f>
        <v>1</v>
      </c>
      <c r="P77" s="393">
        <f t="shared" ca="1" si="9"/>
        <v>1543</v>
      </c>
      <c r="Q77" s="406">
        <f t="shared" ca="1" si="13"/>
        <v>12.858333333333333</v>
      </c>
      <c r="R77" s="328" t="str">
        <f ca="1">VLOOKUP(B77,'Base de Datos'!E77:AR374,33,0)</f>
        <v>TERMINO</v>
      </c>
      <c r="S77" s="331" t="str">
        <f t="shared" ca="1" si="10"/>
        <v>NO</v>
      </c>
      <c r="T77" s="328" t="str">
        <f t="shared" ca="1" si="11"/>
        <v>Liquidar</v>
      </c>
      <c r="U77" s="328">
        <f>VLOOKUP(B77,'Base de Datos'!$E$7:$AR$401,38,0)</f>
        <v>42321</v>
      </c>
    </row>
    <row r="78" spans="1:21" ht="23.25" customHeight="1" thickTop="1" thickBot="1" x14ac:dyDescent="0.3">
      <c r="A78" s="108">
        <v>72</v>
      </c>
      <c r="B78" s="328" t="str">
        <f>+'Base de Datos'!E78</f>
        <v>120000-494-0-2012</v>
      </c>
      <c r="C78" s="328" t="str">
        <f>+'Base de Datos'!F78</f>
        <v>DIRECTV COLOMBIA LTDA</v>
      </c>
      <c r="D78" s="329">
        <f>+'Base de Datos'!I78</f>
        <v>1633200</v>
      </c>
      <c r="E78" s="330">
        <f>+'Base de Datos'!M78</f>
        <v>41288</v>
      </c>
      <c r="F78" s="330">
        <f>+'Base de Datos'!N78</f>
        <v>41652</v>
      </c>
      <c r="G78" s="330">
        <f>+'Base de Datos'!T78</f>
        <v>41711</v>
      </c>
      <c r="H78" s="329">
        <f>+'Base de Datos'!U78</f>
        <v>1918200</v>
      </c>
      <c r="I78" s="331" t="str">
        <f>IF(VLOOKUP(B78,'Base de Datos'!$E$7:$S$303,11,0),"SI","NO")</f>
        <v>SI</v>
      </c>
      <c r="J78" s="332">
        <f t="shared" si="7"/>
        <v>0.16208791208791209</v>
      </c>
      <c r="K78" s="331" t="str">
        <f>IF(VLOOKUP(B78,'Base de Datos'!$E$7:$S$303,11,0),"SI","NO")</f>
        <v>SI</v>
      </c>
      <c r="L78" s="332">
        <f t="shared" si="8"/>
        <v>0.17450404114621601</v>
      </c>
      <c r="M78" s="332">
        <f>VLOOKUP(B78,'Base de Datos'!$E$7:$Z$303,21,0)</f>
        <v>0.91500886247523716</v>
      </c>
      <c r="N78" s="394" t="str">
        <f t="shared" ca="1" si="12"/>
        <v/>
      </c>
      <c r="O78" s="332">
        <f ca="1">VLOOKUP(B78,'Base de Datos'!$E$7:$Z$303,22,0)</f>
        <v>1</v>
      </c>
      <c r="P78" s="393">
        <f t="shared" ca="1" si="9"/>
        <v>1407</v>
      </c>
      <c r="Q78" s="406">
        <f t="shared" ca="1" si="13"/>
        <v>11.725</v>
      </c>
      <c r="R78" s="328" t="str">
        <f ca="1">VLOOKUP(B78,'Base de Datos'!E78:AR375,33,0)</f>
        <v>TERMINO</v>
      </c>
      <c r="S78" s="331" t="str">
        <f t="shared" ca="1" si="10"/>
        <v>NO</v>
      </c>
      <c r="T78" s="328" t="str">
        <f t="shared" ca="1" si="11"/>
        <v>Liquidar</v>
      </c>
      <c r="U78" s="328">
        <f>VLOOKUP(B78,'Base de Datos'!$E$7:$AR$401,38,0)</f>
        <v>0</v>
      </c>
    </row>
    <row r="79" spans="1:21" ht="23.25" customHeight="1" thickTop="1" thickBot="1" x14ac:dyDescent="0.3">
      <c r="A79" s="108">
        <v>73</v>
      </c>
      <c r="B79" s="328" t="str">
        <f>+'Base de Datos'!E79</f>
        <v>130326-0-2013</v>
      </c>
      <c r="C79" s="328" t="str">
        <f>+'Base de Datos'!F79</f>
        <v>INSTITUTO DISTRITAL DEL PATRIMONIO CULTURAL - IDCP</v>
      </c>
      <c r="D79" s="329">
        <f>+'Base de Datos'!I79</f>
        <v>398614000</v>
      </c>
      <c r="E79" s="330">
        <f>+'Base de Datos'!M79</f>
        <v>41864</v>
      </c>
      <c r="F79" s="330">
        <f>+'Base de Datos'!N79</f>
        <v>42107</v>
      </c>
      <c r="G79" s="330">
        <f>+'Base de Datos'!T79</f>
        <v>42321</v>
      </c>
      <c r="H79" s="329">
        <f>+'Base de Datos'!U79</f>
        <v>398614000</v>
      </c>
      <c r="I79" s="331" t="str">
        <f>IF(VLOOKUP(B79,'Base de Datos'!$E$7:$S$303,11,0),"SI","NO")</f>
        <v>NO</v>
      </c>
      <c r="J79" s="332" t="str">
        <f t="shared" si="7"/>
        <v/>
      </c>
      <c r="K79" s="331" t="str">
        <f>IF(VLOOKUP(B79,'Base de Datos'!$E$7:$S$303,11,0),"SI","NO")</f>
        <v>NO</v>
      </c>
      <c r="L79" s="332" t="str">
        <f t="shared" si="8"/>
        <v/>
      </c>
      <c r="M79" s="332">
        <f>VLOOKUP(B79,'Base de Datos'!$E$7:$Z$303,21,0)</f>
        <v>1</v>
      </c>
      <c r="N79" s="394" t="str">
        <f t="shared" ca="1" si="12"/>
        <v/>
      </c>
      <c r="O79" s="332">
        <f ca="1">VLOOKUP(B79,'Base de Datos'!$E$7:$Z$303,22,0)</f>
        <v>1</v>
      </c>
      <c r="P79" s="393">
        <f t="shared" ca="1" si="9"/>
        <v>797</v>
      </c>
      <c r="Q79" s="406">
        <f t="shared" ca="1" si="13"/>
        <v>6.6416666666666666</v>
      </c>
      <c r="R79" s="328" t="str">
        <f ca="1">VLOOKUP(B79,'Base de Datos'!E79:AR376,33,0)</f>
        <v>TERMINO</v>
      </c>
      <c r="S79" s="331" t="str">
        <f t="shared" ca="1" si="10"/>
        <v>SI</v>
      </c>
      <c r="T79" s="328" t="str">
        <f t="shared" ca="1" si="11"/>
        <v>Liquidar</v>
      </c>
      <c r="U79" s="328">
        <f>VLOOKUP(B79,'Base de Datos'!$E$7:$AR$401,38,0)</f>
        <v>0</v>
      </c>
    </row>
    <row r="80" spans="1:21" ht="23.25" customHeight="1" thickTop="1" thickBot="1" x14ac:dyDescent="0.3">
      <c r="A80" s="108">
        <v>74</v>
      </c>
      <c r="B80" s="328" t="str">
        <f>+'Base de Datos'!E80</f>
        <v>120000-521-0-2012</v>
      </c>
      <c r="C80" s="328" t="str">
        <f>+'Base de Datos'!F80</f>
        <v>INFOSOURCES LTDA</v>
      </c>
      <c r="D80" s="329">
        <f>+'Base de Datos'!I80</f>
        <v>1062500</v>
      </c>
      <c r="E80" s="330">
        <f>+'Base de Datos'!M80</f>
        <v>41292</v>
      </c>
      <c r="F80" s="330">
        <f>+'Base de Datos'!N80</f>
        <v>42052</v>
      </c>
      <c r="G80" s="330">
        <f>+'Base de Datos'!T80</f>
        <v>42052</v>
      </c>
      <c r="H80" s="329">
        <f>+'Base de Datos'!U80</f>
        <v>1062500</v>
      </c>
      <c r="I80" s="331" t="str">
        <f>IF(VLOOKUP(B80,'Base de Datos'!$E$7:$S$303,11,0),"SI","NO")</f>
        <v>NO</v>
      </c>
      <c r="J80" s="332" t="str">
        <f t="shared" si="7"/>
        <v/>
      </c>
      <c r="K80" s="331" t="str">
        <f>IF(VLOOKUP(B80,'Base de Datos'!$E$7:$S$303,11,0),"SI","NO")</f>
        <v>NO</v>
      </c>
      <c r="L80" s="332" t="str">
        <f t="shared" si="8"/>
        <v/>
      </c>
      <c r="M80" s="332">
        <f>VLOOKUP(B80,'Base de Datos'!$E$7:$Z$303,21,0)</f>
        <v>1</v>
      </c>
      <c r="N80" s="394" t="str">
        <f t="shared" ca="1" si="12"/>
        <v/>
      </c>
      <c r="O80" s="332">
        <f ca="1">VLOOKUP(B80,'Base de Datos'!$E$7:$Z$303,22,0)</f>
        <v>1</v>
      </c>
      <c r="P80" s="393">
        <f t="shared" ca="1" si="9"/>
        <v>1066</v>
      </c>
      <c r="Q80" s="406">
        <f t="shared" ca="1" si="13"/>
        <v>8.8833333333333329</v>
      </c>
      <c r="R80" s="328" t="str">
        <f ca="1">VLOOKUP(B80,'Base de Datos'!E80:AR377,33,0)</f>
        <v>TERMINO</v>
      </c>
      <c r="S80" s="331" t="str">
        <f t="shared" ca="1" si="10"/>
        <v>NO</v>
      </c>
      <c r="T80" s="328" t="str">
        <f t="shared" ca="1" si="11"/>
        <v>Liquidar</v>
      </c>
      <c r="U80" s="328">
        <f>VLOOKUP(B80,'Base de Datos'!$E$7:$AR$401,38,0)</f>
        <v>0</v>
      </c>
    </row>
    <row r="81" spans="1:21" ht="23.25" customHeight="1" thickTop="1" thickBot="1" x14ac:dyDescent="0.3">
      <c r="A81" s="108">
        <v>75</v>
      </c>
      <c r="B81" s="328" t="str">
        <f>+'Base de Datos'!E81</f>
        <v>120000-523-0-2012</v>
      </c>
      <c r="C81" s="328" t="str">
        <f>+'Base de Datos'!F81</f>
        <v>DB SYSTEM LTDA</v>
      </c>
      <c r="D81" s="329">
        <f>+'Base de Datos'!I81</f>
        <v>80074800</v>
      </c>
      <c r="E81" s="330">
        <f>+'Base de Datos'!M81</f>
        <v>41313</v>
      </c>
      <c r="F81" s="330">
        <f>+'Base de Datos'!N81</f>
        <v>41705</v>
      </c>
      <c r="G81" s="330">
        <f>+'Base de Datos'!T81</f>
        <v>41736</v>
      </c>
      <c r="H81" s="329">
        <f>+'Base de Datos'!U81</f>
        <v>115663600</v>
      </c>
      <c r="I81" s="331" t="str">
        <f>IF(VLOOKUP(B81,'Base de Datos'!$E$7:$S$303,11,0),"SI","NO")</f>
        <v>SI</v>
      </c>
      <c r="J81" s="332">
        <f t="shared" si="7"/>
        <v>7.9081632653061229E-2</v>
      </c>
      <c r="K81" s="331" t="str">
        <f>IF(VLOOKUP(B81,'Base de Datos'!$E$7:$S$303,11,0),"SI","NO")</f>
        <v>SI</v>
      </c>
      <c r="L81" s="332">
        <f t="shared" si="8"/>
        <v>0.44444444444444442</v>
      </c>
      <c r="M81" s="332">
        <f>VLOOKUP(B81,'Base de Datos'!$E$7:$Z$303,21,0)</f>
        <v>0.99999515837307507</v>
      </c>
      <c r="N81" s="394" t="str">
        <f t="shared" ca="1" si="12"/>
        <v/>
      </c>
      <c r="O81" s="332">
        <f ca="1">VLOOKUP(B81,'Base de Datos'!$E$7:$Z$303,22,0)</f>
        <v>1</v>
      </c>
      <c r="P81" s="393">
        <f t="shared" ca="1" si="9"/>
        <v>1382</v>
      </c>
      <c r="Q81" s="406">
        <f t="shared" ca="1" si="13"/>
        <v>11.516666666666667</v>
      </c>
      <c r="R81" s="328" t="str">
        <f ca="1">VLOOKUP(B81,'Base de Datos'!E81:AR378,33,0)</f>
        <v>TERMINO</v>
      </c>
      <c r="S81" s="331" t="str">
        <f t="shared" ca="1" si="10"/>
        <v>NO</v>
      </c>
      <c r="T81" s="328" t="str">
        <f t="shared" ca="1" si="11"/>
        <v>Liquidar</v>
      </c>
      <c r="U81" s="328">
        <f>VLOOKUP(B81,'Base de Datos'!$E$7:$AR$401,38,0)</f>
        <v>42236</v>
      </c>
    </row>
    <row r="82" spans="1:21" ht="23.25" customHeight="1" thickTop="1" thickBot="1" x14ac:dyDescent="0.3">
      <c r="A82" s="108">
        <v>76</v>
      </c>
      <c r="B82" s="328" t="str">
        <f>+'Base de Datos'!E82</f>
        <v>120000-453-0-2012</v>
      </c>
      <c r="C82" s="328" t="str">
        <f>+'Base de Datos'!F82</f>
        <v>HERNANDO  BULLA ORJUELA</v>
      </c>
      <c r="D82" s="329">
        <f>+'Base de Datos'!I82</f>
        <v>13806000</v>
      </c>
      <c r="E82" s="330">
        <f>+'Base de Datos'!M82</f>
        <v>41278</v>
      </c>
      <c r="F82" s="330">
        <f>+'Base de Datos'!N82</f>
        <v>41429</v>
      </c>
      <c r="G82" s="330">
        <f>+'Base de Datos'!T82</f>
        <v>41459</v>
      </c>
      <c r="H82" s="329">
        <f>+'Base de Datos'!U82</f>
        <v>13806000</v>
      </c>
      <c r="I82" s="331" t="str">
        <f>IF(VLOOKUP(B82,'Base de Datos'!$E$7:$S$303,11,0),"SI","NO")</f>
        <v>NO</v>
      </c>
      <c r="J82" s="332" t="str">
        <f t="shared" si="7"/>
        <v/>
      </c>
      <c r="K82" s="331" t="str">
        <f>IF(VLOOKUP(B82,'Base de Datos'!$E$7:$S$303,11,0),"SI","NO")</f>
        <v>NO</v>
      </c>
      <c r="L82" s="332" t="str">
        <f t="shared" si="8"/>
        <v/>
      </c>
      <c r="M82" s="332">
        <f>VLOOKUP(B82,'Base de Datos'!$E$7:$Z$303,21,0)</f>
        <v>0.90099290163696943</v>
      </c>
      <c r="N82" s="394" t="str">
        <f t="shared" ca="1" si="12"/>
        <v/>
      </c>
      <c r="O82" s="332">
        <f ca="1">VLOOKUP(B82,'Base de Datos'!$E$7:$Z$303,22,0)</f>
        <v>1</v>
      </c>
      <c r="P82" s="393">
        <f t="shared" ca="1" si="9"/>
        <v>1659</v>
      </c>
      <c r="Q82" s="406">
        <f t="shared" ca="1" si="13"/>
        <v>13.824999999999999</v>
      </c>
      <c r="R82" s="328" t="str">
        <f ca="1">VLOOKUP(B82,'Base de Datos'!E82:AR379,33,0)</f>
        <v>TERMINO</v>
      </c>
      <c r="S82" s="331" t="str">
        <f t="shared" ca="1" si="10"/>
        <v>NO</v>
      </c>
      <c r="T82" s="328" t="str">
        <f t="shared" ca="1" si="11"/>
        <v>Liquidar</v>
      </c>
      <c r="U82" s="328">
        <f>VLOOKUP(B82,'Base de Datos'!$E$7:$AR$401,38,0)</f>
        <v>42004</v>
      </c>
    </row>
    <row r="83" spans="1:21" ht="23.25" customHeight="1" thickTop="1" thickBot="1" x14ac:dyDescent="0.3">
      <c r="A83" s="108">
        <v>77</v>
      </c>
      <c r="B83" s="328" t="str">
        <f>+'Base de Datos'!E83</f>
        <v>120000-504-0-2012</v>
      </c>
      <c r="C83" s="328" t="str">
        <f>+'Base de Datos'!F83</f>
        <v>PAPELERÍA  LOS  LAGOS  LTDA</v>
      </c>
      <c r="D83" s="329">
        <f>+'Base de Datos'!I83</f>
        <v>59046000</v>
      </c>
      <c r="E83" s="330">
        <f>+'Base de Datos'!M83</f>
        <v>41292</v>
      </c>
      <c r="F83" s="330">
        <f>+'Base de Datos'!N83</f>
        <v>41442</v>
      </c>
      <c r="G83" s="330">
        <f>+'Base de Datos'!T83</f>
        <v>41608</v>
      </c>
      <c r="H83" s="329">
        <f>+'Base de Datos'!U83</f>
        <v>79213111</v>
      </c>
      <c r="I83" s="331" t="str">
        <f>IF(VLOOKUP(B83,'Base de Datos'!$E$7:$S$303,11,0),"SI","NO")</f>
        <v>SI</v>
      </c>
      <c r="J83" s="332">
        <f t="shared" si="7"/>
        <v>1.1066666666666667</v>
      </c>
      <c r="K83" s="331" t="str">
        <f>IF(VLOOKUP(B83,'Base de Datos'!$E$7:$S$303,11,0),"SI","NO")</f>
        <v>SI</v>
      </c>
      <c r="L83" s="332">
        <f t="shared" si="8"/>
        <v>0.34154914812180331</v>
      </c>
      <c r="M83" s="332">
        <f>VLOOKUP(B83,'Base de Datos'!$E$7:$Z$303,21,0)</f>
        <v>0.82220984856913393</v>
      </c>
      <c r="N83" s="394" t="str">
        <f t="shared" ca="1" si="12"/>
        <v/>
      </c>
      <c r="O83" s="332">
        <f ca="1">VLOOKUP(B83,'Base de Datos'!$E$7:$Z$303,22,0)</f>
        <v>1</v>
      </c>
      <c r="P83" s="393">
        <f t="shared" ca="1" si="9"/>
        <v>1510</v>
      </c>
      <c r="Q83" s="406">
        <f t="shared" ca="1" si="13"/>
        <v>12.583333333333334</v>
      </c>
      <c r="R83" s="328" t="str">
        <f ca="1">VLOOKUP(B83,'Base de Datos'!E83:AR380,33,0)</f>
        <v>TERMINO</v>
      </c>
      <c r="S83" s="331" t="str">
        <f t="shared" ca="1" si="10"/>
        <v>NO</v>
      </c>
      <c r="T83" s="328" t="str">
        <f t="shared" ca="1" si="11"/>
        <v>Liquidar</v>
      </c>
      <c r="U83" s="328">
        <f>VLOOKUP(B83,'Base de Datos'!$E$7:$AR$401,38,0)</f>
        <v>42023</v>
      </c>
    </row>
    <row r="84" spans="1:21" ht="23.25" customHeight="1" thickTop="1" thickBot="1" x14ac:dyDescent="0.3">
      <c r="A84" s="108">
        <v>78</v>
      </c>
      <c r="B84" s="328" t="str">
        <f>+'Base de Datos'!E84</f>
        <v>120000-507-0-2012</v>
      </c>
      <c r="C84" s="328" t="str">
        <f>+'Base de Datos'!F84</f>
        <v>CAJA DE COMPENSACIÓN FAMILIAR COMPENSAR</v>
      </c>
      <c r="D84" s="329">
        <f>+'Base de Datos'!I84</f>
        <v>49500000</v>
      </c>
      <c r="E84" s="330">
        <f>+'Base de Datos'!M84</f>
        <v>41325</v>
      </c>
      <c r="F84" s="330">
        <f>+'Base de Datos'!N84</f>
        <v>41505</v>
      </c>
      <c r="G84" s="330">
        <f>+'Base de Datos'!T84</f>
        <v>41505</v>
      </c>
      <c r="H84" s="329">
        <f>+'Base de Datos'!U84</f>
        <v>75246412</v>
      </c>
      <c r="I84" s="331" t="str">
        <f>IF(VLOOKUP(B84,'Base de Datos'!$E$7:$S$303,11,0),"SI","NO")</f>
        <v>SI</v>
      </c>
      <c r="J84" s="332">
        <f t="shared" si="7"/>
        <v>0</v>
      </c>
      <c r="K84" s="331" t="str">
        <f>IF(VLOOKUP(B84,'Base de Datos'!$E$7:$S$303,11,0),"SI","NO")</f>
        <v>SI</v>
      </c>
      <c r="L84" s="332">
        <f t="shared" si="8"/>
        <v>0.52012953535353534</v>
      </c>
      <c r="M84" s="332">
        <f>VLOOKUP(B84,'Base de Datos'!$E$7:$Z$303,21,0)</f>
        <v>0.99981782520075513</v>
      </c>
      <c r="N84" s="394" t="str">
        <f t="shared" ca="1" si="12"/>
        <v/>
      </c>
      <c r="O84" s="332">
        <f ca="1">VLOOKUP(B84,'Base de Datos'!$E$7:$Z$303,22,0)</f>
        <v>1</v>
      </c>
      <c r="P84" s="393">
        <f t="shared" ca="1" si="9"/>
        <v>1613</v>
      </c>
      <c r="Q84" s="406">
        <f t="shared" ca="1" si="13"/>
        <v>13.441666666666666</v>
      </c>
      <c r="R84" s="328" t="str">
        <f ca="1">VLOOKUP(B84,'Base de Datos'!E84:AR381,33,0)</f>
        <v>TERMINO</v>
      </c>
      <c r="S84" s="331" t="str">
        <f t="shared" ca="1" si="10"/>
        <v>NO</v>
      </c>
      <c r="T84" s="328" t="str">
        <f t="shared" ca="1" si="11"/>
        <v>Liquidar</v>
      </c>
      <c r="U84" s="328">
        <f>VLOOKUP(B84,'Base de Datos'!$E$7:$AR$401,38,0)</f>
        <v>42150</v>
      </c>
    </row>
    <row r="85" spans="1:21" ht="23.25" customHeight="1" thickTop="1" thickBot="1" x14ac:dyDescent="0.3">
      <c r="A85" s="108">
        <v>79</v>
      </c>
      <c r="B85" s="328" t="str">
        <f>+'Base de Datos'!E85</f>
        <v>120000-525-0-2012</v>
      </c>
      <c r="C85" s="328" t="str">
        <f>+'Base de Datos'!F85</f>
        <v>GAMMA INGENIEROS S A</v>
      </c>
      <c r="D85" s="329">
        <f>+'Base de Datos'!I85</f>
        <v>36990000</v>
      </c>
      <c r="E85" s="330">
        <f>+'Base de Datos'!M85</f>
        <v>41323</v>
      </c>
      <c r="F85" s="330">
        <f>+'Base de Datos'!N85</f>
        <v>41442</v>
      </c>
      <c r="G85" s="330">
        <f>+'Base de Datos'!T85</f>
        <v>41442</v>
      </c>
      <c r="H85" s="329">
        <f>+'Base de Datos'!U85</f>
        <v>36990000</v>
      </c>
      <c r="I85" s="331" t="str">
        <f>IF(VLOOKUP(B85,'Base de Datos'!$E$7:$S$303,11,0),"SI","NO")</f>
        <v>NO</v>
      </c>
      <c r="J85" s="332" t="str">
        <f t="shared" si="7"/>
        <v/>
      </c>
      <c r="K85" s="331" t="str">
        <f>IF(VLOOKUP(B85,'Base de Datos'!$E$7:$S$303,11,0),"SI","NO")</f>
        <v>NO</v>
      </c>
      <c r="L85" s="332" t="str">
        <f t="shared" si="8"/>
        <v/>
      </c>
      <c r="M85" s="332">
        <f>VLOOKUP(B85,'Base de Datos'!$E$7:$Z$303,21,0)</f>
        <v>1</v>
      </c>
      <c r="N85" s="394" t="str">
        <f t="shared" ca="1" si="12"/>
        <v/>
      </c>
      <c r="O85" s="332">
        <f ca="1">VLOOKUP(B85,'Base de Datos'!$E$7:$Z$303,22,0)</f>
        <v>1</v>
      </c>
      <c r="P85" s="393">
        <f t="shared" ca="1" si="9"/>
        <v>1676</v>
      </c>
      <c r="Q85" s="406">
        <f t="shared" ca="1" si="13"/>
        <v>13.966666666666667</v>
      </c>
      <c r="R85" s="328" t="str">
        <f ca="1">VLOOKUP(B85,'Base de Datos'!E85:AR382,33,0)</f>
        <v>TERMINO</v>
      </c>
      <c r="S85" s="331" t="str">
        <f t="shared" ca="1" si="10"/>
        <v>NO</v>
      </c>
      <c r="T85" s="328" t="str">
        <f t="shared" ca="1" si="11"/>
        <v>Liquidar</v>
      </c>
      <c r="U85" s="328">
        <f>VLOOKUP(B85,'Base de Datos'!$E$7:$AR$401,38,0)</f>
        <v>42249</v>
      </c>
    </row>
    <row r="86" spans="1:21" ht="23.25" customHeight="1" thickTop="1" thickBot="1" x14ac:dyDescent="0.3">
      <c r="A86" s="108">
        <v>80</v>
      </c>
      <c r="B86" s="328" t="str">
        <f>+'Base de Datos'!E86</f>
        <v>120000-535-0-2012</v>
      </c>
      <c r="C86" s="328" t="str">
        <f>+'Base de Datos'!F86</f>
        <v>CONTROLES EMPRESARIALES LTDA</v>
      </c>
      <c r="D86" s="329">
        <f>+'Base de Datos'!I86</f>
        <v>85314724</v>
      </c>
      <c r="E86" s="330">
        <f>+'Base de Datos'!M86</f>
        <v>41316</v>
      </c>
      <c r="F86" s="330">
        <f>+'Base de Datos'!N86</f>
        <v>41680</v>
      </c>
      <c r="G86" s="330">
        <f>+'Base de Datos'!T86</f>
        <v>41680</v>
      </c>
      <c r="H86" s="329">
        <f>+'Base de Datos'!U86</f>
        <v>85314724</v>
      </c>
      <c r="I86" s="331" t="str">
        <f>IF(VLOOKUP(B86,'Base de Datos'!$E$7:$S$303,11,0),"SI","NO")</f>
        <v>NO</v>
      </c>
      <c r="J86" s="332" t="str">
        <f t="shared" si="7"/>
        <v/>
      </c>
      <c r="K86" s="331" t="str">
        <f>IF(VLOOKUP(B86,'Base de Datos'!$E$7:$S$303,11,0),"SI","NO")</f>
        <v>NO</v>
      </c>
      <c r="L86" s="332" t="str">
        <f t="shared" si="8"/>
        <v/>
      </c>
      <c r="M86" s="332">
        <f>VLOOKUP(B86,'Base de Datos'!$E$7:$Z$303,21,0)</f>
        <v>1</v>
      </c>
      <c r="N86" s="394" t="str">
        <f t="shared" ca="1" si="12"/>
        <v/>
      </c>
      <c r="O86" s="332">
        <f ca="1">VLOOKUP(B86,'Base de Datos'!$E$7:$Z$303,22,0)</f>
        <v>1</v>
      </c>
      <c r="P86" s="393">
        <f t="shared" ca="1" si="9"/>
        <v>1438</v>
      </c>
      <c r="Q86" s="406">
        <f t="shared" ca="1" si="13"/>
        <v>11.983333333333333</v>
      </c>
      <c r="R86" s="328" t="str">
        <f ca="1">VLOOKUP(B86,'Base de Datos'!E86:AR383,33,0)</f>
        <v>TERMINO</v>
      </c>
      <c r="S86" s="331" t="str">
        <f t="shared" ca="1" si="10"/>
        <v>NO</v>
      </c>
      <c r="T86" s="328" t="str">
        <f t="shared" ca="1" si="11"/>
        <v>Liquidar</v>
      </c>
      <c r="U86" s="328">
        <f>VLOOKUP(B86,'Base de Datos'!$E$7:$AR$401,38,0)</f>
        <v>0</v>
      </c>
    </row>
    <row r="87" spans="1:21" ht="23.25" customHeight="1" thickTop="1" thickBot="1" x14ac:dyDescent="0.3">
      <c r="A87" s="108">
        <v>81</v>
      </c>
      <c r="B87" s="328" t="str">
        <f>+'Base de Datos'!E87</f>
        <v>130019-0-2013</v>
      </c>
      <c r="C87" s="328" t="str">
        <f>+'Base de Datos'!F87</f>
        <v>NEWNET S.A</v>
      </c>
      <c r="D87" s="329">
        <f>+'Base de Datos'!I87</f>
        <v>123000000</v>
      </c>
      <c r="E87" s="330">
        <f>+'Base de Datos'!M87</f>
        <v>41319</v>
      </c>
      <c r="F87" s="330">
        <f>+'Base de Datos'!N87</f>
        <v>41683</v>
      </c>
      <c r="G87" s="330">
        <f>+'Base de Datos'!T87</f>
        <v>41683</v>
      </c>
      <c r="H87" s="329">
        <f>+'Base de Datos'!U87</f>
        <v>123000000</v>
      </c>
      <c r="I87" s="331" t="str">
        <f>IF(VLOOKUP(B87,'Base de Datos'!$E$7:$S$303,11,0),"SI","NO")</f>
        <v>NO</v>
      </c>
      <c r="J87" s="332" t="str">
        <f t="shared" si="7"/>
        <v/>
      </c>
      <c r="K87" s="331" t="str">
        <f>IF(VLOOKUP(B87,'Base de Datos'!$E$7:$S$303,11,0),"SI","NO")</f>
        <v>NO</v>
      </c>
      <c r="L87" s="332" t="str">
        <f t="shared" si="8"/>
        <v/>
      </c>
      <c r="M87" s="332">
        <f>VLOOKUP(B87,'Base de Datos'!$E$7:$Z$303,21,0)</f>
        <v>1</v>
      </c>
      <c r="N87" s="394" t="str">
        <f t="shared" ca="1" si="12"/>
        <v/>
      </c>
      <c r="O87" s="332">
        <f ca="1">VLOOKUP(B87,'Base de Datos'!$E$7:$Z$303,22,0)</f>
        <v>1</v>
      </c>
      <c r="P87" s="393">
        <f t="shared" ca="1" si="9"/>
        <v>1435</v>
      </c>
      <c r="Q87" s="406">
        <f t="shared" ca="1" si="13"/>
        <v>11.958333333333334</v>
      </c>
      <c r="R87" s="328" t="str">
        <f ca="1">VLOOKUP(B87,'Base de Datos'!E87:AR384,33,0)</f>
        <v>TERMINO</v>
      </c>
      <c r="S87" s="331" t="str">
        <f t="shared" ca="1" si="10"/>
        <v>NO</v>
      </c>
      <c r="T87" s="328" t="str">
        <f t="shared" ca="1" si="11"/>
        <v>Liquidar</v>
      </c>
      <c r="U87" s="328">
        <f>VLOOKUP(B87,'Base de Datos'!$E$7:$AR$401,38,0)</f>
        <v>0</v>
      </c>
    </row>
    <row r="88" spans="1:21" ht="23.25" customHeight="1" thickTop="1" thickBot="1" x14ac:dyDescent="0.3">
      <c r="A88" s="108">
        <v>82</v>
      </c>
      <c r="B88" s="328" t="str">
        <f>+'Base de Datos'!E88</f>
        <v>130023-0-2013</v>
      </c>
      <c r="C88" s="328" t="str">
        <f>+'Base de Datos'!F88</f>
        <v xml:space="preserve">AMBICOL SERVICES S.A.S. </v>
      </c>
      <c r="D88" s="329">
        <f>+'Base de Datos'!I88</f>
        <v>1113600</v>
      </c>
      <c r="E88" s="330">
        <f>+'Base de Datos'!M88</f>
        <v>41347</v>
      </c>
      <c r="F88" s="330">
        <f>+'Base de Datos'!N88</f>
        <v>41711</v>
      </c>
      <c r="G88" s="330">
        <f>+'Base de Datos'!T88</f>
        <v>41711</v>
      </c>
      <c r="H88" s="329">
        <f>+'Base de Datos'!U88</f>
        <v>1113600</v>
      </c>
      <c r="I88" s="331" t="str">
        <f>IF(VLOOKUP(B88,'Base de Datos'!$E$7:$S$303,11,0),"SI","NO")</f>
        <v>NO</v>
      </c>
      <c r="J88" s="332" t="str">
        <f t="shared" si="7"/>
        <v/>
      </c>
      <c r="K88" s="331" t="str">
        <f>IF(VLOOKUP(B88,'Base de Datos'!$E$7:$S$303,11,0),"SI","NO")</f>
        <v>NO</v>
      </c>
      <c r="L88" s="332" t="str">
        <f t="shared" si="8"/>
        <v/>
      </c>
      <c r="M88" s="332">
        <f>VLOOKUP(B88,'Base de Datos'!$E$7:$Z$303,21,0)</f>
        <v>1</v>
      </c>
      <c r="N88" s="394" t="str">
        <f t="shared" ca="1" si="12"/>
        <v/>
      </c>
      <c r="O88" s="332">
        <f ca="1">VLOOKUP(B88,'Base de Datos'!$E$7:$Z$303,22,0)</f>
        <v>1</v>
      </c>
      <c r="P88" s="393">
        <f t="shared" ca="1" si="9"/>
        <v>1407</v>
      </c>
      <c r="Q88" s="406">
        <f t="shared" ca="1" si="13"/>
        <v>11.725</v>
      </c>
      <c r="R88" s="328" t="str">
        <f ca="1">VLOOKUP(B88,'Base de Datos'!E88:AR385,33,0)</f>
        <v>TERMINO</v>
      </c>
      <c r="S88" s="331" t="str">
        <f t="shared" ca="1" si="10"/>
        <v>NO</v>
      </c>
      <c r="T88" s="328" t="str">
        <f t="shared" ca="1" si="11"/>
        <v>Liquidar</v>
      </c>
      <c r="U88" s="328">
        <f>VLOOKUP(B88,'Base de Datos'!$E$7:$AR$401,38,0)</f>
        <v>41999</v>
      </c>
    </row>
    <row r="89" spans="1:21" ht="23.25" customHeight="1" thickTop="1" thickBot="1" x14ac:dyDescent="0.3">
      <c r="A89" s="108">
        <v>83</v>
      </c>
      <c r="B89" s="328" t="str">
        <f>+'Base de Datos'!E89</f>
        <v>130036-0-2013</v>
      </c>
      <c r="C89" s="328" t="str">
        <f>+'Base de Datos'!F89</f>
        <v>SYSTEM NET INGENIERÍA LTDA</v>
      </c>
      <c r="D89" s="329">
        <f>+'Base de Datos'!I89</f>
        <v>4967474</v>
      </c>
      <c r="E89" s="330">
        <f>+'Base de Datos'!M89</f>
        <v>41347</v>
      </c>
      <c r="F89" s="330">
        <f>+'Base de Datos'!N89</f>
        <v>41652</v>
      </c>
      <c r="G89" s="330">
        <f>+'Base de Datos'!T89</f>
        <v>41652</v>
      </c>
      <c r="H89" s="329">
        <f>+'Base de Datos'!U89</f>
        <v>4967474</v>
      </c>
      <c r="I89" s="331" t="str">
        <f>IF(VLOOKUP(B89,'Base de Datos'!$E$7:$S$303,11,0),"SI","NO")</f>
        <v>NO</v>
      </c>
      <c r="J89" s="332" t="str">
        <f t="shared" si="7"/>
        <v/>
      </c>
      <c r="K89" s="331" t="str">
        <f>IF(VLOOKUP(B89,'Base de Datos'!$E$7:$S$303,11,0),"SI","NO")</f>
        <v>NO</v>
      </c>
      <c r="L89" s="332" t="str">
        <f t="shared" si="8"/>
        <v/>
      </c>
      <c r="M89" s="332">
        <f>VLOOKUP(B89,'Base de Datos'!$E$7:$Z$303,21,0)</f>
        <v>0.89656896040120193</v>
      </c>
      <c r="N89" s="394" t="str">
        <f t="shared" ca="1" si="12"/>
        <v/>
      </c>
      <c r="O89" s="332">
        <f ca="1">VLOOKUP(B89,'Base de Datos'!$E$7:$Z$303,22,0)</f>
        <v>1</v>
      </c>
      <c r="P89" s="393">
        <f t="shared" ca="1" si="9"/>
        <v>1466</v>
      </c>
      <c r="Q89" s="406">
        <f t="shared" ca="1" si="13"/>
        <v>12.216666666666667</v>
      </c>
      <c r="R89" s="328" t="str">
        <f ca="1">VLOOKUP(B89,'Base de Datos'!E89:AR386,33,0)</f>
        <v>TERMINO</v>
      </c>
      <c r="S89" s="331" t="str">
        <f t="shared" ca="1" si="10"/>
        <v>NO</v>
      </c>
      <c r="T89" s="328" t="str">
        <f t="shared" ca="1" si="11"/>
        <v>Liquidar</v>
      </c>
      <c r="U89" s="328">
        <f>VLOOKUP(B89,'Base de Datos'!$E$7:$AR$401,38,0)</f>
        <v>42321</v>
      </c>
    </row>
    <row r="90" spans="1:21" ht="23.25" customHeight="1" thickTop="1" thickBot="1" x14ac:dyDescent="0.3">
      <c r="A90" s="108">
        <v>84</v>
      </c>
      <c r="B90" s="328" t="str">
        <f>+'Base de Datos'!E90</f>
        <v>130044-0-2013</v>
      </c>
      <c r="C90" s="328" t="str">
        <f>+'Base de Datos'!F90</f>
        <v>MELCO DE COLOMBIA LIMITADA</v>
      </c>
      <c r="D90" s="329">
        <f>+'Base de Datos'!I90</f>
        <v>15913500</v>
      </c>
      <c r="E90" s="330">
        <f>+'Base de Datos'!M90</f>
        <v>41367</v>
      </c>
      <c r="F90" s="330">
        <f>+'Base de Datos'!N90</f>
        <v>41731</v>
      </c>
      <c r="G90" s="330">
        <f>+'Base de Datos'!T90</f>
        <v>41731</v>
      </c>
      <c r="H90" s="329">
        <f>+'Base de Datos'!U90</f>
        <v>15913500</v>
      </c>
      <c r="I90" s="331" t="str">
        <f>IF(VLOOKUP(B90,'Base de Datos'!$E$7:$S$303,11,0),"SI","NO")</f>
        <v>NO</v>
      </c>
      <c r="J90" s="332" t="str">
        <f t="shared" si="7"/>
        <v/>
      </c>
      <c r="K90" s="331" t="str">
        <f>IF(VLOOKUP(B90,'Base de Datos'!$E$7:$S$303,11,0),"SI","NO")</f>
        <v>NO</v>
      </c>
      <c r="L90" s="332" t="str">
        <f t="shared" si="8"/>
        <v/>
      </c>
      <c r="M90" s="332">
        <f>VLOOKUP(B90,'Base de Datos'!$E$7:$Z$303,21,0)</f>
        <v>0.971116850472869</v>
      </c>
      <c r="N90" s="394" t="str">
        <f t="shared" ca="1" si="12"/>
        <v/>
      </c>
      <c r="O90" s="332">
        <f ca="1">VLOOKUP(B90,'Base de Datos'!$E$7:$Z$303,22,0)</f>
        <v>1</v>
      </c>
      <c r="P90" s="393">
        <f t="shared" ca="1" si="9"/>
        <v>1387</v>
      </c>
      <c r="Q90" s="406">
        <f t="shared" ca="1" si="13"/>
        <v>11.558333333333334</v>
      </c>
      <c r="R90" s="328" t="str">
        <f ca="1">VLOOKUP(B90,'Base de Datos'!E90:AR387,33,0)</f>
        <v>TERMINO</v>
      </c>
      <c r="S90" s="331" t="str">
        <f t="shared" ca="1" si="10"/>
        <v>NO</v>
      </c>
      <c r="T90" s="328" t="str">
        <f t="shared" ca="1" si="11"/>
        <v>Liquidar</v>
      </c>
      <c r="U90" s="328">
        <f>VLOOKUP(B90,'Base de Datos'!$E$7:$AR$401,38,0)</f>
        <v>0</v>
      </c>
    </row>
    <row r="91" spans="1:21" ht="23.25" customHeight="1" thickTop="1" thickBot="1" x14ac:dyDescent="0.3">
      <c r="A91" s="108">
        <v>85</v>
      </c>
      <c r="B91" s="328" t="str">
        <f>+'Base de Datos'!E91</f>
        <v>130048-0-2013</v>
      </c>
      <c r="C91" s="328" t="str">
        <f>+'Base de Datos'!F91</f>
        <v>CASA EDITORIAL EL TIEMPO SA</v>
      </c>
      <c r="D91" s="329">
        <f>+'Base de Datos'!I91</f>
        <v>1197000</v>
      </c>
      <c r="E91" s="330">
        <f>+'Base de Datos'!M91</f>
        <v>41352</v>
      </c>
      <c r="F91" s="330">
        <f>+'Base de Datos'!N91</f>
        <v>41716</v>
      </c>
      <c r="G91" s="330">
        <f>+'Base de Datos'!T91</f>
        <v>41716</v>
      </c>
      <c r="H91" s="329">
        <f>+'Base de Datos'!U91</f>
        <v>1197000</v>
      </c>
      <c r="I91" s="331" t="str">
        <f>IF(VLOOKUP(B91,'Base de Datos'!$E$7:$S$303,11,0),"SI","NO")</f>
        <v>NO</v>
      </c>
      <c r="J91" s="332" t="str">
        <f t="shared" si="7"/>
        <v/>
      </c>
      <c r="K91" s="331" t="str">
        <f>IF(VLOOKUP(B91,'Base de Datos'!$E$7:$S$303,11,0),"SI","NO")</f>
        <v>NO</v>
      </c>
      <c r="L91" s="332" t="str">
        <f t="shared" si="8"/>
        <v/>
      </c>
      <c r="M91" s="332">
        <f>VLOOKUP(B91,'Base de Datos'!$E$7:$Z$303,21,0)</f>
        <v>1</v>
      </c>
      <c r="N91" s="394" t="str">
        <f t="shared" ca="1" si="12"/>
        <v/>
      </c>
      <c r="O91" s="332">
        <f ca="1">VLOOKUP(B91,'Base de Datos'!$E$7:$Z$303,22,0)</f>
        <v>1</v>
      </c>
      <c r="P91" s="393">
        <f t="shared" ca="1" si="9"/>
        <v>1402</v>
      </c>
      <c r="Q91" s="406">
        <f t="shared" ca="1" si="13"/>
        <v>11.683333333333334</v>
      </c>
      <c r="R91" s="328" t="str">
        <f ca="1">VLOOKUP(B91,'Base de Datos'!E91:AR388,33,0)</f>
        <v>TERMINO</v>
      </c>
      <c r="S91" s="331" t="str">
        <f t="shared" ca="1" si="10"/>
        <v>NO</v>
      </c>
      <c r="T91" s="328" t="str">
        <f t="shared" ca="1" si="11"/>
        <v>Liquidar</v>
      </c>
      <c r="U91" s="328">
        <f>VLOOKUP(B91,'Base de Datos'!$E$7:$AR$401,38,0)</f>
        <v>0</v>
      </c>
    </row>
    <row r="92" spans="1:21" ht="23.25" customHeight="1" thickTop="1" thickBot="1" x14ac:dyDescent="0.3">
      <c r="A92" s="108">
        <v>86</v>
      </c>
      <c r="B92" s="328" t="str">
        <f>+'Base de Datos'!E92</f>
        <v>130091-0-2013</v>
      </c>
      <c r="C92" s="328" t="str">
        <f>+'Base de Datos'!F92</f>
        <v>INGENIERÍA DE BOMBAS Y PLANTAS LIMITADA</v>
      </c>
      <c r="D92" s="329">
        <f>+'Base de Datos'!I92</f>
        <v>8360000</v>
      </c>
      <c r="E92" s="330">
        <f>+'Base de Datos'!M92</f>
        <v>41400</v>
      </c>
      <c r="F92" s="330">
        <f>+'Base de Datos'!N92</f>
        <v>41764</v>
      </c>
      <c r="G92" s="330">
        <f>+'Base de Datos'!T92</f>
        <v>41764</v>
      </c>
      <c r="H92" s="329">
        <f>+'Base de Datos'!U92</f>
        <v>8360000</v>
      </c>
      <c r="I92" s="331" t="str">
        <f>IF(VLOOKUP(B92,'Base de Datos'!$E$7:$S$303,11,0),"SI","NO")</f>
        <v>NO</v>
      </c>
      <c r="J92" s="332" t="str">
        <f t="shared" si="7"/>
        <v/>
      </c>
      <c r="K92" s="331" t="str">
        <f>IF(VLOOKUP(B92,'Base de Datos'!$E$7:$S$303,11,0),"SI","NO")</f>
        <v>NO</v>
      </c>
      <c r="L92" s="332" t="str">
        <f t="shared" si="8"/>
        <v/>
      </c>
      <c r="M92" s="332">
        <f>VLOOKUP(B92,'Base de Datos'!$E$7:$Z$303,21,0)</f>
        <v>0.83947368421052626</v>
      </c>
      <c r="N92" s="394" t="str">
        <f t="shared" ca="1" si="12"/>
        <v/>
      </c>
      <c r="O92" s="332">
        <f ca="1">VLOOKUP(B92,'Base de Datos'!$E$7:$Z$303,22,0)</f>
        <v>1</v>
      </c>
      <c r="P92" s="393">
        <f t="shared" ca="1" si="9"/>
        <v>1354</v>
      </c>
      <c r="Q92" s="406">
        <f t="shared" ca="1" si="13"/>
        <v>11.283333333333333</v>
      </c>
      <c r="R92" s="328" t="str">
        <f ca="1">VLOOKUP(B92,'Base de Datos'!E92:AR389,33,0)</f>
        <v>TERMINO</v>
      </c>
      <c r="S92" s="331" t="str">
        <f t="shared" ca="1" si="10"/>
        <v>NO</v>
      </c>
      <c r="T92" s="328" t="str">
        <f t="shared" ca="1" si="11"/>
        <v>Liquidar</v>
      </c>
      <c r="U92" s="328">
        <f>VLOOKUP(B92,'Base de Datos'!$E$7:$AR$401,38,0)</f>
        <v>42017</v>
      </c>
    </row>
    <row r="93" spans="1:21" ht="23.25" customHeight="1" thickTop="1" thickBot="1" x14ac:dyDescent="0.3">
      <c r="A93" s="108">
        <v>87</v>
      </c>
      <c r="B93" s="328" t="str">
        <f>+'Base de Datos'!E93</f>
        <v>130106-0-2013</v>
      </c>
      <c r="C93" s="328" t="str">
        <f>+'Base de Datos'!F93</f>
        <v>DPC LTDA PUBLICACIONES DESPACHOS PÚBLICOS DE COLOMBIA LTDA</v>
      </c>
      <c r="D93" s="329">
        <f>+'Base de Datos'!I93</f>
        <v>3700000</v>
      </c>
      <c r="E93" s="330">
        <f>+'Base de Datos'!M93</f>
        <v>41393</v>
      </c>
      <c r="F93" s="330">
        <f>+'Base de Datos'!N93</f>
        <v>41545</v>
      </c>
      <c r="G93" s="330">
        <f>+'Base de Datos'!T93</f>
        <v>41545</v>
      </c>
      <c r="H93" s="329">
        <f>+'Base de Datos'!U93</f>
        <v>3700000</v>
      </c>
      <c r="I93" s="331" t="str">
        <f>IF(VLOOKUP(B93,'Base de Datos'!$E$7:$S$303,11,0),"SI","NO")</f>
        <v>NO</v>
      </c>
      <c r="J93" s="332" t="str">
        <f t="shared" si="7"/>
        <v/>
      </c>
      <c r="K93" s="331" t="str">
        <f>IF(VLOOKUP(B93,'Base de Datos'!$E$7:$S$303,11,0),"SI","NO")</f>
        <v>NO</v>
      </c>
      <c r="L93" s="332" t="str">
        <f t="shared" si="8"/>
        <v/>
      </c>
      <c r="M93" s="332">
        <f>VLOOKUP(B93,'Base de Datos'!$E$7:$Z$303,21,0)</f>
        <v>1</v>
      </c>
      <c r="N93" s="394" t="str">
        <f t="shared" ca="1" si="12"/>
        <v/>
      </c>
      <c r="O93" s="332">
        <f ca="1">VLOOKUP(B93,'Base de Datos'!$E$7:$Z$303,22,0)</f>
        <v>1</v>
      </c>
      <c r="P93" s="393">
        <f t="shared" ca="1" si="9"/>
        <v>1573</v>
      </c>
      <c r="Q93" s="406">
        <f t="shared" ca="1" si="13"/>
        <v>13.108333333333333</v>
      </c>
      <c r="R93" s="328" t="str">
        <f ca="1">VLOOKUP(B93,'Base de Datos'!E93:AR390,33,0)</f>
        <v>TERMINO</v>
      </c>
      <c r="S93" s="331" t="str">
        <f t="shared" ca="1" si="10"/>
        <v>NO</v>
      </c>
      <c r="T93" s="328" t="str">
        <f t="shared" ca="1" si="11"/>
        <v>Liquidar</v>
      </c>
      <c r="U93" s="328">
        <f>VLOOKUP(B93,'Base de Datos'!$E$7:$AR$401,38,0)</f>
        <v>41950</v>
      </c>
    </row>
    <row r="94" spans="1:21" ht="23.25" customHeight="1" thickTop="1" thickBot="1" x14ac:dyDescent="0.3">
      <c r="A94" s="108">
        <v>88</v>
      </c>
      <c r="B94" s="328" t="str">
        <f>+'Base de Datos'!E94</f>
        <v>130116-0-2013</v>
      </c>
      <c r="C94" s="328" t="str">
        <f>+'Base de Datos'!F94</f>
        <v>EDGARDO ANDRÉS MALDONADO CORTES</v>
      </c>
      <c r="D94" s="329">
        <f>+'Base de Datos'!I94</f>
        <v>50000000</v>
      </c>
      <c r="E94" s="330">
        <f>+'Base de Datos'!M94</f>
        <v>41387</v>
      </c>
      <c r="F94" s="330">
        <f>+'Base de Datos'!N94</f>
        <v>41692</v>
      </c>
      <c r="G94" s="330">
        <f>+'Base de Datos'!T94</f>
        <v>41692</v>
      </c>
      <c r="H94" s="329">
        <f>+'Base de Datos'!U94</f>
        <v>50000000</v>
      </c>
      <c r="I94" s="331" t="str">
        <f>IF(VLOOKUP(B94,'Base de Datos'!$E$7:$S$303,11,0),"SI","NO")</f>
        <v>NO</v>
      </c>
      <c r="J94" s="332" t="str">
        <f t="shared" si="7"/>
        <v/>
      </c>
      <c r="K94" s="331" t="str">
        <f>IF(VLOOKUP(B94,'Base de Datos'!$E$7:$S$303,11,0),"SI","NO")</f>
        <v>NO</v>
      </c>
      <c r="L94" s="332" t="str">
        <f t="shared" si="8"/>
        <v/>
      </c>
      <c r="M94" s="332">
        <f>VLOOKUP(B94,'Base de Datos'!$E$7:$Z$303,21,0)</f>
        <v>1</v>
      </c>
      <c r="N94" s="394" t="str">
        <f t="shared" ca="1" si="12"/>
        <v/>
      </c>
      <c r="O94" s="332">
        <f ca="1">VLOOKUP(B94,'Base de Datos'!$E$7:$Z$303,22,0)</f>
        <v>1</v>
      </c>
      <c r="P94" s="393">
        <f t="shared" ca="1" si="9"/>
        <v>1426</v>
      </c>
      <c r="Q94" s="406">
        <f t="shared" ca="1" si="13"/>
        <v>11.883333333333333</v>
      </c>
      <c r="R94" s="328" t="str">
        <f ca="1">VLOOKUP(B94,'Base de Datos'!E94:AR391,33,0)</f>
        <v>TERMINO</v>
      </c>
      <c r="S94" s="331" t="str">
        <f t="shared" ca="1" si="10"/>
        <v>NO</v>
      </c>
      <c r="T94" s="328" t="str">
        <f t="shared" ca="1" si="11"/>
        <v>Liquidar</v>
      </c>
      <c r="U94" s="328">
        <f>VLOOKUP(B94,'Base de Datos'!$E$7:$AR$401,38,0)</f>
        <v>41702</v>
      </c>
    </row>
    <row r="95" spans="1:21" ht="23.25" customHeight="1" thickTop="1" thickBot="1" x14ac:dyDescent="0.3">
      <c r="A95" s="108">
        <v>89</v>
      </c>
      <c r="B95" s="328" t="str">
        <f>+'Base de Datos'!E95</f>
        <v>130121-0-2013</v>
      </c>
      <c r="C95" s="328" t="str">
        <f>+'Base de Datos'!F95</f>
        <v>ROSA ENRIQUELINA GÓMEZ CORREDOR</v>
      </c>
      <c r="D95" s="329">
        <f>+'Base de Datos'!I95</f>
        <v>41600000</v>
      </c>
      <c r="E95" s="330">
        <f>+'Base de Datos'!M95</f>
        <v>41396</v>
      </c>
      <c r="F95" s="330">
        <f>+'Base de Datos'!N95</f>
        <v>41699</v>
      </c>
      <c r="G95" s="330">
        <f>+'Base de Datos'!T95</f>
        <v>41699</v>
      </c>
      <c r="H95" s="329">
        <f>+'Base de Datos'!U95</f>
        <v>41600000</v>
      </c>
      <c r="I95" s="331" t="str">
        <f>IF(VLOOKUP(B95,'Base de Datos'!$E$7:$S$303,11,0),"SI","NO")</f>
        <v>NO</v>
      </c>
      <c r="J95" s="332" t="str">
        <f t="shared" si="7"/>
        <v/>
      </c>
      <c r="K95" s="331" t="str">
        <f>IF(VLOOKUP(B95,'Base de Datos'!$E$7:$S$303,11,0),"SI","NO")</f>
        <v>NO</v>
      </c>
      <c r="L95" s="332" t="str">
        <f t="shared" si="8"/>
        <v/>
      </c>
      <c r="M95" s="332">
        <f>VLOOKUP(B95,'Base de Datos'!$E$7:$Z$303,21,0)</f>
        <v>1</v>
      </c>
      <c r="N95" s="394" t="str">
        <f t="shared" ca="1" si="12"/>
        <v/>
      </c>
      <c r="O95" s="332">
        <f ca="1">VLOOKUP(B95,'Base de Datos'!$E$7:$Z$303,22,0)</f>
        <v>1</v>
      </c>
      <c r="P95" s="393">
        <f t="shared" ca="1" si="9"/>
        <v>1419</v>
      </c>
      <c r="Q95" s="406">
        <f t="shared" ca="1" si="13"/>
        <v>11.824999999999999</v>
      </c>
      <c r="R95" s="328" t="str">
        <f ca="1">VLOOKUP(B95,'Base de Datos'!E95:AR392,33,0)</f>
        <v>TERMINO</v>
      </c>
      <c r="S95" s="331" t="str">
        <f t="shared" ca="1" si="10"/>
        <v>NO</v>
      </c>
      <c r="T95" s="328" t="str">
        <f t="shared" ca="1" si="11"/>
        <v>Liquidar</v>
      </c>
      <c r="U95" s="328">
        <f>VLOOKUP(B95,'Base de Datos'!$E$7:$AR$401,38,0)</f>
        <v>41845</v>
      </c>
    </row>
    <row r="96" spans="1:21" ht="23.25" customHeight="1" thickTop="1" thickBot="1" x14ac:dyDescent="0.3">
      <c r="A96" s="108">
        <v>90</v>
      </c>
      <c r="B96" s="328" t="str">
        <f>+'Base de Datos'!E96</f>
        <v>130126-0-2013</v>
      </c>
      <c r="C96" s="328" t="str">
        <f>+'Base de Datos'!F96</f>
        <v>EMPRESA DE TELECOMUNICACIONES DE BOGOTÁ S.A.-ETB-ESP</v>
      </c>
      <c r="D96" s="329">
        <f>+'Base de Datos'!I96</f>
        <v>160000000</v>
      </c>
      <c r="E96" s="330">
        <f>+'Base de Datos'!M96</f>
        <v>41411</v>
      </c>
      <c r="F96" s="330">
        <f>+'Base de Datos'!N96</f>
        <v>41477</v>
      </c>
      <c r="G96" s="330">
        <f>+'Base de Datos'!T96</f>
        <v>41508</v>
      </c>
      <c r="H96" s="329">
        <f>+'Base de Datos'!U96</f>
        <v>240000000</v>
      </c>
      <c r="I96" s="331" t="str">
        <f>IF(VLOOKUP(B96,'Base de Datos'!$E$7:$S$303,11,0),"SI","NO")</f>
        <v>SI</v>
      </c>
      <c r="J96" s="332">
        <f t="shared" si="7"/>
        <v>0.46969696969696972</v>
      </c>
      <c r="K96" s="331" t="str">
        <f>IF(VLOOKUP(B96,'Base de Datos'!$E$7:$S$303,11,0),"SI","NO")</f>
        <v>SI</v>
      </c>
      <c r="L96" s="332">
        <f t="shared" si="8"/>
        <v>0.5</v>
      </c>
      <c r="M96" s="332">
        <f>VLOOKUP(B96,'Base de Datos'!$E$7:$Z$303,21,0)</f>
        <v>0.99999985000000002</v>
      </c>
      <c r="N96" s="394" t="str">
        <f t="shared" ca="1" si="12"/>
        <v/>
      </c>
      <c r="O96" s="332">
        <f ca="1">VLOOKUP(B96,'Base de Datos'!$E$7:$Z$303,22,0)</f>
        <v>1</v>
      </c>
      <c r="P96" s="393">
        <f t="shared" ca="1" si="9"/>
        <v>1610</v>
      </c>
      <c r="Q96" s="406">
        <f t="shared" ca="1" si="13"/>
        <v>13.416666666666666</v>
      </c>
      <c r="R96" s="328" t="str">
        <f ca="1">VLOOKUP(B96,'Base de Datos'!E96:AR393,33,0)</f>
        <v>TERMINO</v>
      </c>
      <c r="S96" s="331" t="str">
        <f t="shared" ca="1" si="10"/>
        <v>NO</v>
      </c>
      <c r="T96" s="328" t="str">
        <f t="shared" ca="1" si="11"/>
        <v>Liquidar</v>
      </c>
      <c r="U96" s="328">
        <f>VLOOKUP(B96,'Base de Datos'!$E$7:$AR$401,38,0)</f>
        <v>0</v>
      </c>
    </row>
    <row r="97" spans="1:21" ht="23.25" customHeight="1" thickTop="1" thickBot="1" x14ac:dyDescent="0.3">
      <c r="A97" s="108">
        <v>91</v>
      </c>
      <c r="B97" s="328" t="str">
        <f>+'Base de Datos'!E97</f>
        <v>130129-0-2013</v>
      </c>
      <c r="C97" s="328" t="str">
        <f>+'Base de Datos'!F97</f>
        <v>SOCIEDAD ENTORNO COMPAÑÍA LTDA</v>
      </c>
      <c r="D97" s="329">
        <f>+'Base de Datos'!I97</f>
        <v>55784000</v>
      </c>
      <c r="E97" s="330">
        <f>+'Base de Datos'!M97</f>
        <v>41403</v>
      </c>
      <c r="F97" s="330">
        <f>+'Base de Datos'!N97</f>
        <v>41678</v>
      </c>
      <c r="G97" s="330">
        <f>+'Base de Datos'!T97</f>
        <v>41890</v>
      </c>
      <c r="H97" s="329">
        <f>+'Base de Datos'!U97</f>
        <v>67179000</v>
      </c>
      <c r="I97" s="331" t="str">
        <f>IF(VLOOKUP(B97,'Base de Datos'!$E$7:$S$303,11,0),"SI","NO")</f>
        <v>SI</v>
      </c>
      <c r="J97" s="332">
        <f t="shared" si="7"/>
        <v>0.77090909090909088</v>
      </c>
      <c r="K97" s="331" t="str">
        <f>IF(VLOOKUP(B97,'Base de Datos'!$E$7:$S$303,11,0),"SI","NO")</f>
        <v>SI</v>
      </c>
      <c r="L97" s="332">
        <f t="shared" si="8"/>
        <v>0.2042700415889861</v>
      </c>
      <c r="M97" s="332">
        <f>VLOOKUP(B97,'Base de Datos'!$E$7:$Z$303,21,0)</f>
        <v>0.9990517870167761</v>
      </c>
      <c r="N97" s="394" t="str">
        <f t="shared" ca="1" si="12"/>
        <v/>
      </c>
      <c r="O97" s="332">
        <f ca="1">VLOOKUP(B97,'Base de Datos'!$E$7:$Z$303,22,0)</f>
        <v>1</v>
      </c>
      <c r="P97" s="393">
        <f t="shared" ca="1" si="9"/>
        <v>1228</v>
      </c>
      <c r="Q97" s="406">
        <f t="shared" ca="1" si="13"/>
        <v>10.233333333333333</v>
      </c>
      <c r="R97" s="328" t="str">
        <f ca="1">VLOOKUP(B97,'Base de Datos'!E97:AR394,33,0)</f>
        <v>TERMINO</v>
      </c>
      <c r="S97" s="331" t="str">
        <f t="shared" ca="1" si="10"/>
        <v>NO</v>
      </c>
      <c r="T97" s="328" t="str">
        <f t="shared" ca="1" si="11"/>
        <v>Liquidar</v>
      </c>
      <c r="U97" s="328">
        <f>VLOOKUP(B97,'Base de Datos'!$E$7:$AR$401,38,0)</f>
        <v>42150</v>
      </c>
    </row>
    <row r="98" spans="1:21" ht="23.25" customHeight="1" thickTop="1" thickBot="1" x14ac:dyDescent="0.3">
      <c r="A98" s="108">
        <v>92</v>
      </c>
      <c r="B98" s="328" t="str">
        <f>+'Base de Datos'!E98</f>
        <v>130130-0-2013</v>
      </c>
      <c r="C98" s="328" t="str">
        <f>+'Base de Datos'!F98</f>
        <v>ORGANIZACIÓN TERPEL S.A.</v>
      </c>
      <c r="D98" s="329">
        <f>+'Base de Datos'!I98</f>
        <v>351295000</v>
      </c>
      <c r="E98" s="330">
        <f>+'Base de Datos'!M98</f>
        <v>41426</v>
      </c>
      <c r="F98" s="330">
        <f>+'Base de Datos'!N98</f>
        <v>41671</v>
      </c>
      <c r="G98" s="330">
        <f>+'Base de Datos'!T98</f>
        <v>41820</v>
      </c>
      <c r="H98" s="329">
        <f>+'Base de Datos'!U98</f>
        <v>473134060</v>
      </c>
      <c r="I98" s="331" t="str">
        <f>IF(VLOOKUP(B98,'Base de Datos'!$E$7:$S$303,11,0),"SI","NO")</f>
        <v>SI</v>
      </c>
      <c r="J98" s="332">
        <f t="shared" si="7"/>
        <v>0.60816326530612241</v>
      </c>
      <c r="K98" s="331" t="str">
        <f>IF(VLOOKUP(B98,'Base de Datos'!$E$7:$S$303,11,0),"SI","NO")</f>
        <v>SI</v>
      </c>
      <c r="L98" s="332">
        <f t="shared" si="8"/>
        <v>0.34682833515990835</v>
      </c>
      <c r="M98" s="332">
        <f>VLOOKUP(B98,'Base de Datos'!$E$7:$Z$303,21,0)</f>
        <v>0.99999883753877283</v>
      </c>
      <c r="N98" s="394" t="str">
        <f t="shared" ca="1" si="12"/>
        <v/>
      </c>
      <c r="O98" s="332">
        <f ca="1">VLOOKUP(B98,'Base de Datos'!$E$7:$Z$303,22,0)</f>
        <v>1</v>
      </c>
      <c r="P98" s="393">
        <f t="shared" ca="1" si="9"/>
        <v>1298</v>
      </c>
      <c r="Q98" s="406">
        <f t="shared" ca="1" si="13"/>
        <v>10.816666666666666</v>
      </c>
      <c r="R98" s="328" t="str">
        <f ca="1">VLOOKUP(B98,'Base de Datos'!E98:AR395,33,0)</f>
        <v>TERMINO</v>
      </c>
      <c r="S98" s="331" t="str">
        <f t="shared" ca="1" si="10"/>
        <v>NO</v>
      </c>
      <c r="T98" s="328" t="str">
        <f t="shared" ca="1" si="11"/>
        <v>Liquidar</v>
      </c>
      <c r="U98" s="328">
        <f>VLOOKUP(B98,'Base de Datos'!$E$7:$AR$401,38,0)</f>
        <v>0</v>
      </c>
    </row>
    <row r="99" spans="1:21" ht="23.25" customHeight="1" thickTop="1" thickBot="1" x14ac:dyDescent="0.3">
      <c r="A99" s="108">
        <v>93</v>
      </c>
      <c r="B99" s="328" t="str">
        <f>+'Base de Datos'!E99</f>
        <v>130133-0-2013</v>
      </c>
      <c r="C99" s="328" t="str">
        <f>+'Base de Datos'!F99</f>
        <v>SEGURIDAD NUEVA ERA</v>
      </c>
      <c r="D99" s="329">
        <f>+'Base de Datos'!I99</f>
        <v>2096276</v>
      </c>
      <c r="E99" s="330">
        <f>+'Base de Datos'!M99</f>
        <v>41417</v>
      </c>
      <c r="F99" s="330">
        <f>+'Base de Datos'!N99</f>
        <v>41692</v>
      </c>
      <c r="G99" s="330">
        <f>+'Base de Datos'!T99</f>
        <v>41692</v>
      </c>
      <c r="H99" s="329">
        <f>+'Base de Datos'!U99</f>
        <v>2096276</v>
      </c>
      <c r="I99" s="331" t="str">
        <f>IF(VLOOKUP(B99,'Base de Datos'!$E$7:$S$303,11,0),"SI","NO")</f>
        <v>NO</v>
      </c>
      <c r="J99" s="332" t="str">
        <f t="shared" si="7"/>
        <v/>
      </c>
      <c r="K99" s="331" t="str">
        <f>IF(VLOOKUP(B99,'Base de Datos'!$E$7:$S$303,11,0),"SI","NO")</f>
        <v>NO</v>
      </c>
      <c r="L99" s="332" t="str">
        <f t="shared" si="8"/>
        <v/>
      </c>
      <c r="M99" s="332">
        <f>VLOOKUP(B99,'Base de Datos'!$E$7:$Z$303,21,0)</f>
        <v>0.99541854221486104</v>
      </c>
      <c r="N99" s="394" t="str">
        <f t="shared" ca="1" si="12"/>
        <v/>
      </c>
      <c r="O99" s="332">
        <f ca="1">VLOOKUP(B99,'Base de Datos'!$E$7:$Z$303,22,0)</f>
        <v>1</v>
      </c>
      <c r="P99" s="393">
        <f t="shared" ca="1" si="9"/>
        <v>1426</v>
      </c>
      <c r="Q99" s="406">
        <f t="shared" ca="1" si="13"/>
        <v>11.883333333333333</v>
      </c>
      <c r="R99" s="328" t="str">
        <f ca="1">VLOOKUP(B99,'Base de Datos'!E99:AR396,33,0)</f>
        <v>TERMINO</v>
      </c>
      <c r="S99" s="331" t="str">
        <f t="shared" ca="1" si="10"/>
        <v>NO</v>
      </c>
      <c r="T99" s="328" t="str">
        <f t="shared" ca="1" si="11"/>
        <v>Liquidar</v>
      </c>
      <c r="U99" s="328">
        <f>VLOOKUP(B99,'Base de Datos'!$E$7:$AR$401,38,0)</f>
        <v>41982</v>
      </c>
    </row>
    <row r="100" spans="1:21" ht="23.25" customHeight="1" thickTop="1" thickBot="1" x14ac:dyDescent="0.3">
      <c r="A100" s="108">
        <v>94</v>
      </c>
      <c r="B100" s="328" t="str">
        <f>+'Base de Datos'!E100</f>
        <v>130136-0-2013</v>
      </c>
      <c r="C100" s="328" t="str">
        <f>+'Base de Datos'!F100</f>
        <v>MOTORES Y MAQUINAS MOTORYSA</v>
      </c>
      <c r="D100" s="329">
        <f>+'Base de Datos'!I100</f>
        <v>12594000</v>
      </c>
      <c r="E100" s="330">
        <f>+'Base de Datos'!M100</f>
        <v>41416</v>
      </c>
      <c r="F100" s="330">
        <f>+'Base de Datos'!N100</f>
        <v>41660</v>
      </c>
      <c r="G100" s="330">
        <f>+'Base de Datos'!T100</f>
        <v>41660</v>
      </c>
      <c r="H100" s="329">
        <f>+'Base de Datos'!U100</f>
        <v>18744000</v>
      </c>
      <c r="I100" s="331" t="str">
        <f>IF(VLOOKUP(B100,'Base de Datos'!$E$7:$S$303,11,0),"SI","NO")</f>
        <v>SI</v>
      </c>
      <c r="J100" s="332">
        <f t="shared" si="7"/>
        <v>0</v>
      </c>
      <c r="K100" s="331" t="str">
        <f>IF(VLOOKUP(B100,'Base de Datos'!$E$7:$S$303,11,0),"SI","NO")</f>
        <v>SI</v>
      </c>
      <c r="L100" s="332">
        <f t="shared" si="8"/>
        <v>0.48832777513101477</v>
      </c>
      <c r="M100" s="332">
        <f>VLOOKUP(B100,'Base de Datos'!$E$7:$Z$303,21,0)</f>
        <v>0.9756046734955186</v>
      </c>
      <c r="N100" s="394" t="str">
        <f t="shared" ca="1" si="12"/>
        <v/>
      </c>
      <c r="O100" s="332">
        <f ca="1">VLOOKUP(B100,'Base de Datos'!$E$7:$Z$303,22,0)</f>
        <v>1</v>
      </c>
      <c r="P100" s="393">
        <f t="shared" ca="1" si="9"/>
        <v>1458</v>
      </c>
      <c r="Q100" s="406">
        <f t="shared" ca="1" si="13"/>
        <v>12.15</v>
      </c>
      <c r="R100" s="328" t="str">
        <f ca="1">VLOOKUP(B100,'Base de Datos'!E100:AR397,33,0)</f>
        <v>TERMINO</v>
      </c>
      <c r="S100" s="331" t="str">
        <f t="shared" ca="1" si="10"/>
        <v>NO</v>
      </c>
      <c r="T100" s="328" t="str">
        <f t="shared" ca="1" si="11"/>
        <v>Liquidar</v>
      </c>
      <c r="U100" s="328">
        <f>VLOOKUP(B100,'Base de Datos'!$E$7:$AR$401,38,0)</f>
        <v>0</v>
      </c>
    </row>
    <row r="101" spans="1:21" ht="23.25" customHeight="1" thickTop="1" thickBot="1" x14ac:dyDescent="0.3">
      <c r="A101" s="108">
        <v>95</v>
      </c>
      <c r="B101" s="328" t="str">
        <f>+'Base de Datos'!E101</f>
        <v>130139-0-2013</v>
      </c>
      <c r="C101" s="328" t="str">
        <f>+'Base de Datos'!F101</f>
        <v>REVISTA EL CONGRESO SIGLO XXI LTDA</v>
      </c>
      <c r="D101" s="329">
        <f>+'Base de Datos'!I101</f>
        <v>7740000</v>
      </c>
      <c r="E101" s="330">
        <f>+'Base de Datos'!M101</f>
        <v>41410</v>
      </c>
      <c r="F101" s="330">
        <f>+'Base de Datos'!N101</f>
        <v>41774</v>
      </c>
      <c r="G101" s="330">
        <f>+'Base de Datos'!T101</f>
        <v>41774</v>
      </c>
      <c r="H101" s="329">
        <f>+'Base de Datos'!U101</f>
        <v>7740000</v>
      </c>
      <c r="I101" s="331" t="str">
        <f>IF(VLOOKUP(B101,'Base de Datos'!$E$7:$S$303,11,0),"SI","NO")</f>
        <v>NO</v>
      </c>
      <c r="J101" s="332" t="str">
        <f t="shared" si="7"/>
        <v/>
      </c>
      <c r="K101" s="331" t="str">
        <f>IF(VLOOKUP(B101,'Base de Datos'!$E$7:$S$303,11,0),"SI","NO")</f>
        <v>NO</v>
      </c>
      <c r="L101" s="332" t="str">
        <f t="shared" si="8"/>
        <v/>
      </c>
      <c r="M101" s="332">
        <f>VLOOKUP(B101,'Base de Datos'!$E$7:$Z$303,21,0)</f>
        <v>1</v>
      </c>
      <c r="N101" s="394" t="str">
        <f t="shared" ca="1" si="12"/>
        <v/>
      </c>
      <c r="O101" s="332">
        <f ca="1">VLOOKUP(B101,'Base de Datos'!$E$7:$Z$303,22,0)</f>
        <v>1</v>
      </c>
      <c r="P101" s="393">
        <f t="shared" ca="1" si="9"/>
        <v>1344</v>
      </c>
      <c r="Q101" s="406">
        <f t="shared" ca="1" si="13"/>
        <v>11.2</v>
      </c>
      <c r="R101" s="328" t="str">
        <f ca="1">VLOOKUP(B101,'Base de Datos'!E101:AR398,33,0)</f>
        <v>TERMINO</v>
      </c>
      <c r="S101" s="331" t="str">
        <f t="shared" ca="1" si="10"/>
        <v>NO</v>
      </c>
      <c r="T101" s="328" t="str">
        <f t="shared" ca="1" si="11"/>
        <v>Liquidar</v>
      </c>
      <c r="U101" s="328">
        <f>VLOOKUP(B101,'Base de Datos'!$E$7:$AR$401,38,0)</f>
        <v>42004</v>
      </c>
    </row>
    <row r="102" spans="1:21" ht="23.25" customHeight="1" thickTop="1" thickBot="1" x14ac:dyDescent="0.3">
      <c r="A102" s="108">
        <v>96</v>
      </c>
      <c r="B102" s="328" t="str">
        <f>+'Base de Datos'!E102</f>
        <v>130141-0-2013</v>
      </c>
      <c r="C102" s="328" t="str">
        <f>+'Base de Datos'!F102</f>
        <v>LILIANA ALFONSO JAIMES</v>
      </c>
      <c r="D102" s="329">
        <f>+'Base de Datos'!I102</f>
        <v>50000000</v>
      </c>
      <c r="E102" s="330">
        <f>+'Base de Datos'!M102</f>
        <v>41410</v>
      </c>
      <c r="F102" s="330">
        <f>+'Base de Datos'!N102</f>
        <v>41713</v>
      </c>
      <c r="G102" s="330">
        <f>+'Base de Datos'!T102</f>
        <v>41713</v>
      </c>
      <c r="H102" s="329">
        <f>+'Base de Datos'!U102</f>
        <v>50000000</v>
      </c>
      <c r="I102" s="331" t="str">
        <f>IF(VLOOKUP(B102,'Base de Datos'!$E$7:$S$303,11,0),"SI","NO")</f>
        <v>NO</v>
      </c>
      <c r="J102" s="332" t="str">
        <f t="shared" si="7"/>
        <v/>
      </c>
      <c r="K102" s="331" t="str">
        <f>IF(VLOOKUP(B102,'Base de Datos'!$E$7:$S$303,11,0),"SI","NO")</f>
        <v>NO</v>
      </c>
      <c r="L102" s="332" t="str">
        <f t="shared" si="8"/>
        <v/>
      </c>
      <c r="M102" s="332">
        <f>VLOOKUP(B102,'Base de Datos'!$E$7:$Z$303,21,0)</f>
        <v>0.55000000000000004</v>
      </c>
      <c r="N102" s="394" t="str">
        <f t="shared" ca="1" si="12"/>
        <v/>
      </c>
      <c r="O102" s="332">
        <f ca="1">VLOOKUP(B102,'Base de Datos'!$E$7:$Z$303,22,0)</f>
        <v>1</v>
      </c>
      <c r="P102" s="393">
        <f t="shared" ca="1" si="9"/>
        <v>1405</v>
      </c>
      <c r="Q102" s="406">
        <f t="shared" ca="1" si="13"/>
        <v>11.708333333333334</v>
      </c>
      <c r="R102" s="328" t="str">
        <f ca="1">VLOOKUP(B102,'Base de Datos'!E102:AR399,33,0)</f>
        <v>TERMINO</v>
      </c>
      <c r="S102" s="331" t="str">
        <f t="shared" ca="1" si="10"/>
        <v>NO</v>
      </c>
      <c r="T102" s="328" t="str">
        <f t="shared" ca="1" si="11"/>
        <v>Liquidar</v>
      </c>
      <c r="U102" s="328">
        <f>VLOOKUP(B102,'Base de Datos'!$E$7:$AR$401,38,0)</f>
        <v>42117</v>
      </c>
    </row>
    <row r="103" spans="1:21" ht="23.25" customHeight="1" thickTop="1" thickBot="1" x14ac:dyDescent="0.3">
      <c r="A103" s="108">
        <v>97</v>
      </c>
      <c r="B103" s="328" t="str">
        <f>+'Base de Datos'!E103</f>
        <v>130142-0-2013</v>
      </c>
      <c r="C103" s="328" t="str">
        <f>+'Base de Datos'!F103</f>
        <v>AGR SOLUCIONES S.A.S.</v>
      </c>
      <c r="D103" s="329">
        <f>+'Base de Datos'!I103</f>
        <v>9366000</v>
      </c>
      <c r="E103" s="330">
        <f>+'Base de Datos'!M103</f>
        <v>41423</v>
      </c>
      <c r="F103" s="330">
        <f>+'Base de Datos'!N103</f>
        <v>41698</v>
      </c>
      <c r="G103" s="330">
        <f>+'Base de Datos'!T103</f>
        <v>41698</v>
      </c>
      <c r="H103" s="329">
        <f>+'Base de Datos'!U103</f>
        <v>9366000</v>
      </c>
      <c r="I103" s="331" t="str">
        <f>IF(VLOOKUP(B103,'Base de Datos'!$E$7:$S$303,11,0),"SI","NO")</f>
        <v>NO</v>
      </c>
      <c r="J103" s="332" t="str">
        <f t="shared" si="7"/>
        <v/>
      </c>
      <c r="K103" s="331" t="str">
        <f>IF(VLOOKUP(B103,'Base de Datos'!$E$7:$S$303,11,0),"SI","NO")</f>
        <v>NO</v>
      </c>
      <c r="L103" s="332" t="str">
        <f t="shared" si="8"/>
        <v/>
      </c>
      <c r="M103" s="332">
        <f>VLOOKUP(B103,'Base de Datos'!$E$7:$Z$303,21,0)</f>
        <v>0.83105722827247486</v>
      </c>
      <c r="N103" s="394" t="str">
        <f t="shared" ca="1" si="12"/>
        <v/>
      </c>
      <c r="O103" s="332">
        <f ca="1">VLOOKUP(B103,'Base de Datos'!$E$7:$Z$303,22,0)</f>
        <v>1</v>
      </c>
      <c r="P103" s="393">
        <f t="shared" ca="1" si="9"/>
        <v>1420</v>
      </c>
      <c r="Q103" s="406">
        <f t="shared" ca="1" si="13"/>
        <v>11.833333333333334</v>
      </c>
      <c r="R103" s="328" t="str">
        <f ca="1">VLOOKUP(B103,'Base de Datos'!E103:AR400,33,0)</f>
        <v>TERMINO</v>
      </c>
      <c r="S103" s="331" t="str">
        <f t="shared" ca="1" si="10"/>
        <v>NO</v>
      </c>
      <c r="T103" s="328" t="str">
        <f t="shared" ca="1" si="11"/>
        <v>Liquidar</v>
      </c>
      <c r="U103" s="328">
        <f>VLOOKUP(B103,'Base de Datos'!$E$7:$AR$401,38,0)</f>
        <v>42333</v>
      </c>
    </row>
    <row r="104" spans="1:21" ht="23.25" customHeight="1" thickTop="1" thickBot="1" x14ac:dyDescent="0.3">
      <c r="A104" s="108">
        <v>98</v>
      </c>
      <c r="B104" s="328" t="str">
        <f>+'Base de Datos'!E104</f>
        <v>130146-0-2013</v>
      </c>
      <c r="C104" s="328" t="str">
        <f>+'Base de Datos'!F104</f>
        <v>UNIÓN TEMPORAL INTERPOSTAL URBANEX</v>
      </c>
      <c r="D104" s="329">
        <f>+'Base de Datos'!I104</f>
        <v>22300000</v>
      </c>
      <c r="E104" s="330">
        <f>+'Base de Datos'!M104</f>
        <v>41410</v>
      </c>
      <c r="F104" s="330">
        <f>+'Base de Datos'!N104</f>
        <v>41623</v>
      </c>
      <c r="G104" s="330">
        <f>+'Base de Datos'!T104</f>
        <v>41806</v>
      </c>
      <c r="H104" s="329">
        <f>+'Base de Datos'!U104</f>
        <v>33120000</v>
      </c>
      <c r="I104" s="331" t="str">
        <f>IF(VLOOKUP(B104,'Base de Datos'!$E$7:$S$303,11,0),"SI","NO")</f>
        <v>SI</v>
      </c>
      <c r="J104" s="332">
        <f t="shared" si="7"/>
        <v>0.85915492957746475</v>
      </c>
      <c r="K104" s="331" t="str">
        <f>IF(VLOOKUP(B104,'Base de Datos'!$E$7:$S$303,11,0),"SI","NO")</f>
        <v>SI</v>
      </c>
      <c r="L104" s="332">
        <f t="shared" si="8"/>
        <v>0.48520179372197308</v>
      </c>
      <c r="M104" s="332">
        <f>VLOOKUP(B104,'Base de Datos'!$E$7:$Z$303,21,0)</f>
        <v>0.99133303140096618</v>
      </c>
      <c r="N104" s="394" t="str">
        <f t="shared" ca="1" si="12"/>
        <v/>
      </c>
      <c r="O104" s="332">
        <f ca="1">VLOOKUP(B104,'Base de Datos'!$E$7:$Z$303,22,0)</f>
        <v>1</v>
      </c>
      <c r="P104" s="393">
        <f t="shared" ca="1" si="9"/>
        <v>1312</v>
      </c>
      <c r="Q104" s="406">
        <f t="shared" ca="1" si="13"/>
        <v>10.933333333333334</v>
      </c>
      <c r="R104" s="328" t="str">
        <f ca="1">VLOOKUP(B104,'Base de Datos'!E104:AR401,33,0)</f>
        <v>TERMINO</v>
      </c>
      <c r="S104" s="331" t="str">
        <f t="shared" ca="1" si="10"/>
        <v>NO</v>
      </c>
      <c r="T104" s="328" t="str">
        <f t="shared" ca="1" si="11"/>
        <v>Liquidar</v>
      </c>
      <c r="U104" s="328">
        <f>VLOOKUP(B104,'Base de Datos'!$E$7:$AR$401,38,0)</f>
        <v>42290</v>
      </c>
    </row>
    <row r="105" spans="1:21" ht="23.25" customHeight="1" thickTop="1" thickBot="1" x14ac:dyDescent="0.3">
      <c r="A105" s="108">
        <v>99</v>
      </c>
      <c r="B105" s="328" t="str">
        <f>+'Base de Datos'!E105</f>
        <v>130147-0-2013</v>
      </c>
      <c r="C105" s="328" t="str">
        <f>+'Base de Datos'!F105</f>
        <v>BUSINESS TECHNOLOGIES COMPANY</v>
      </c>
      <c r="D105" s="329">
        <f>+'Base de Datos'!I105</f>
        <v>1030000</v>
      </c>
      <c r="E105" s="330">
        <f>+'Base de Datos'!M105</f>
        <v>41438</v>
      </c>
      <c r="F105" s="330">
        <f>+'Base de Datos'!N105</f>
        <v>41802</v>
      </c>
      <c r="G105" s="330">
        <f>+'Base de Datos'!T105</f>
        <v>41802</v>
      </c>
      <c r="H105" s="329">
        <f>+'Base de Datos'!U105</f>
        <v>1030000</v>
      </c>
      <c r="I105" s="331" t="str">
        <f>IF(VLOOKUP(B105,'Base de Datos'!$E$7:$S$303,11,0),"SI","NO")</f>
        <v>NO</v>
      </c>
      <c r="J105" s="332" t="str">
        <f t="shared" si="7"/>
        <v/>
      </c>
      <c r="K105" s="331" t="str">
        <f>IF(VLOOKUP(B105,'Base de Datos'!$E$7:$S$303,11,0),"SI","NO")</f>
        <v>NO</v>
      </c>
      <c r="L105" s="332" t="str">
        <f t="shared" si="8"/>
        <v/>
      </c>
      <c r="M105" s="332">
        <f>VLOOKUP(B105,'Base de Datos'!$E$7:$Z$303,21,0)</f>
        <v>1</v>
      </c>
      <c r="N105" s="394" t="str">
        <f t="shared" ca="1" si="12"/>
        <v/>
      </c>
      <c r="O105" s="332">
        <f ca="1">VLOOKUP(B105,'Base de Datos'!$E$7:$Z$303,22,0)</f>
        <v>1</v>
      </c>
      <c r="P105" s="393">
        <f t="shared" ca="1" si="9"/>
        <v>1316</v>
      </c>
      <c r="Q105" s="406">
        <f t="shared" ca="1" si="13"/>
        <v>10.966666666666667</v>
      </c>
      <c r="R105" s="328" t="str">
        <f ca="1">VLOOKUP(B105,'Base de Datos'!E105:AR402,33,0)</f>
        <v>TERMINO</v>
      </c>
      <c r="S105" s="331" t="str">
        <f t="shared" ca="1" si="10"/>
        <v>NO</v>
      </c>
      <c r="T105" s="328" t="str">
        <f t="shared" ca="1" si="11"/>
        <v>Liquidar</v>
      </c>
      <c r="U105" s="328">
        <f>VLOOKUP(B105,'Base de Datos'!$E$7:$AR$401,38,0)</f>
        <v>41982</v>
      </c>
    </row>
    <row r="106" spans="1:21" ht="23.25" customHeight="1" thickTop="1" thickBot="1" x14ac:dyDescent="0.3">
      <c r="A106" s="108">
        <v>100</v>
      </c>
      <c r="B106" s="328" t="str">
        <f>+'Base de Datos'!E106</f>
        <v>130150-0-2013</v>
      </c>
      <c r="C106" s="328" t="str">
        <f>+'Base de Datos'!F106</f>
        <v>CANAL REGIONAL DE TELEVISION TEVEANDINA LTDA - TEVEANDINA LTDA</v>
      </c>
      <c r="D106" s="329">
        <f>+'Base de Datos'!I106</f>
        <v>1379939352</v>
      </c>
      <c r="E106" s="330">
        <f>+'Base de Datos'!M106</f>
        <v>41421</v>
      </c>
      <c r="F106" s="330">
        <f>+'Base de Datos'!N106</f>
        <v>41785</v>
      </c>
      <c r="G106" s="330">
        <f>+'Base de Datos'!T106</f>
        <v>41897</v>
      </c>
      <c r="H106" s="329">
        <f>+'Base de Datos'!U106</f>
        <v>1552431776</v>
      </c>
      <c r="I106" s="331" t="str">
        <f>IF(VLOOKUP(B106,'Base de Datos'!$E$7:$S$303,11,0),"SI","NO")</f>
        <v>SI</v>
      </c>
      <c r="J106" s="332">
        <f t="shared" si="7"/>
        <v>0.30769230769230771</v>
      </c>
      <c r="K106" s="331" t="str">
        <f>IF(VLOOKUP(B106,'Base de Datos'!$E$7:$S$303,11,0),"SI","NO")</f>
        <v>SI</v>
      </c>
      <c r="L106" s="332">
        <f t="shared" si="8"/>
        <v>0.12500000362334765</v>
      </c>
      <c r="M106" s="332">
        <f>VLOOKUP(B106,'Base de Datos'!$E$7:$Z$303,21,0)</f>
        <v>0.99999999935584927</v>
      </c>
      <c r="N106" s="394" t="str">
        <f t="shared" ca="1" si="12"/>
        <v/>
      </c>
      <c r="O106" s="332">
        <f ca="1">VLOOKUP(B106,'Base de Datos'!$E$7:$Z$303,22,0)</f>
        <v>1</v>
      </c>
      <c r="P106" s="393">
        <f t="shared" ca="1" si="9"/>
        <v>1221</v>
      </c>
      <c r="Q106" s="406">
        <f t="shared" ca="1" si="13"/>
        <v>10.175000000000001</v>
      </c>
      <c r="R106" s="328" t="str">
        <f ca="1">VLOOKUP(B106,'Base de Datos'!E106:AR403,33,0)</f>
        <v>TERMINO</v>
      </c>
      <c r="S106" s="331" t="str">
        <f t="shared" ca="1" si="10"/>
        <v>NO</v>
      </c>
      <c r="T106" s="328" t="str">
        <f t="shared" ca="1" si="11"/>
        <v>Liquidar</v>
      </c>
      <c r="U106" s="328">
        <f>VLOOKUP(B106,'Base de Datos'!$E$7:$AR$401,38,0)</f>
        <v>42051</v>
      </c>
    </row>
    <row r="107" spans="1:21" ht="23.25" customHeight="1" thickTop="1" thickBot="1" x14ac:dyDescent="0.3">
      <c r="A107" s="108">
        <v>101</v>
      </c>
      <c r="B107" s="328" t="str">
        <f>+'Base de Datos'!E107</f>
        <v>130152-0-2013</v>
      </c>
      <c r="C107" s="328" t="str">
        <f>+'Base de Datos'!F107</f>
        <v>EDITORIAL EL GLOBO S.A</v>
      </c>
      <c r="D107" s="329">
        <f>+'Base de Datos'!I107</f>
        <v>849000</v>
      </c>
      <c r="E107" s="330">
        <f>+'Base de Datos'!M107</f>
        <v>41421</v>
      </c>
      <c r="F107" s="330">
        <f>+'Base de Datos'!N107</f>
        <v>41969</v>
      </c>
      <c r="G107" s="330">
        <f>+'Base de Datos'!T107</f>
        <v>41969</v>
      </c>
      <c r="H107" s="329">
        <f>+'Base de Datos'!U107</f>
        <v>849000</v>
      </c>
      <c r="I107" s="331" t="str">
        <f>IF(VLOOKUP(B107,'Base de Datos'!$E$7:$S$303,11,0),"SI","NO")</f>
        <v>NO</v>
      </c>
      <c r="J107" s="332" t="str">
        <f t="shared" si="7"/>
        <v/>
      </c>
      <c r="K107" s="331" t="str">
        <f>IF(VLOOKUP(B107,'Base de Datos'!$E$7:$S$303,11,0),"SI","NO")</f>
        <v>NO</v>
      </c>
      <c r="L107" s="332" t="str">
        <f t="shared" si="8"/>
        <v/>
      </c>
      <c r="M107" s="332">
        <f>VLOOKUP(B107,'Base de Datos'!$E$7:$Z$303,21,0)</f>
        <v>1</v>
      </c>
      <c r="N107" s="394" t="str">
        <f t="shared" ca="1" si="12"/>
        <v/>
      </c>
      <c r="O107" s="332">
        <f ca="1">VLOOKUP(B107,'Base de Datos'!$E$7:$Z$303,22,0)</f>
        <v>1</v>
      </c>
      <c r="P107" s="393">
        <f t="shared" ca="1" si="9"/>
        <v>1149</v>
      </c>
      <c r="Q107" s="406">
        <f t="shared" ca="1" si="13"/>
        <v>9.5749999999999993</v>
      </c>
      <c r="R107" s="328" t="str">
        <f ca="1">VLOOKUP(B107,'Base de Datos'!E107:AR404,33,0)</f>
        <v>TERMINO</v>
      </c>
      <c r="S107" s="331" t="str">
        <f t="shared" ca="1" si="10"/>
        <v>NO</v>
      </c>
      <c r="T107" s="328" t="str">
        <f t="shared" ca="1" si="11"/>
        <v>Liquidar</v>
      </c>
      <c r="U107" s="328">
        <f>VLOOKUP(B107,'Base de Datos'!$E$7:$AR$401,38,0)</f>
        <v>42286</v>
      </c>
    </row>
    <row r="108" spans="1:21" ht="23.25" customHeight="1" thickTop="1" thickBot="1" x14ac:dyDescent="0.3">
      <c r="A108" s="108">
        <v>102</v>
      </c>
      <c r="B108" s="328" t="str">
        <f>+'Base de Datos'!E108</f>
        <v>130154-0-2013</v>
      </c>
      <c r="C108" s="328" t="str">
        <f>+'Base de Datos'!F108</f>
        <v>MUDANZAS LEMUS</v>
      </c>
      <c r="D108" s="329">
        <f>+'Base de Datos'!I108</f>
        <v>15000000</v>
      </c>
      <c r="E108" s="330">
        <f>+'Base de Datos'!M108</f>
        <v>41459</v>
      </c>
      <c r="F108" s="330">
        <f>+'Base de Datos'!N108</f>
        <v>41701</v>
      </c>
      <c r="G108" s="330">
        <f>+'Base de Datos'!T108</f>
        <v>41823</v>
      </c>
      <c r="H108" s="329">
        <f>+'Base de Datos'!U108</f>
        <v>15000000</v>
      </c>
      <c r="I108" s="331" t="str">
        <f>IF(VLOOKUP(B108,'Base de Datos'!$E$7:$S$303,11,0),"SI","NO")</f>
        <v>NO</v>
      </c>
      <c r="J108" s="332" t="str">
        <f t="shared" si="7"/>
        <v/>
      </c>
      <c r="K108" s="331" t="str">
        <f>IF(VLOOKUP(B108,'Base de Datos'!$E$7:$S$303,11,0),"SI","NO")</f>
        <v>NO</v>
      </c>
      <c r="L108" s="332" t="str">
        <f t="shared" si="8"/>
        <v/>
      </c>
      <c r="M108" s="332">
        <f>VLOOKUP(B108,'Base de Datos'!$E$7:$Z$303,21,0)</f>
        <v>0.357908</v>
      </c>
      <c r="N108" s="394" t="str">
        <f t="shared" ca="1" si="12"/>
        <v/>
      </c>
      <c r="O108" s="332">
        <f ca="1">VLOOKUP(B108,'Base de Datos'!$E$7:$Z$303,22,0)</f>
        <v>1</v>
      </c>
      <c r="P108" s="393">
        <f t="shared" ca="1" si="9"/>
        <v>1295</v>
      </c>
      <c r="Q108" s="406">
        <f t="shared" ca="1" si="13"/>
        <v>10.791666666666666</v>
      </c>
      <c r="R108" s="328" t="str">
        <f ca="1">VLOOKUP(B108,'Base de Datos'!E108:AR409,33,0)</f>
        <v>TERMINO</v>
      </c>
      <c r="S108" s="331" t="str">
        <f t="shared" ca="1" si="10"/>
        <v>NO</v>
      </c>
      <c r="T108" s="328" t="str">
        <f t="shared" ca="1" si="11"/>
        <v>Liquidar</v>
      </c>
      <c r="U108" s="328">
        <f>VLOOKUP(B108,'Base de Datos'!$E$7:$AR$401,38,0)</f>
        <v>42004</v>
      </c>
    </row>
    <row r="109" spans="1:21" ht="23.25" customHeight="1" thickTop="1" thickBot="1" x14ac:dyDescent="0.3">
      <c r="A109" s="108">
        <v>103</v>
      </c>
      <c r="B109" s="328" t="str">
        <f>+'Base de Datos'!E109</f>
        <v>130156-0-2013</v>
      </c>
      <c r="C109" s="328" t="str">
        <f>+'Base de Datos'!F109</f>
        <v>SOLUTION COPY LTDA</v>
      </c>
      <c r="D109" s="329">
        <f>+'Base de Datos'!I109</f>
        <v>31904847</v>
      </c>
      <c r="E109" s="330">
        <f>+'Base de Datos'!M109</f>
        <v>41426</v>
      </c>
      <c r="F109" s="330">
        <f>+'Base de Datos'!N109</f>
        <v>41729</v>
      </c>
      <c r="G109" s="330">
        <f>+'Base de Datos'!T109</f>
        <v>41820</v>
      </c>
      <c r="H109" s="329">
        <f>+'Base de Datos'!U109</f>
        <v>35904847</v>
      </c>
      <c r="I109" s="331" t="str">
        <f>IF(VLOOKUP(B109,'Base de Datos'!$E$7:$S$303,11,0),"SI","NO")</f>
        <v>SI</v>
      </c>
      <c r="J109" s="332">
        <f t="shared" si="7"/>
        <v>0.30033003300330036</v>
      </c>
      <c r="K109" s="331" t="str">
        <f>IF(VLOOKUP(B109,'Base de Datos'!$E$7:$S$303,11,0),"SI","NO")</f>
        <v>SI</v>
      </c>
      <c r="L109" s="332">
        <f t="shared" si="8"/>
        <v>0.12537279993851719</v>
      </c>
      <c r="M109" s="332">
        <f>VLOOKUP(B109,'Base de Datos'!$E$7:$Z$303,21,0)</f>
        <v>0.99999994429721428</v>
      </c>
      <c r="N109" s="394" t="str">
        <f t="shared" ca="1" si="12"/>
        <v/>
      </c>
      <c r="O109" s="332">
        <f ca="1">VLOOKUP(B109,'Base de Datos'!$E$7:$Z$303,22,0)</f>
        <v>1</v>
      </c>
      <c r="P109" s="393">
        <f t="shared" ca="1" si="9"/>
        <v>1298</v>
      </c>
      <c r="Q109" s="406">
        <f t="shared" ca="1" si="13"/>
        <v>10.816666666666666</v>
      </c>
      <c r="R109" s="328" t="str">
        <f ca="1">VLOOKUP(B109,'Base de Datos'!E109:AR410,33,0)</f>
        <v>TERMINO</v>
      </c>
      <c r="S109" s="331" t="str">
        <f t="shared" ca="1" si="10"/>
        <v>NO</v>
      </c>
      <c r="T109" s="328" t="str">
        <f t="shared" ca="1" si="11"/>
        <v>Liquidar</v>
      </c>
      <c r="U109" s="328">
        <f>VLOOKUP(B109,'Base de Datos'!$E$7:$AR$401,38,0)</f>
        <v>0</v>
      </c>
    </row>
    <row r="110" spans="1:21" ht="23.25" customHeight="1" thickTop="1" thickBot="1" x14ac:dyDescent="0.3">
      <c r="A110" s="108">
        <v>104</v>
      </c>
      <c r="B110" s="328" t="str">
        <f>+'Base de Datos'!E110</f>
        <v>130161-0-2013</v>
      </c>
      <c r="C110" s="328" t="str">
        <f>+'Base de Datos'!F110</f>
        <v>AUGUSTO MEDIVELSO OJEDA</v>
      </c>
      <c r="D110" s="329">
        <f>+'Base de Datos'!I110</f>
        <v>40000000</v>
      </c>
      <c r="E110" s="330">
        <f>+'Base de Datos'!M110</f>
        <v>41416</v>
      </c>
      <c r="F110" s="330">
        <f>+'Base de Datos'!N110</f>
        <v>41660</v>
      </c>
      <c r="G110" s="330">
        <f>+'Base de Datos'!T110</f>
        <v>41660</v>
      </c>
      <c r="H110" s="329">
        <f>+'Base de Datos'!U110</f>
        <v>40000000</v>
      </c>
      <c r="I110" s="331" t="str">
        <f>IF(VLOOKUP(B110,'Base de Datos'!$E$7:$S$303,11,0),"SI","NO")</f>
        <v>NO</v>
      </c>
      <c r="J110" s="332" t="str">
        <f t="shared" si="7"/>
        <v/>
      </c>
      <c r="K110" s="331" t="str">
        <f>IF(VLOOKUP(B110,'Base de Datos'!$E$7:$S$303,11,0),"SI","NO")</f>
        <v>NO</v>
      </c>
      <c r="L110" s="332" t="str">
        <f t="shared" si="8"/>
        <v/>
      </c>
      <c r="M110" s="332">
        <f>VLOOKUP(B110,'Base de Datos'!$E$7:$Z$303,21,0)</f>
        <v>0.41667500000000002</v>
      </c>
      <c r="N110" s="394" t="str">
        <f t="shared" ca="1" si="12"/>
        <v/>
      </c>
      <c r="O110" s="332">
        <f ca="1">VLOOKUP(B110,'Base de Datos'!$E$7:$Z$303,22,0)</f>
        <v>1</v>
      </c>
      <c r="P110" s="393">
        <f t="shared" ca="1" si="9"/>
        <v>1458</v>
      </c>
      <c r="Q110" s="406">
        <f t="shared" ca="1" si="13"/>
        <v>12.15</v>
      </c>
      <c r="R110" s="328" t="str">
        <f ca="1">VLOOKUP(B110,'Base de Datos'!E110:AR421,33,0)</f>
        <v>TERMINO</v>
      </c>
      <c r="S110" s="331" t="str">
        <f t="shared" ca="1" si="10"/>
        <v>NO</v>
      </c>
      <c r="T110" s="328" t="str">
        <f t="shared" ca="1" si="11"/>
        <v>Liquidar</v>
      </c>
      <c r="U110" s="328">
        <f>VLOOKUP(B110,'Base de Datos'!$E$7:$AR$401,38,0)</f>
        <v>42325</v>
      </c>
    </row>
    <row r="111" spans="1:21" ht="23.25" customHeight="1" thickTop="1" thickBot="1" x14ac:dyDescent="0.3">
      <c r="A111" s="108">
        <v>105</v>
      </c>
      <c r="B111" s="328" t="str">
        <f>+'Base de Datos'!E111</f>
        <v>130162-0-2013</v>
      </c>
      <c r="C111" s="328" t="str">
        <f>+'Base de Datos'!F111</f>
        <v>SGS COLOMBIA S.A.</v>
      </c>
      <c r="D111" s="329">
        <f>+'Base de Datos'!I111</f>
        <v>4524000</v>
      </c>
      <c r="E111" s="330">
        <f>+'Base de Datos'!M111</f>
        <v>41548</v>
      </c>
      <c r="F111" s="330">
        <f>+'Base de Datos'!N111</f>
        <v>41578</v>
      </c>
      <c r="G111" s="330">
        <f>+'Base de Datos'!T111</f>
        <v>41578</v>
      </c>
      <c r="H111" s="329">
        <f>+'Base de Datos'!U111</f>
        <v>4524000</v>
      </c>
      <c r="I111" s="331" t="str">
        <f>IF(VLOOKUP(B111,'Base de Datos'!$E$7:$S$303,11,0),"SI","NO")</f>
        <v>NO</v>
      </c>
      <c r="J111" s="332" t="str">
        <f t="shared" si="7"/>
        <v/>
      </c>
      <c r="K111" s="331" t="str">
        <f>IF(VLOOKUP(B111,'Base de Datos'!$E$7:$S$303,11,0),"SI","NO")</f>
        <v>NO</v>
      </c>
      <c r="L111" s="332" t="str">
        <f t="shared" si="8"/>
        <v/>
      </c>
      <c r="M111" s="332">
        <f>VLOOKUP(B111,'Base de Datos'!$E$7:$Z$303,21,0)</f>
        <v>1</v>
      </c>
      <c r="N111" s="394" t="str">
        <f t="shared" ca="1" si="12"/>
        <v/>
      </c>
      <c r="O111" s="332">
        <f ca="1">VLOOKUP(B111,'Base de Datos'!$E$7:$Z$303,22,0)</f>
        <v>1</v>
      </c>
      <c r="P111" s="393">
        <f t="shared" ca="1" si="9"/>
        <v>1540</v>
      </c>
      <c r="Q111" s="406">
        <f t="shared" ca="1" si="13"/>
        <v>12.833333333333334</v>
      </c>
      <c r="R111" s="328" t="str">
        <f ca="1">VLOOKUP(B111,'Base de Datos'!E111:AR422,33,0)</f>
        <v>TERMINO</v>
      </c>
      <c r="S111" s="331" t="str">
        <f t="shared" ca="1" si="10"/>
        <v>NO</v>
      </c>
      <c r="T111" s="328" t="str">
        <f t="shared" ca="1" si="11"/>
        <v>Liquidar</v>
      </c>
      <c r="U111" s="328">
        <f>VLOOKUP(B111,'Base de Datos'!$E$7:$AR$401,38,0)</f>
        <v>41905</v>
      </c>
    </row>
    <row r="112" spans="1:21" ht="23.25" customHeight="1" thickTop="1" thickBot="1" x14ac:dyDescent="0.3">
      <c r="A112" s="108">
        <v>106</v>
      </c>
      <c r="B112" s="328" t="str">
        <f>+'Base de Datos'!E112</f>
        <v>130163-0-2013</v>
      </c>
      <c r="C112" s="328" t="str">
        <f>+'Base de Datos'!F112</f>
        <v>KHAANKO NORBERTO RUIZ RODRÍGUEZ</v>
      </c>
      <c r="D112" s="329">
        <f>+'Base de Datos'!I112</f>
        <v>20800000</v>
      </c>
      <c r="E112" s="330">
        <f>+'Base de Datos'!M112</f>
        <v>41421</v>
      </c>
      <c r="F112" s="330">
        <f>+'Base de Datos'!N112</f>
        <v>41665</v>
      </c>
      <c r="G112" s="330">
        <f>+'Base de Datos'!T112</f>
        <v>41665</v>
      </c>
      <c r="H112" s="329">
        <f>+'Base de Datos'!U112</f>
        <v>20800000</v>
      </c>
      <c r="I112" s="331" t="str">
        <f>IF(VLOOKUP(B112,'Base de Datos'!$E$7:$S$303,11,0),"SI","NO")</f>
        <v>NO</v>
      </c>
      <c r="J112" s="332" t="str">
        <f t="shared" si="7"/>
        <v/>
      </c>
      <c r="K112" s="331" t="str">
        <f>IF(VLOOKUP(B112,'Base de Datos'!$E$7:$S$303,11,0),"SI","NO")</f>
        <v>NO</v>
      </c>
      <c r="L112" s="332" t="str">
        <f t="shared" si="8"/>
        <v/>
      </c>
      <c r="M112" s="332">
        <f>VLOOKUP(B112,'Base de Datos'!$E$7:$Z$303,21,0)</f>
        <v>1</v>
      </c>
      <c r="N112" s="394" t="str">
        <f t="shared" ca="1" si="12"/>
        <v/>
      </c>
      <c r="O112" s="332">
        <f ca="1">VLOOKUP(B112,'Base de Datos'!$E$7:$Z$303,22,0)</f>
        <v>1</v>
      </c>
      <c r="P112" s="393">
        <f t="shared" ca="1" si="9"/>
        <v>1453</v>
      </c>
      <c r="Q112" s="406">
        <f t="shared" ca="1" si="13"/>
        <v>12.108333333333333</v>
      </c>
      <c r="R112" s="328" t="str">
        <f ca="1">VLOOKUP(B112,'Base de Datos'!E112:AR423,33,0)</f>
        <v>TERMINO</v>
      </c>
      <c r="S112" s="331" t="str">
        <f t="shared" ca="1" si="10"/>
        <v>NO</v>
      </c>
      <c r="T112" s="328" t="str">
        <f t="shared" ca="1" si="11"/>
        <v>Liquidar</v>
      </c>
      <c r="U112" s="328">
        <f>VLOOKUP(B112,'Base de Datos'!$E$7:$AR$401,38,0)</f>
        <v>41712</v>
      </c>
    </row>
    <row r="113" spans="1:21" ht="23.25" customHeight="1" thickTop="1" thickBot="1" x14ac:dyDescent="0.3">
      <c r="A113" s="108">
        <v>107</v>
      </c>
      <c r="B113" s="328" t="str">
        <f>+'Base de Datos'!E113</f>
        <v>130164-0-2013</v>
      </c>
      <c r="C113" s="328" t="str">
        <f>+'Base de Datos'!F113</f>
        <v>EDELMIRA ATARA GIL</v>
      </c>
      <c r="D113" s="329">
        <f>+'Base de Datos'!I113</f>
        <v>28000000</v>
      </c>
      <c r="E113" s="330">
        <f>+'Base de Datos'!M113</f>
        <v>41423</v>
      </c>
      <c r="F113" s="330">
        <f>+'Base de Datos'!N113</f>
        <v>41667</v>
      </c>
      <c r="G113" s="330">
        <f>+'Base de Datos'!T113</f>
        <v>41667</v>
      </c>
      <c r="H113" s="329">
        <f>+'Base de Datos'!U113</f>
        <v>28000000</v>
      </c>
      <c r="I113" s="331" t="str">
        <f>IF(VLOOKUP(B113,'Base de Datos'!$E$7:$S$303,11,0),"SI","NO")</f>
        <v>NO</v>
      </c>
      <c r="J113" s="332" t="str">
        <f t="shared" si="7"/>
        <v/>
      </c>
      <c r="K113" s="331" t="str">
        <f>IF(VLOOKUP(B113,'Base de Datos'!$E$7:$S$303,11,0),"SI","NO")</f>
        <v>NO</v>
      </c>
      <c r="L113" s="332" t="str">
        <f t="shared" si="8"/>
        <v/>
      </c>
      <c r="M113" s="332">
        <f>VLOOKUP(B113,'Base de Datos'!$E$7:$Z$303,21,0)</f>
        <v>1</v>
      </c>
      <c r="N113" s="394" t="str">
        <f t="shared" ca="1" si="12"/>
        <v/>
      </c>
      <c r="O113" s="332">
        <f ca="1">VLOOKUP(B113,'Base de Datos'!$E$7:$Z$303,22,0)</f>
        <v>1</v>
      </c>
      <c r="P113" s="393">
        <f t="shared" ca="1" si="9"/>
        <v>1451</v>
      </c>
      <c r="Q113" s="406">
        <f t="shared" ca="1" si="13"/>
        <v>12.091666666666667</v>
      </c>
      <c r="R113" s="328" t="str">
        <f ca="1">VLOOKUP(B113,'Base de Datos'!E113:AR424,33,0)</f>
        <v>TERMINO</v>
      </c>
      <c r="S113" s="331" t="str">
        <f t="shared" ca="1" si="10"/>
        <v>NO</v>
      </c>
      <c r="T113" s="328" t="str">
        <f t="shared" ca="1" si="11"/>
        <v>Liquidar</v>
      </c>
      <c r="U113" s="328">
        <f>VLOOKUP(B113,'Base de Datos'!$E$7:$AR$401,38,0)</f>
        <v>0</v>
      </c>
    </row>
    <row r="114" spans="1:21" ht="23.25" customHeight="1" thickTop="1" thickBot="1" x14ac:dyDescent="0.3">
      <c r="A114" s="108">
        <v>108</v>
      </c>
      <c r="B114" s="328" t="str">
        <f>+'Base de Datos'!E114</f>
        <v>130166-0-2013</v>
      </c>
      <c r="C114" s="328" t="str">
        <f>+'Base de Datos'!F114</f>
        <v>RICOH COLOMBIA S.A.</v>
      </c>
      <c r="D114" s="329">
        <f>+'Base de Datos'!I114</f>
        <v>266580829</v>
      </c>
      <c r="E114" s="330">
        <f>+'Base de Datos'!M114</f>
        <v>41457</v>
      </c>
      <c r="F114" s="330">
        <f>+'Base de Datos'!N114</f>
        <v>41501</v>
      </c>
      <c r="G114" s="330">
        <f>+'Base de Datos'!T114</f>
        <v>41501</v>
      </c>
      <c r="H114" s="329">
        <f>+'Base de Datos'!U114</f>
        <v>266580829</v>
      </c>
      <c r="I114" s="331" t="str">
        <f>IF(VLOOKUP(B114,'Base de Datos'!$E$7:$S$303,11,0),"SI","NO")</f>
        <v>NO</v>
      </c>
      <c r="J114" s="332" t="str">
        <f t="shared" si="7"/>
        <v/>
      </c>
      <c r="K114" s="331" t="str">
        <f>IF(VLOOKUP(B114,'Base de Datos'!$E$7:$S$303,11,0),"SI","NO")</f>
        <v>NO</v>
      </c>
      <c r="L114" s="332" t="str">
        <f t="shared" si="8"/>
        <v/>
      </c>
      <c r="M114" s="332">
        <f>VLOOKUP(B114,'Base de Datos'!$E$7:$Z$303,21,0)</f>
        <v>1</v>
      </c>
      <c r="N114" s="394" t="str">
        <f t="shared" ca="1" si="12"/>
        <v/>
      </c>
      <c r="O114" s="332">
        <f ca="1">VLOOKUP(B114,'Base de Datos'!$E$7:$Z$303,22,0)</f>
        <v>1</v>
      </c>
      <c r="P114" s="393">
        <f t="shared" ca="1" si="9"/>
        <v>1617</v>
      </c>
      <c r="Q114" s="406">
        <f t="shared" ca="1" si="13"/>
        <v>13.475</v>
      </c>
      <c r="R114" s="328" t="str">
        <f ca="1">VLOOKUP(B114,'Base de Datos'!E114:AR425,33,0)</f>
        <v>TERMINO</v>
      </c>
      <c r="S114" s="331" t="str">
        <f t="shared" ca="1" si="10"/>
        <v>NO</v>
      </c>
      <c r="T114" s="328" t="str">
        <f t="shared" ca="1" si="11"/>
        <v>Liquidar</v>
      </c>
      <c r="U114" s="328">
        <f>VLOOKUP(B114,'Base de Datos'!$E$7:$AR$401,38,0)</f>
        <v>42118</v>
      </c>
    </row>
    <row r="115" spans="1:21" ht="23.25" customHeight="1" thickTop="1" thickBot="1" x14ac:dyDescent="0.3">
      <c r="A115" s="108">
        <v>109</v>
      </c>
      <c r="B115" s="328" t="str">
        <f>+'Base de Datos'!E115</f>
        <v>130186-0-2013</v>
      </c>
      <c r="C115" s="328" t="str">
        <f>+'Base de Datos'!F115</f>
        <v>INVERSIONES MATAY SAS</v>
      </c>
      <c r="D115" s="329">
        <f>+'Base de Datos'!I115</f>
        <v>232000000</v>
      </c>
      <c r="E115" s="330">
        <f>+'Base de Datos'!M115</f>
        <v>41463</v>
      </c>
      <c r="F115" s="330">
        <f>+'Base de Datos'!N115</f>
        <v>41766</v>
      </c>
      <c r="G115" s="330">
        <f>+'Base de Datos'!T115</f>
        <v>41849</v>
      </c>
      <c r="H115" s="329">
        <f>+'Base de Datos'!U115</f>
        <v>348897514</v>
      </c>
      <c r="I115" s="331" t="str">
        <f>IF(VLOOKUP(B115,'Base de Datos'!$E$7:$S$303,11,0),"SI","NO")</f>
        <v>SI</v>
      </c>
      <c r="J115" s="332">
        <f t="shared" si="7"/>
        <v>0.27392739273927391</v>
      </c>
      <c r="K115" s="331" t="str">
        <f>IF(VLOOKUP(B115,'Base de Datos'!$E$7:$S$303,11,0),"SI","NO")</f>
        <v>SI</v>
      </c>
      <c r="L115" s="332">
        <f t="shared" si="8"/>
        <v>0.50386859482758617</v>
      </c>
      <c r="M115" s="332">
        <f>VLOOKUP(B115,'Base de Datos'!$E$7:$Z$303,21,0)</f>
        <v>1</v>
      </c>
      <c r="N115" s="394" t="str">
        <f t="shared" ca="1" si="12"/>
        <v/>
      </c>
      <c r="O115" s="332">
        <f ca="1">VLOOKUP(B115,'Base de Datos'!$E$7:$Z$303,22,0)</f>
        <v>1</v>
      </c>
      <c r="P115" s="393">
        <f t="shared" ca="1" si="9"/>
        <v>1269</v>
      </c>
      <c r="Q115" s="406">
        <f t="shared" ca="1" si="13"/>
        <v>10.574999999999999</v>
      </c>
      <c r="R115" s="328" t="str">
        <f ca="1">VLOOKUP(B115,'Base de Datos'!E115:AR426,33,0)</f>
        <v>TERMINO</v>
      </c>
      <c r="S115" s="331" t="str">
        <f t="shared" ca="1" si="10"/>
        <v>NO</v>
      </c>
      <c r="T115" s="328" t="str">
        <f t="shared" ca="1" si="11"/>
        <v>Liquidar</v>
      </c>
      <c r="U115" s="328">
        <f>VLOOKUP(B115,'Base de Datos'!$E$7:$AR$401,38,0)</f>
        <v>42081</v>
      </c>
    </row>
    <row r="116" spans="1:21" ht="23.25" customHeight="1" thickTop="1" thickBot="1" x14ac:dyDescent="0.3">
      <c r="A116" s="108">
        <v>110</v>
      </c>
      <c r="B116" s="328" t="str">
        <f>+'Base de Datos'!E116</f>
        <v>130190-0-2013</v>
      </c>
      <c r="C116" s="328" t="str">
        <f>+'Base de Datos'!F116</f>
        <v>CR TROFEOS LTDA</v>
      </c>
      <c r="D116" s="329">
        <f>+'Base de Datos'!I116</f>
        <v>23246000</v>
      </c>
      <c r="E116" s="330">
        <f>+'Base de Datos'!M116</f>
        <v>41463</v>
      </c>
      <c r="F116" s="330">
        <f>+'Base de Datos'!N116</f>
        <v>41646</v>
      </c>
      <c r="G116" s="330">
        <f>+'Base de Datos'!T116</f>
        <v>41736</v>
      </c>
      <c r="H116" s="329">
        <f>+'Base de Datos'!U116</f>
        <v>23246000</v>
      </c>
      <c r="I116" s="331" t="str">
        <f>IF(VLOOKUP(B116,'Base de Datos'!$E$7:$S$303,11,0),"SI","NO")</f>
        <v>NO</v>
      </c>
      <c r="J116" s="332" t="str">
        <f t="shared" si="7"/>
        <v/>
      </c>
      <c r="K116" s="331" t="str">
        <f>IF(VLOOKUP(B116,'Base de Datos'!$E$7:$S$303,11,0),"SI","NO")</f>
        <v>NO</v>
      </c>
      <c r="L116" s="332" t="str">
        <f t="shared" si="8"/>
        <v/>
      </c>
      <c r="M116" s="332">
        <f>VLOOKUP(B116,'Base de Datos'!$E$7:$Z$303,21,0)</f>
        <v>0.85059696291835152</v>
      </c>
      <c r="N116" s="394" t="str">
        <f t="shared" ca="1" si="12"/>
        <v/>
      </c>
      <c r="O116" s="332">
        <f ca="1">VLOOKUP(B116,'Base de Datos'!$E$7:$Z$303,22,0)</f>
        <v>1</v>
      </c>
      <c r="P116" s="393">
        <f t="shared" ca="1" si="9"/>
        <v>1382</v>
      </c>
      <c r="Q116" s="406">
        <f t="shared" ca="1" si="13"/>
        <v>11.516666666666667</v>
      </c>
      <c r="R116" s="328" t="str">
        <f ca="1">VLOOKUP(B116,'Base de Datos'!E116:AR427,33,0)</f>
        <v>TERMINO</v>
      </c>
      <c r="S116" s="331" t="str">
        <f t="shared" ca="1" si="10"/>
        <v>NO</v>
      </c>
      <c r="T116" s="328" t="str">
        <f t="shared" ca="1" si="11"/>
        <v>Liquidar</v>
      </c>
      <c r="U116" s="328">
        <f>VLOOKUP(B116,'Base de Datos'!$E$7:$AR$401,38,0)</f>
        <v>42004</v>
      </c>
    </row>
    <row r="117" spans="1:21" ht="23.25" customHeight="1" thickTop="1" thickBot="1" x14ac:dyDescent="0.3">
      <c r="A117" s="108">
        <v>111</v>
      </c>
      <c r="B117" s="328" t="str">
        <f>+'Base de Datos'!E117</f>
        <v>130194-0-2013</v>
      </c>
      <c r="C117" s="328" t="str">
        <f>+'Base de Datos'!F117</f>
        <v xml:space="preserve">UNIÓN TEMPORAL EMINSER-SOLOASEO </v>
      </c>
      <c r="D117" s="329">
        <f>+'Base de Datos'!I117</f>
        <v>301200000</v>
      </c>
      <c r="E117" s="330">
        <f>+'Base de Datos'!M117</f>
        <v>41446</v>
      </c>
      <c r="F117" s="330">
        <f>+'Base de Datos'!N117</f>
        <v>41718</v>
      </c>
      <c r="G117" s="330">
        <f>+'Base de Datos'!T117</f>
        <v>41810</v>
      </c>
      <c r="H117" s="329">
        <f>+'Base de Datos'!U117</f>
        <v>321573359</v>
      </c>
      <c r="I117" s="331" t="str">
        <f>IF(VLOOKUP(B117,'Base de Datos'!$E$7:$S$303,11,0),"SI","NO")</f>
        <v>SI</v>
      </c>
      <c r="J117" s="332">
        <f t="shared" si="7"/>
        <v>0.33823529411764708</v>
      </c>
      <c r="K117" s="331" t="str">
        <f>IF(VLOOKUP(B117,'Base de Datos'!$E$7:$S$303,11,0),"SI","NO")</f>
        <v>SI</v>
      </c>
      <c r="L117" s="332">
        <f t="shared" si="8"/>
        <v>6.764063413014608E-2</v>
      </c>
      <c r="M117" s="332">
        <f>VLOOKUP(B117,'Base de Datos'!$E$7:$Z$303,21,0)</f>
        <v>0.98649968699677015</v>
      </c>
      <c r="N117" s="394" t="str">
        <f t="shared" ca="1" si="12"/>
        <v/>
      </c>
      <c r="O117" s="332">
        <f ca="1">VLOOKUP(B117,'Base de Datos'!$E$7:$Z$303,22,0)</f>
        <v>1</v>
      </c>
      <c r="P117" s="393">
        <f t="shared" ca="1" si="9"/>
        <v>1308</v>
      </c>
      <c r="Q117" s="406">
        <f t="shared" ca="1" si="13"/>
        <v>10.9</v>
      </c>
      <c r="R117" s="328" t="str">
        <f ca="1">VLOOKUP(B117,'Base de Datos'!E117:AR428,33,0)</f>
        <v>TERMINO</v>
      </c>
      <c r="S117" s="331" t="str">
        <f t="shared" ca="1" si="10"/>
        <v>NO</v>
      </c>
      <c r="T117" s="328" t="str">
        <f t="shared" ca="1" si="11"/>
        <v>Liquidar</v>
      </c>
      <c r="U117" s="328">
        <f>VLOOKUP(B117,'Base de Datos'!$E$7:$AR$401,38,0)</f>
        <v>0</v>
      </c>
    </row>
    <row r="118" spans="1:21" ht="23.25" customHeight="1" thickTop="1" thickBot="1" x14ac:dyDescent="0.3">
      <c r="A118" s="108">
        <v>112</v>
      </c>
      <c r="B118" s="328" t="str">
        <f>+'Base de Datos'!E118</f>
        <v>130196-0-2013</v>
      </c>
      <c r="C118" s="328" t="str">
        <f>+'Base de Datos'!F118</f>
        <v>CARLOS ALFONSO RESTREPO</v>
      </c>
      <c r="D118" s="329">
        <f>+'Base de Datos'!I118</f>
        <v>15797970</v>
      </c>
      <c r="E118" s="330">
        <f>+'Base de Datos'!M118</f>
        <v>41464</v>
      </c>
      <c r="F118" s="330">
        <f>+'Base de Datos'!N118</f>
        <v>41737</v>
      </c>
      <c r="G118" s="330">
        <f>+'Base de Datos'!T118</f>
        <v>41851</v>
      </c>
      <c r="H118" s="329">
        <f>+'Base de Datos'!U118</f>
        <v>22292691</v>
      </c>
      <c r="I118" s="331" t="str">
        <f>IF(VLOOKUP(B118,'Base de Datos'!$E$7:$S$303,11,0),"SI","NO")</f>
        <v>SI</v>
      </c>
      <c r="J118" s="332">
        <f t="shared" si="7"/>
        <v>0.4175824175824176</v>
      </c>
      <c r="K118" s="331" t="str">
        <f>IF(VLOOKUP(B118,'Base de Datos'!$E$7:$S$303,11,0),"SI","NO")</f>
        <v>SI</v>
      </c>
      <c r="L118" s="332">
        <f t="shared" si="8"/>
        <v>0.41111111111111109</v>
      </c>
      <c r="M118" s="332">
        <f>VLOOKUP(B118,'Base de Datos'!$E$7:$Z$303,21,0)</f>
        <v>1</v>
      </c>
      <c r="N118" s="394" t="str">
        <f t="shared" ca="1" si="12"/>
        <v/>
      </c>
      <c r="O118" s="332">
        <f ca="1">VLOOKUP(B118,'Base de Datos'!$E$7:$Z$303,22,0)</f>
        <v>1</v>
      </c>
      <c r="P118" s="393">
        <f t="shared" ca="1" si="9"/>
        <v>1267</v>
      </c>
      <c r="Q118" s="406">
        <f t="shared" ca="1" si="13"/>
        <v>10.558333333333334</v>
      </c>
      <c r="R118" s="328" t="str">
        <f ca="1">VLOOKUP(B118,'Base de Datos'!E118:AR429,33,0)</f>
        <v>TERMINO</v>
      </c>
      <c r="S118" s="331" t="str">
        <f t="shared" ca="1" si="10"/>
        <v>NO</v>
      </c>
      <c r="T118" s="328" t="str">
        <f t="shared" ca="1" si="11"/>
        <v>Liquidar</v>
      </c>
      <c r="U118" s="328">
        <f>VLOOKUP(B118,'Base de Datos'!$E$7:$AR$401,38,0)</f>
        <v>0</v>
      </c>
    </row>
    <row r="119" spans="1:21" ht="23.25" customHeight="1" thickTop="1" thickBot="1" x14ac:dyDescent="0.3">
      <c r="A119" s="108">
        <v>113</v>
      </c>
      <c r="B119" s="328" t="str">
        <f>+'Base de Datos'!E119</f>
        <v>130198-0-2013</v>
      </c>
      <c r="C119" s="328" t="str">
        <f>+'Base de Datos'!F119</f>
        <v>EDGAR EULICES GONZÁLEZ</v>
      </c>
      <c r="D119" s="329">
        <f>+'Base de Datos'!I119</f>
        <v>23989000</v>
      </c>
      <c r="E119" s="330">
        <f>+'Base de Datos'!M119</f>
        <v>41457</v>
      </c>
      <c r="F119" s="330">
        <f>+'Base de Datos'!N119</f>
        <v>41671</v>
      </c>
      <c r="G119" s="330">
        <f>+'Base de Datos'!T119</f>
        <v>41671</v>
      </c>
      <c r="H119" s="329">
        <f>+'Base de Datos'!U119</f>
        <v>23989000</v>
      </c>
      <c r="I119" s="331" t="str">
        <f>IF(VLOOKUP(B119,'Base de Datos'!$E$7:$S$303,11,0),"SI","NO")</f>
        <v>NO</v>
      </c>
      <c r="J119" s="332" t="str">
        <f t="shared" si="7"/>
        <v/>
      </c>
      <c r="K119" s="331" t="str">
        <f>IF(VLOOKUP(B119,'Base de Datos'!$E$7:$S$303,11,0),"SI","NO")</f>
        <v>NO</v>
      </c>
      <c r="L119" s="332" t="str">
        <f t="shared" si="8"/>
        <v/>
      </c>
      <c r="M119" s="332">
        <f>VLOOKUP(B119,'Base de Datos'!$E$7:$Z$303,21,0)</f>
        <v>1</v>
      </c>
      <c r="N119" s="394" t="str">
        <f t="shared" ca="1" si="12"/>
        <v/>
      </c>
      <c r="O119" s="332">
        <f ca="1">VLOOKUP(B119,'Base de Datos'!$E$7:$Z$303,22,0)</f>
        <v>1</v>
      </c>
      <c r="P119" s="393">
        <f t="shared" ca="1" si="9"/>
        <v>1447</v>
      </c>
      <c r="Q119" s="406">
        <f t="shared" ca="1" si="13"/>
        <v>12.058333333333334</v>
      </c>
      <c r="R119" s="328" t="str">
        <f ca="1">VLOOKUP(B119,'Base de Datos'!E119:AR430,33,0)</f>
        <v>TERMINO</v>
      </c>
      <c r="S119" s="331" t="str">
        <f t="shared" ca="1" si="10"/>
        <v>NO</v>
      </c>
      <c r="T119" s="328" t="str">
        <f t="shared" ca="1" si="11"/>
        <v>Liquidar</v>
      </c>
      <c r="U119" s="328">
        <f>VLOOKUP(B119,'Base de Datos'!$E$7:$AR$401,38,0)</f>
        <v>41710</v>
      </c>
    </row>
    <row r="120" spans="1:21" ht="23.25" customHeight="1" thickTop="1" thickBot="1" x14ac:dyDescent="0.3">
      <c r="A120" s="108">
        <v>114</v>
      </c>
      <c r="B120" s="328" t="str">
        <f>+'Base de Datos'!E120</f>
        <v>130200-0-2013</v>
      </c>
      <c r="C120" s="328" t="str">
        <f>+'Base de Datos'!F120</f>
        <v>HERNANDO  BULLA ORJUELA</v>
      </c>
      <c r="D120" s="329">
        <f>+'Base de Datos'!I120</f>
        <v>13576000</v>
      </c>
      <c r="E120" s="330">
        <f>+'Base de Datos'!M120</f>
        <v>41470</v>
      </c>
      <c r="F120" s="330">
        <f>+'Base de Datos'!N120</f>
        <v>41712</v>
      </c>
      <c r="G120" s="330">
        <f>+'Base de Datos'!T120</f>
        <v>41712</v>
      </c>
      <c r="H120" s="329">
        <f>+'Base de Datos'!U120</f>
        <v>19576000</v>
      </c>
      <c r="I120" s="331" t="str">
        <f>IF(VLOOKUP(B120,'Base de Datos'!$E$7:$S$303,11,0),"SI","NO")</f>
        <v>SI</v>
      </c>
      <c r="J120" s="332">
        <f t="shared" si="7"/>
        <v>0</v>
      </c>
      <c r="K120" s="331" t="str">
        <f>IF(VLOOKUP(B120,'Base de Datos'!$E$7:$S$303,11,0),"SI","NO")</f>
        <v>SI</v>
      </c>
      <c r="L120" s="332">
        <f t="shared" si="8"/>
        <v>0.44195639363582795</v>
      </c>
      <c r="M120" s="332">
        <f>VLOOKUP(B120,'Base de Datos'!$E$7:$Z$303,21,0)</f>
        <v>0.99976348590110342</v>
      </c>
      <c r="N120" s="394" t="str">
        <f t="shared" ca="1" si="12"/>
        <v/>
      </c>
      <c r="O120" s="332">
        <f ca="1">VLOOKUP(B120,'Base de Datos'!$E$7:$Z$303,22,0)</f>
        <v>1</v>
      </c>
      <c r="P120" s="393">
        <f t="shared" ca="1" si="9"/>
        <v>1406</v>
      </c>
      <c r="Q120" s="406">
        <f t="shared" ca="1" si="13"/>
        <v>11.716666666666667</v>
      </c>
      <c r="R120" s="328" t="str">
        <f ca="1">VLOOKUP(B120,'Base de Datos'!E120:AR431,33,0)</f>
        <v>TERMINO</v>
      </c>
      <c r="S120" s="331" t="str">
        <f t="shared" ca="1" si="10"/>
        <v>NO</v>
      </c>
      <c r="T120" s="328" t="str">
        <f t="shared" ca="1" si="11"/>
        <v>Liquidar</v>
      </c>
      <c r="U120" s="328">
        <f>VLOOKUP(B120,'Base de Datos'!$E$7:$AR$401,38,0)</f>
        <v>42012</v>
      </c>
    </row>
    <row r="121" spans="1:21" ht="23.25" customHeight="1" thickTop="1" thickBot="1" x14ac:dyDescent="0.3">
      <c r="A121" s="108">
        <v>115</v>
      </c>
      <c r="B121" s="328" t="str">
        <f>+'Base de Datos'!E121</f>
        <v>130202-0-2013</v>
      </c>
      <c r="C121" s="328" t="str">
        <f>+'Base de Datos'!F121</f>
        <v>INGTEL LTDA</v>
      </c>
      <c r="D121" s="329">
        <f>+'Base de Datos'!I121</f>
        <v>6499930</v>
      </c>
      <c r="E121" s="330">
        <f>+'Base de Datos'!M121</f>
        <v>41471</v>
      </c>
      <c r="F121" s="330">
        <f>+'Base de Datos'!N121</f>
        <v>41562</v>
      </c>
      <c r="G121" s="330">
        <f>+'Base de Datos'!T121</f>
        <v>41562</v>
      </c>
      <c r="H121" s="329">
        <f>+'Base de Datos'!U121</f>
        <v>6499930</v>
      </c>
      <c r="I121" s="331" t="str">
        <f>IF(VLOOKUP(B121,'Base de Datos'!$E$7:$S$303,11,0),"SI","NO")</f>
        <v>NO</v>
      </c>
      <c r="J121" s="332" t="str">
        <f t="shared" si="7"/>
        <v/>
      </c>
      <c r="K121" s="331" t="str">
        <f>IF(VLOOKUP(B121,'Base de Datos'!$E$7:$S$303,11,0),"SI","NO")</f>
        <v>NO</v>
      </c>
      <c r="L121" s="332" t="str">
        <f t="shared" si="8"/>
        <v/>
      </c>
      <c r="M121" s="332">
        <f>VLOOKUP(B121,'Base de Datos'!$E$7:$Z$303,21,0)</f>
        <v>1</v>
      </c>
      <c r="N121" s="394" t="str">
        <f t="shared" ca="1" si="12"/>
        <v/>
      </c>
      <c r="O121" s="332">
        <f ca="1">VLOOKUP(B121,'Base de Datos'!$E$7:$Z$303,22,0)</f>
        <v>1</v>
      </c>
      <c r="P121" s="393">
        <f t="shared" ca="1" si="9"/>
        <v>1556</v>
      </c>
      <c r="Q121" s="406">
        <f t="shared" ca="1" si="13"/>
        <v>12.966666666666667</v>
      </c>
      <c r="R121" s="328" t="str">
        <f ca="1">VLOOKUP(B121,'Base de Datos'!E121:AR432,33,0)</f>
        <v>TERMINO</v>
      </c>
      <c r="S121" s="331" t="str">
        <f t="shared" ca="1" si="10"/>
        <v>NO</v>
      </c>
      <c r="T121" s="328" t="str">
        <f t="shared" ca="1" si="11"/>
        <v>Liquidar</v>
      </c>
      <c r="U121" s="328">
        <f>VLOOKUP(B121,'Base de Datos'!$E$7:$AR$401,38,0)</f>
        <v>0</v>
      </c>
    </row>
    <row r="122" spans="1:21" ht="23.25" customHeight="1" thickTop="1" thickBot="1" x14ac:dyDescent="0.3">
      <c r="A122" s="108">
        <v>116</v>
      </c>
      <c r="B122" s="328" t="str">
        <f>+'Base de Datos'!E122</f>
        <v>130204-0-2013</v>
      </c>
      <c r="C122" s="328" t="str">
        <f>+'Base de Datos'!F122</f>
        <v>DESCONT S.A.</v>
      </c>
      <c r="D122" s="329">
        <f>+'Base de Datos'!I122</f>
        <v>2367000</v>
      </c>
      <c r="E122" s="330">
        <f>+'Base de Datos'!M122</f>
        <v>41472</v>
      </c>
      <c r="F122" s="330">
        <f>+'Base de Datos'!N122</f>
        <v>41533</v>
      </c>
      <c r="G122" s="330">
        <f>+'Base de Datos'!T122</f>
        <v>41533</v>
      </c>
      <c r="H122" s="329">
        <f>+'Base de Datos'!U122</f>
        <v>2367000</v>
      </c>
      <c r="I122" s="331" t="str">
        <f>IF(VLOOKUP(B122,'Base de Datos'!$E$7:$S$303,11,0),"SI","NO")</f>
        <v>NO</v>
      </c>
      <c r="J122" s="332" t="str">
        <f t="shared" si="7"/>
        <v/>
      </c>
      <c r="K122" s="331" t="str">
        <f>IF(VLOOKUP(B122,'Base de Datos'!$E$7:$S$303,11,0),"SI","NO")</f>
        <v>NO</v>
      </c>
      <c r="L122" s="332" t="str">
        <f t="shared" si="8"/>
        <v/>
      </c>
      <c r="M122" s="332">
        <f>VLOOKUP(B122,'Base de Datos'!$E$7:$Z$303,21,0)</f>
        <v>1</v>
      </c>
      <c r="N122" s="394" t="str">
        <f t="shared" ca="1" si="12"/>
        <v/>
      </c>
      <c r="O122" s="332">
        <f ca="1">VLOOKUP(B122,'Base de Datos'!$E$7:$Z$303,22,0)</f>
        <v>1</v>
      </c>
      <c r="P122" s="393">
        <f t="shared" ca="1" si="9"/>
        <v>1585</v>
      </c>
      <c r="Q122" s="406">
        <f t="shared" ca="1" si="13"/>
        <v>13.208333333333334</v>
      </c>
      <c r="R122" s="328" t="str">
        <f ca="1">VLOOKUP(B122,'Base de Datos'!E122:AR433,33,0)</f>
        <v>TERMINO</v>
      </c>
      <c r="S122" s="331" t="str">
        <f t="shared" ca="1" si="10"/>
        <v>NO</v>
      </c>
      <c r="T122" s="328" t="str">
        <f t="shared" ca="1" si="11"/>
        <v>Liquidar</v>
      </c>
      <c r="U122" s="328">
        <f>VLOOKUP(B122,'Base de Datos'!$E$7:$AR$401,38,0)</f>
        <v>41939</v>
      </c>
    </row>
    <row r="123" spans="1:21" ht="23.25" customHeight="1" thickTop="1" thickBot="1" x14ac:dyDescent="0.3">
      <c r="A123" s="108">
        <v>117</v>
      </c>
      <c r="B123" s="328" t="str">
        <f>+'Base de Datos'!E123</f>
        <v>130207-0-2013</v>
      </c>
      <c r="C123" s="328" t="str">
        <f>+'Base de Datos'!F123</f>
        <v>CONSORCIO CJ</v>
      </c>
      <c r="D123" s="329">
        <f>+'Base de Datos'!I123</f>
        <v>269441460</v>
      </c>
      <c r="E123" s="330">
        <f>+'Base de Datos'!M123</f>
        <v>41464</v>
      </c>
      <c r="F123" s="330">
        <f>+'Base de Datos'!N123</f>
        <v>41706</v>
      </c>
      <c r="G123" s="330">
        <f>+'Base de Datos'!T123</f>
        <v>41820</v>
      </c>
      <c r="H123" s="329">
        <f>+'Base de Datos'!U123</f>
        <v>269441460</v>
      </c>
      <c r="I123" s="331" t="str">
        <f>IF(VLOOKUP(B123,'Base de Datos'!$E$7:$S$303,11,0),"SI","NO")</f>
        <v>NO</v>
      </c>
      <c r="J123" s="332" t="str">
        <f t="shared" si="7"/>
        <v/>
      </c>
      <c r="K123" s="331" t="str">
        <f>IF(VLOOKUP(B123,'Base de Datos'!$E$7:$S$303,11,0),"SI","NO")</f>
        <v>NO</v>
      </c>
      <c r="L123" s="332" t="str">
        <f t="shared" si="8"/>
        <v/>
      </c>
      <c r="M123" s="332">
        <f>VLOOKUP(B123,'Base de Datos'!$E$7:$Z$303,21,0)</f>
        <v>0.98434615815992088</v>
      </c>
      <c r="N123" s="394" t="str">
        <f t="shared" ca="1" si="12"/>
        <v/>
      </c>
      <c r="O123" s="332">
        <f ca="1">VLOOKUP(B123,'Base de Datos'!$E$7:$Z$303,22,0)</f>
        <v>1</v>
      </c>
      <c r="P123" s="393">
        <f t="shared" ca="1" si="9"/>
        <v>1298</v>
      </c>
      <c r="Q123" s="406">
        <f t="shared" ca="1" si="13"/>
        <v>10.816666666666666</v>
      </c>
      <c r="R123" s="328" t="str">
        <f ca="1">VLOOKUP(B123,'Base de Datos'!E123:AR434,33,0)</f>
        <v>TERMINO</v>
      </c>
      <c r="S123" s="331" t="str">
        <f t="shared" ca="1" si="10"/>
        <v>NO</v>
      </c>
      <c r="T123" s="328" t="str">
        <f t="shared" ca="1" si="11"/>
        <v>Liquidar</v>
      </c>
      <c r="U123" s="328">
        <f>VLOOKUP(B123,'Base de Datos'!$E$7:$AR$401,38,0)</f>
        <v>42179</v>
      </c>
    </row>
    <row r="124" spans="1:21" ht="23.25" customHeight="1" thickTop="1" thickBot="1" x14ac:dyDescent="0.3">
      <c r="A124" s="108">
        <v>118</v>
      </c>
      <c r="B124" s="328" t="str">
        <f>+'Base de Datos'!E124</f>
        <v>130209-0-2013</v>
      </c>
      <c r="C124" s="328" t="str">
        <f>+'Base de Datos'!F124</f>
        <v>EDITORIAL LA UNIDAD</v>
      </c>
      <c r="D124" s="329">
        <f>+'Base de Datos'!I124</f>
        <v>840000</v>
      </c>
      <c r="E124" s="330">
        <f>+'Base de Datos'!M124</f>
        <v>41531</v>
      </c>
      <c r="F124" s="330">
        <f>+'Base de Datos'!N124</f>
        <v>41895</v>
      </c>
      <c r="G124" s="330">
        <f>+'Base de Datos'!T124</f>
        <v>41895</v>
      </c>
      <c r="H124" s="329">
        <f>+'Base de Datos'!U124</f>
        <v>840000</v>
      </c>
      <c r="I124" s="331" t="str">
        <f>IF(VLOOKUP(B124,'Base de Datos'!$E$7:$S$303,11,0),"SI","NO")</f>
        <v>NO</v>
      </c>
      <c r="J124" s="332" t="str">
        <f t="shared" si="7"/>
        <v/>
      </c>
      <c r="K124" s="331" t="str">
        <f>IF(VLOOKUP(B124,'Base de Datos'!$E$7:$S$303,11,0),"SI","NO")</f>
        <v>NO</v>
      </c>
      <c r="L124" s="332" t="str">
        <f t="shared" si="8"/>
        <v/>
      </c>
      <c r="M124" s="332">
        <f>VLOOKUP(B124,'Base de Datos'!$E$7:$Z$303,21,0)</f>
        <v>1</v>
      </c>
      <c r="N124" s="394" t="str">
        <f t="shared" ca="1" si="12"/>
        <v/>
      </c>
      <c r="O124" s="332">
        <f ca="1">VLOOKUP(B124,'Base de Datos'!$E$7:$Z$303,22,0)</f>
        <v>1</v>
      </c>
      <c r="P124" s="393">
        <f t="shared" ca="1" si="9"/>
        <v>1223</v>
      </c>
      <c r="Q124" s="406">
        <f t="shared" ca="1" si="13"/>
        <v>10.191666666666666</v>
      </c>
      <c r="R124" s="328" t="str">
        <f ca="1">VLOOKUP(B124,'Base de Datos'!E124:AR435,33,0)</f>
        <v>TERMINO</v>
      </c>
      <c r="S124" s="331" t="str">
        <f t="shared" ca="1" si="10"/>
        <v>NO</v>
      </c>
      <c r="T124" s="328" t="str">
        <f t="shared" ca="1" si="11"/>
        <v>Liquidar</v>
      </c>
      <c r="U124" s="328">
        <f>VLOOKUP(B124,'Base de Datos'!$E$7:$AR$401,38,0)</f>
        <v>42152</v>
      </c>
    </row>
    <row r="125" spans="1:21" ht="23.25" customHeight="1" thickTop="1" thickBot="1" x14ac:dyDescent="0.3">
      <c r="A125" s="108">
        <v>119</v>
      </c>
      <c r="B125" s="328" t="str">
        <f>+'Base de Datos'!E125</f>
        <v>130211-0-2013</v>
      </c>
      <c r="C125" s="328" t="str">
        <f>+'Base de Datos'!F125</f>
        <v>MIGUEL ANDRÉS GUTIÉRREZ ROMERO</v>
      </c>
      <c r="D125" s="329">
        <f>+'Base de Datos'!I125</f>
        <v>38271000</v>
      </c>
      <c r="E125" s="330">
        <f>+'Base de Datos'!M125</f>
        <v>41472</v>
      </c>
      <c r="F125" s="330">
        <f>+'Base de Datos'!N125</f>
        <v>41686</v>
      </c>
      <c r="G125" s="330">
        <f>+'Base de Datos'!T125</f>
        <v>41714</v>
      </c>
      <c r="H125" s="329">
        <f>+'Base de Datos'!U125</f>
        <v>38271000</v>
      </c>
      <c r="I125" s="331" t="str">
        <f>IF(VLOOKUP(B125,'Base de Datos'!$E$7:$S$303,11,0),"SI","NO")</f>
        <v>NO</v>
      </c>
      <c r="J125" s="332" t="str">
        <f t="shared" si="7"/>
        <v/>
      </c>
      <c r="K125" s="331" t="str">
        <f>IF(VLOOKUP(B125,'Base de Datos'!$E$7:$S$303,11,0),"SI","NO")</f>
        <v>NO</v>
      </c>
      <c r="L125" s="332" t="str">
        <f t="shared" si="8"/>
        <v/>
      </c>
      <c r="M125" s="332">
        <f>VLOOKUP(B125,'Base de Datos'!$E$7:$Z$303,21,0)</f>
        <v>1</v>
      </c>
      <c r="N125" s="394" t="str">
        <f t="shared" ca="1" si="12"/>
        <v/>
      </c>
      <c r="O125" s="332">
        <f ca="1">VLOOKUP(B125,'Base de Datos'!$E$7:$Z$303,22,0)</f>
        <v>1</v>
      </c>
      <c r="P125" s="393">
        <f t="shared" ca="1" si="9"/>
        <v>1404</v>
      </c>
      <c r="Q125" s="406">
        <f t="shared" ca="1" si="13"/>
        <v>11.7</v>
      </c>
      <c r="R125" s="328" t="str">
        <f ca="1">VLOOKUP(B125,'Base de Datos'!E125:AR436,33,0)</f>
        <v>TERMINO</v>
      </c>
      <c r="S125" s="331" t="str">
        <f t="shared" ca="1" si="10"/>
        <v>NO</v>
      </c>
      <c r="T125" s="328" t="str">
        <f t="shared" ca="1" si="11"/>
        <v>Liquidar</v>
      </c>
      <c r="U125" s="328">
        <f>VLOOKUP(B125,'Base de Datos'!$E$7:$AR$401,38,0)</f>
        <v>42011</v>
      </c>
    </row>
    <row r="126" spans="1:21" ht="23.25" customHeight="1" thickTop="1" thickBot="1" x14ac:dyDescent="0.3">
      <c r="A126" s="108">
        <v>120</v>
      </c>
      <c r="B126" s="328" t="str">
        <f>+'Base de Datos'!E126</f>
        <v>130214-0-2013</v>
      </c>
      <c r="C126" s="328" t="str">
        <f>+'Base de Datos'!F126</f>
        <v>SEGUROS GENERALES SURAMERICANA S.A</v>
      </c>
      <c r="D126" s="329">
        <f>+'Base de Datos'!I126</f>
        <v>4001000</v>
      </c>
      <c r="E126" s="330">
        <f>+'Base de Datos'!M126</f>
        <v>41472</v>
      </c>
      <c r="F126" s="330">
        <f>+'Base de Datos'!N126</f>
        <v>42082</v>
      </c>
      <c r="G126" s="330">
        <f>+'Base de Datos'!T126</f>
        <v>42082</v>
      </c>
      <c r="H126" s="329">
        <f>+'Base de Datos'!U126</f>
        <v>4001000</v>
      </c>
      <c r="I126" s="331" t="str">
        <f>IF(VLOOKUP(B126,'Base de Datos'!$E$7:$S$303,11,0),"SI","NO")</f>
        <v>NO</v>
      </c>
      <c r="J126" s="332" t="str">
        <f t="shared" si="7"/>
        <v/>
      </c>
      <c r="K126" s="331" t="str">
        <f>IF(VLOOKUP(B126,'Base de Datos'!$E$7:$S$303,11,0),"SI","NO")</f>
        <v>NO</v>
      </c>
      <c r="L126" s="332" t="str">
        <f t="shared" si="8"/>
        <v/>
      </c>
      <c r="M126" s="332">
        <f>VLOOKUP(B126,'Base de Datos'!$E$7:$Z$303,21,0)</f>
        <v>1</v>
      </c>
      <c r="N126" s="394" t="str">
        <f t="shared" ca="1" si="12"/>
        <v/>
      </c>
      <c r="O126" s="332">
        <f ca="1">VLOOKUP(B126,'Base de Datos'!$E$7:$Z$303,22,0)</f>
        <v>1</v>
      </c>
      <c r="P126" s="393">
        <f t="shared" ca="1" si="9"/>
        <v>1036</v>
      </c>
      <c r="Q126" s="406">
        <f t="shared" ca="1" si="13"/>
        <v>8.6333333333333329</v>
      </c>
      <c r="R126" s="328" t="str">
        <f ca="1">VLOOKUP(B126,'Base de Datos'!E126:AR437,33,0)</f>
        <v>TERMINO</v>
      </c>
      <c r="S126" s="331" t="str">
        <f t="shared" ca="1" si="10"/>
        <v>NO</v>
      </c>
      <c r="T126" s="328" t="str">
        <f t="shared" ca="1" si="11"/>
        <v>Liquidar</v>
      </c>
      <c r="U126" s="328">
        <f>VLOOKUP(B126,'Base de Datos'!$E$7:$AR$401,38,0)</f>
        <v>0</v>
      </c>
    </row>
    <row r="127" spans="1:21" ht="23.25" customHeight="1" thickTop="1" thickBot="1" x14ac:dyDescent="0.3">
      <c r="A127" s="108">
        <v>121</v>
      </c>
      <c r="B127" s="328" t="str">
        <f>+'Base de Datos'!E127</f>
        <v>130217-0-2013</v>
      </c>
      <c r="C127" s="328" t="str">
        <f>+'Base de Datos'!F127</f>
        <v>SODINLEC LTDA</v>
      </c>
      <c r="D127" s="329">
        <f>+'Base de Datos'!I127</f>
        <v>10222000</v>
      </c>
      <c r="E127" s="330">
        <f>+'Base de Datos'!M127</f>
        <v>41548</v>
      </c>
      <c r="F127" s="330">
        <f>+'Base de Datos'!N127</f>
        <v>41790</v>
      </c>
      <c r="G127" s="330">
        <f>+'Base de Datos'!T127</f>
        <v>41790</v>
      </c>
      <c r="H127" s="329">
        <f>+'Base de Datos'!U127</f>
        <v>10222000</v>
      </c>
      <c r="I127" s="331" t="str">
        <f>IF(VLOOKUP(B127,'Base de Datos'!$E$7:$S$303,11,0),"SI","NO")</f>
        <v>NO</v>
      </c>
      <c r="J127" s="332" t="str">
        <f t="shared" si="7"/>
        <v/>
      </c>
      <c r="K127" s="331" t="str">
        <f>IF(VLOOKUP(B127,'Base de Datos'!$E$7:$S$303,11,0),"SI","NO")</f>
        <v>NO</v>
      </c>
      <c r="L127" s="332" t="str">
        <f t="shared" si="8"/>
        <v/>
      </c>
      <c r="M127" s="332">
        <f>VLOOKUP(B127,'Base de Datos'!$E$7:$Z$303,21,0)</f>
        <v>0.99863099197808647</v>
      </c>
      <c r="N127" s="394" t="str">
        <f t="shared" ca="1" si="12"/>
        <v/>
      </c>
      <c r="O127" s="332">
        <f ca="1">VLOOKUP(B127,'Base de Datos'!$E$7:$Z$303,22,0)</f>
        <v>1</v>
      </c>
      <c r="P127" s="393">
        <f t="shared" ca="1" si="9"/>
        <v>1328</v>
      </c>
      <c r="Q127" s="406">
        <f t="shared" ca="1" si="13"/>
        <v>11.066666666666666</v>
      </c>
      <c r="R127" s="328" t="str">
        <f ca="1">VLOOKUP(B127,'Base de Datos'!E127:AR438,33,0)</f>
        <v>TERMINO</v>
      </c>
      <c r="S127" s="331" t="str">
        <f t="shared" ca="1" si="10"/>
        <v>NO</v>
      </c>
      <c r="T127" s="328" t="str">
        <f t="shared" ca="1" si="11"/>
        <v>Liquidar</v>
      </c>
      <c r="U127" s="328">
        <f>VLOOKUP(B127,'Base de Datos'!$E$7:$AR$401,38,0)</f>
        <v>41975</v>
      </c>
    </row>
    <row r="128" spans="1:21" ht="23.25" customHeight="1" thickTop="1" thickBot="1" x14ac:dyDescent="0.3">
      <c r="A128" s="108">
        <v>122</v>
      </c>
      <c r="B128" s="328" t="str">
        <f>+'Base de Datos'!E128</f>
        <v>130220-0-2013</v>
      </c>
      <c r="C128" s="328" t="str">
        <f>+'Base de Datos'!F128</f>
        <v>WIESNER FABIÁN ROBAYO SALCEDO</v>
      </c>
      <c r="D128" s="329">
        <f>+'Base de Datos'!I128</f>
        <v>23989000</v>
      </c>
      <c r="E128" s="330">
        <f>+'Base de Datos'!M128</f>
        <v>41477</v>
      </c>
      <c r="F128" s="330">
        <f>+'Base de Datos'!N128</f>
        <v>41691</v>
      </c>
      <c r="G128" s="330">
        <f>+'Base de Datos'!T128</f>
        <v>41691</v>
      </c>
      <c r="H128" s="329">
        <f>+'Base de Datos'!U128</f>
        <v>23989000</v>
      </c>
      <c r="I128" s="331" t="str">
        <f>IF(VLOOKUP(B128,'Base de Datos'!$E$7:$S$303,11,0),"SI","NO")</f>
        <v>NO</v>
      </c>
      <c r="J128" s="332" t="str">
        <f t="shared" si="7"/>
        <v/>
      </c>
      <c r="K128" s="331" t="str">
        <f>IF(VLOOKUP(B128,'Base de Datos'!$E$7:$S$303,11,0),"SI","NO")</f>
        <v>NO</v>
      </c>
      <c r="L128" s="332" t="str">
        <f t="shared" si="8"/>
        <v/>
      </c>
      <c r="M128" s="332">
        <f>VLOOKUP(B128,'Base de Datos'!$E$7:$Z$303,21,0)</f>
        <v>1</v>
      </c>
      <c r="N128" s="394" t="str">
        <f t="shared" ca="1" si="12"/>
        <v/>
      </c>
      <c r="O128" s="332">
        <f ca="1">VLOOKUP(B128,'Base de Datos'!$E$7:$Z$303,22,0)</f>
        <v>1</v>
      </c>
      <c r="P128" s="393">
        <f t="shared" ca="1" si="9"/>
        <v>1427</v>
      </c>
      <c r="Q128" s="406">
        <f t="shared" ca="1" si="13"/>
        <v>11.891666666666667</v>
      </c>
      <c r="R128" s="328" t="str">
        <f ca="1">VLOOKUP(B128,'Base de Datos'!E128:AR439,33,0)</f>
        <v>TERMINO</v>
      </c>
      <c r="S128" s="331" t="str">
        <f t="shared" ca="1" si="10"/>
        <v>NO</v>
      </c>
      <c r="T128" s="328" t="str">
        <f t="shared" ca="1" si="11"/>
        <v>Liquidar</v>
      </c>
      <c r="U128" s="328">
        <f>VLOOKUP(B128,'Base de Datos'!$E$7:$AR$401,38,0)</f>
        <v>41708</v>
      </c>
    </row>
    <row r="129" spans="1:21" ht="23.25" customHeight="1" thickTop="1" thickBot="1" x14ac:dyDescent="0.3">
      <c r="A129" s="108">
        <v>123</v>
      </c>
      <c r="B129" s="328" t="str">
        <f>+'Base de Datos'!E129</f>
        <v>130227-0-2013</v>
      </c>
      <c r="C129" s="328" t="str">
        <f>+'Base de Datos'!F129</f>
        <v>PUBLICACIONES SEMANA S.A.</v>
      </c>
      <c r="D129" s="329">
        <f>+'Base de Datos'!I129</f>
        <v>795000</v>
      </c>
      <c r="E129" s="330">
        <f>+'Base de Datos'!M129</f>
        <v>41547</v>
      </c>
      <c r="F129" s="330">
        <f>+'Base de Datos'!N129</f>
        <v>41911</v>
      </c>
      <c r="G129" s="330">
        <f>+'Base de Datos'!T129</f>
        <v>41911</v>
      </c>
      <c r="H129" s="329">
        <f>+'Base de Datos'!U129</f>
        <v>795000</v>
      </c>
      <c r="I129" s="331" t="str">
        <f>IF(VLOOKUP(B129,'Base de Datos'!$E$7:$S$303,11,0),"SI","NO")</f>
        <v>NO</v>
      </c>
      <c r="J129" s="332" t="str">
        <f t="shared" si="7"/>
        <v/>
      </c>
      <c r="K129" s="331" t="str">
        <f>IF(VLOOKUP(B129,'Base de Datos'!$E$7:$S$303,11,0),"SI","NO")</f>
        <v>NO</v>
      </c>
      <c r="L129" s="332" t="str">
        <f t="shared" si="8"/>
        <v/>
      </c>
      <c r="M129" s="332">
        <f>VLOOKUP(B129,'Base de Datos'!$E$7:$Z$303,21,0)</f>
        <v>1</v>
      </c>
      <c r="N129" s="394" t="str">
        <f t="shared" ca="1" si="12"/>
        <v/>
      </c>
      <c r="O129" s="332">
        <f ca="1">VLOOKUP(B129,'Base de Datos'!$E$7:$Z$303,22,0)</f>
        <v>1</v>
      </c>
      <c r="P129" s="393">
        <f t="shared" ca="1" si="9"/>
        <v>1207</v>
      </c>
      <c r="Q129" s="406">
        <f t="shared" ca="1" si="13"/>
        <v>10.058333333333334</v>
      </c>
      <c r="R129" s="328" t="str">
        <f ca="1">VLOOKUP(B129,'Base de Datos'!E129:AR440,33,0)</f>
        <v>TERMINO</v>
      </c>
      <c r="S129" s="331" t="str">
        <f t="shared" ca="1" si="10"/>
        <v>NO</v>
      </c>
      <c r="T129" s="328" t="str">
        <f t="shared" ca="1" si="11"/>
        <v>Liquidar</v>
      </c>
      <c r="U129" s="328">
        <f>VLOOKUP(B129,'Base de Datos'!$E$7:$AR$401,38,0)</f>
        <v>42307</v>
      </c>
    </row>
    <row r="130" spans="1:21" ht="23.25" customHeight="1" thickTop="1" thickBot="1" x14ac:dyDescent="0.3">
      <c r="A130" s="108">
        <v>124</v>
      </c>
      <c r="B130" s="328" t="str">
        <f>+'Base de Datos'!E130</f>
        <v>130228-0-2013</v>
      </c>
      <c r="C130" s="328" t="str">
        <f>+'Base de Datos'!F130</f>
        <v>COMUNICAN S.A</v>
      </c>
      <c r="D130" s="329">
        <f>+'Base de Datos'!I130</f>
        <v>936000</v>
      </c>
      <c r="E130" s="330">
        <f>+'Base de Datos'!M130</f>
        <v>41528</v>
      </c>
      <c r="F130" s="330">
        <f>+'Base de Datos'!N130</f>
        <v>41892</v>
      </c>
      <c r="G130" s="330">
        <f>+'Base de Datos'!T130</f>
        <v>41892</v>
      </c>
      <c r="H130" s="329">
        <f>+'Base de Datos'!U130</f>
        <v>936000</v>
      </c>
      <c r="I130" s="331" t="str">
        <f>IF(VLOOKUP(B130,'Base de Datos'!$E$7:$S$303,11,0),"SI","NO")</f>
        <v>NO</v>
      </c>
      <c r="J130" s="332" t="str">
        <f t="shared" si="7"/>
        <v/>
      </c>
      <c r="K130" s="331" t="str">
        <f>IF(VLOOKUP(B130,'Base de Datos'!$E$7:$S$303,11,0),"SI","NO")</f>
        <v>NO</v>
      </c>
      <c r="L130" s="332" t="str">
        <f t="shared" si="8"/>
        <v/>
      </c>
      <c r="M130" s="332">
        <f>VLOOKUP(B130,'Base de Datos'!$E$7:$Z$303,21,0)</f>
        <v>1</v>
      </c>
      <c r="N130" s="394" t="str">
        <f t="shared" ca="1" si="12"/>
        <v/>
      </c>
      <c r="O130" s="332">
        <f ca="1">VLOOKUP(B130,'Base de Datos'!$E$7:$Z$303,22,0)</f>
        <v>1</v>
      </c>
      <c r="P130" s="393">
        <f t="shared" ca="1" si="9"/>
        <v>1226</v>
      </c>
      <c r="Q130" s="406">
        <f t="shared" ca="1" si="13"/>
        <v>10.216666666666667</v>
      </c>
      <c r="R130" s="328" t="str">
        <f ca="1">VLOOKUP(B130,'Base de Datos'!E130:AR441,33,0)</f>
        <v>TERMINO</v>
      </c>
      <c r="S130" s="331" t="str">
        <f t="shared" ca="1" si="10"/>
        <v>NO</v>
      </c>
      <c r="T130" s="328" t="str">
        <f t="shared" ca="1" si="11"/>
        <v>Liquidar</v>
      </c>
      <c r="U130" s="328">
        <f>VLOOKUP(B130,'Base de Datos'!$E$7:$AR$401,38,0)</f>
        <v>0</v>
      </c>
    </row>
    <row r="131" spans="1:21" ht="23.25" customHeight="1" thickTop="1" thickBot="1" x14ac:dyDescent="0.3">
      <c r="A131" s="108">
        <v>125</v>
      </c>
      <c r="B131" s="328" t="str">
        <f>+'Base de Datos'!E131</f>
        <v>130229-0-2013</v>
      </c>
      <c r="C131" s="328" t="str">
        <f>+'Base de Datos'!F131</f>
        <v>KARENN ANDREA SUAREZ LINARES</v>
      </c>
      <c r="D131" s="329">
        <f>+'Base de Datos'!I131</f>
        <v>3847300</v>
      </c>
      <c r="E131" s="330">
        <f>+'Base de Datos'!M131</f>
        <v>41494</v>
      </c>
      <c r="F131" s="330">
        <f>+'Base de Datos'!N131</f>
        <v>41766</v>
      </c>
      <c r="G131" s="330">
        <f>+'Base de Datos'!T131</f>
        <v>41858</v>
      </c>
      <c r="H131" s="329">
        <f>+'Base de Datos'!U131</f>
        <v>3847300</v>
      </c>
      <c r="I131" s="331" t="str">
        <f>IF(VLOOKUP(B131,'Base de Datos'!$E$7:$S$303,11,0),"SI","NO")</f>
        <v>NO</v>
      </c>
      <c r="J131" s="332" t="str">
        <f t="shared" si="7"/>
        <v/>
      </c>
      <c r="K131" s="331" t="str">
        <f>IF(VLOOKUP(B131,'Base de Datos'!$E$7:$S$303,11,0),"SI","NO")</f>
        <v>NO</v>
      </c>
      <c r="L131" s="332" t="str">
        <f t="shared" si="8"/>
        <v/>
      </c>
      <c r="M131" s="332">
        <f>VLOOKUP(B131,'Base de Datos'!$E$7:$Z$303,21,0)</f>
        <v>1</v>
      </c>
      <c r="N131" s="394" t="str">
        <f t="shared" ca="1" si="12"/>
        <v/>
      </c>
      <c r="O131" s="332">
        <f ca="1">VLOOKUP(B131,'Base de Datos'!$E$7:$Z$303,22,0)</f>
        <v>1</v>
      </c>
      <c r="P131" s="393">
        <f t="shared" ca="1" si="9"/>
        <v>1260</v>
      </c>
      <c r="Q131" s="406">
        <f t="shared" ca="1" si="13"/>
        <v>10.5</v>
      </c>
      <c r="R131" s="328" t="str">
        <f ca="1">VLOOKUP(B131,'Base de Datos'!E131:AR442,33,0)</f>
        <v>TERMINO</v>
      </c>
      <c r="S131" s="331" t="str">
        <f t="shared" ca="1" si="10"/>
        <v>NO</v>
      </c>
      <c r="T131" s="328" t="str">
        <f t="shared" ca="1" si="11"/>
        <v>Liquidar</v>
      </c>
      <c r="U131" s="328">
        <f>VLOOKUP(B131,'Base de Datos'!$E$7:$AR$401,38,0)</f>
        <v>0</v>
      </c>
    </row>
    <row r="132" spans="1:21" ht="23.25" customHeight="1" thickTop="1" thickBot="1" x14ac:dyDescent="0.3">
      <c r="A132" s="108">
        <v>126</v>
      </c>
      <c r="B132" s="328" t="str">
        <f>+'Base de Datos'!E132</f>
        <v>130237-0-2013</v>
      </c>
      <c r="C132" s="328" t="str">
        <f>+'Base de Datos'!F132</f>
        <v>COLOMBIANA DE SOFTWARE Y HARDWARE COLSOF S.A.</v>
      </c>
      <c r="D132" s="329">
        <f>+'Base de Datos'!I132</f>
        <v>46411000</v>
      </c>
      <c r="E132" s="330">
        <f>+'Base de Datos'!M132</f>
        <v>41500</v>
      </c>
      <c r="F132" s="330">
        <f>+'Base de Datos'!N132</f>
        <v>41803</v>
      </c>
      <c r="G132" s="330">
        <f>+'Base de Datos'!T132</f>
        <v>41864</v>
      </c>
      <c r="H132" s="329">
        <f>+'Base de Datos'!U132</f>
        <v>60693200</v>
      </c>
      <c r="I132" s="331" t="str">
        <f>IF(VLOOKUP(B132,'Base de Datos'!$E$7:$S$303,11,0),"SI","NO")</f>
        <v>SI</v>
      </c>
      <c r="J132" s="332">
        <f t="shared" si="7"/>
        <v>0.20132013201320131</v>
      </c>
      <c r="K132" s="331" t="str">
        <f>IF(VLOOKUP(B132,'Base de Datos'!$E$7:$S$303,11,0),"SI","NO")</f>
        <v>SI</v>
      </c>
      <c r="L132" s="332">
        <f t="shared" si="8"/>
        <v>0.30773308051970438</v>
      </c>
      <c r="M132" s="332">
        <f>VLOOKUP(B132,'Base de Datos'!$E$7:$Z$303,21,0)</f>
        <v>0.97855819103293284</v>
      </c>
      <c r="N132" s="394" t="str">
        <f t="shared" ca="1" si="12"/>
        <v/>
      </c>
      <c r="O132" s="332">
        <f ca="1">VLOOKUP(B132,'Base de Datos'!$E$7:$Z$303,22,0)</f>
        <v>1</v>
      </c>
      <c r="P132" s="393">
        <f t="shared" ca="1" si="9"/>
        <v>1254</v>
      </c>
      <c r="Q132" s="406">
        <f t="shared" ca="1" si="13"/>
        <v>10.45</v>
      </c>
      <c r="R132" s="328" t="str">
        <f ca="1">VLOOKUP(B132,'Base de Datos'!E132:AR443,33,0)</f>
        <v>TERMINO</v>
      </c>
      <c r="S132" s="331" t="str">
        <f t="shared" ca="1" si="10"/>
        <v>NO</v>
      </c>
      <c r="T132" s="328" t="str">
        <f t="shared" ca="1" si="11"/>
        <v>Liquidar</v>
      </c>
      <c r="U132" s="328">
        <f>VLOOKUP(B132,'Base de Datos'!$E$7:$AR$401,38,0)</f>
        <v>0</v>
      </c>
    </row>
    <row r="133" spans="1:21" ht="23.25" customHeight="1" thickTop="1" thickBot="1" x14ac:dyDescent="0.3">
      <c r="A133" s="108">
        <v>127</v>
      </c>
      <c r="B133" s="328" t="str">
        <f>+'Base de Datos'!E133</f>
        <v>130241-0-2013</v>
      </c>
      <c r="C133" s="328" t="str">
        <f>+'Base de Datos'!F133</f>
        <v>ACABADOS ALTAPISOS INVERSIONES  S.A.S.</v>
      </c>
      <c r="D133" s="329">
        <f>+'Base de Datos'!I133</f>
        <v>4393120</v>
      </c>
      <c r="E133" s="330">
        <f>+'Base de Datos'!M133</f>
        <v>41512</v>
      </c>
      <c r="F133" s="330">
        <f>+'Base de Datos'!N133</f>
        <v>41784</v>
      </c>
      <c r="G133" s="330">
        <f>+'Base de Datos'!T133</f>
        <v>41876</v>
      </c>
      <c r="H133" s="329">
        <f>+'Base de Datos'!U133</f>
        <v>4393120</v>
      </c>
      <c r="I133" s="331" t="str">
        <f>IF(VLOOKUP(B133,'Base de Datos'!$E$7:$S$303,11,0),"SI","NO")</f>
        <v>NO</v>
      </c>
      <c r="J133" s="332" t="str">
        <f t="shared" si="7"/>
        <v/>
      </c>
      <c r="K133" s="331" t="str">
        <f>IF(VLOOKUP(B133,'Base de Datos'!$E$7:$S$303,11,0),"SI","NO")</f>
        <v>NO</v>
      </c>
      <c r="L133" s="332" t="str">
        <f t="shared" si="8"/>
        <v/>
      </c>
      <c r="M133" s="332">
        <f>VLOOKUP(B133,'Base de Datos'!$E$7:$Z$303,21,0)</f>
        <v>0.58682667443639147</v>
      </c>
      <c r="N133" s="394" t="str">
        <f t="shared" ca="1" si="12"/>
        <v/>
      </c>
      <c r="O133" s="332">
        <f ca="1">VLOOKUP(B133,'Base de Datos'!$E$7:$Z$303,22,0)</f>
        <v>1</v>
      </c>
      <c r="P133" s="393">
        <f t="shared" ca="1" si="9"/>
        <v>1242</v>
      </c>
      <c r="Q133" s="406">
        <f t="shared" ca="1" si="13"/>
        <v>10.35</v>
      </c>
      <c r="R133" s="328" t="str">
        <f ca="1">VLOOKUP(B133,'Base de Datos'!E133:AR444,33,0)</f>
        <v>TERMINO</v>
      </c>
      <c r="S133" s="331" t="str">
        <f t="shared" ca="1" si="10"/>
        <v>NO</v>
      </c>
      <c r="T133" s="328" t="str">
        <f t="shared" ca="1" si="11"/>
        <v>Liquidar</v>
      </c>
      <c r="U133" s="328">
        <f>VLOOKUP(B133,'Base de Datos'!$E$7:$AR$401,38,0)</f>
        <v>42025</v>
      </c>
    </row>
    <row r="134" spans="1:21" ht="23.25" customHeight="1" thickTop="1" thickBot="1" x14ac:dyDescent="0.3">
      <c r="A134" s="108">
        <v>128</v>
      </c>
      <c r="B134" s="328" t="str">
        <f>+'Base de Datos'!E134</f>
        <v>130242-0-2013</v>
      </c>
      <c r="C134" s="328" t="str">
        <f>+'Base de Datos'!F134</f>
        <v>INVERSIONES LIGOL - INVERLIGOL LTD A</v>
      </c>
      <c r="D134" s="329">
        <f>+'Base de Datos'!I134</f>
        <v>16804000</v>
      </c>
      <c r="E134" s="330">
        <f>+'Base de Datos'!M134</f>
        <v>41523</v>
      </c>
      <c r="F134" s="330">
        <f>+'Base de Datos'!N134</f>
        <v>41764</v>
      </c>
      <c r="G134" s="330">
        <f>+'Base de Datos'!T134</f>
        <v>42099</v>
      </c>
      <c r="H134" s="329">
        <f>+'Base de Datos'!U134</f>
        <v>25204000</v>
      </c>
      <c r="I134" s="331" t="str">
        <f>IF(VLOOKUP(B134,'Base de Datos'!$E$7:$S$303,11,0),"SI","NO")</f>
        <v>SI</v>
      </c>
      <c r="J134" s="332">
        <f t="shared" si="7"/>
        <v>1.3900414937759336</v>
      </c>
      <c r="K134" s="331" t="str">
        <f>IF(VLOOKUP(B134,'Base de Datos'!$E$7:$S$303,11,0),"SI","NO")</f>
        <v>SI</v>
      </c>
      <c r="L134" s="332">
        <f t="shared" si="8"/>
        <v>0.49988098071887643</v>
      </c>
      <c r="M134" s="332">
        <f>VLOOKUP(B134,'Base de Datos'!$E$7:$Z$303,21,0)</f>
        <v>0.99989882558324072</v>
      </c>
      <c r="N134" s="394" t="str">
        <f t="shared" ca="1" si="12"/>
        <v/>
      </c>
      <c r="O134" s="332">
        <f ca="1">VLOOKUP(B134,'Base de Datos'!$E$7:$Z$303,22,0)</f>
        <v>1</v>
      </c>
      <c r="P134" s="393">
        <f t="shared" ca="1" si="9"/>
        <v>1019</v>
      </c>
      <c r="Q134" s="406">
        <f t="shared" ca="1" si="13"/>
        <v>8.4916666666666671</v>
      </c>
      <c r="R134" s="328" t="str">
        <f ca="1">VLOOKUP(B134,'Base de Datos'!E134:AR445,33,0)</f>
        <v>TERMINO</v>
      </c>
      <c r="S134" s="331" t="str">
        <f t="shared" ca="1" si="10"/>
        <v>NO</v>
      </c>
      <c r="T134" s="328" t="str">
        <f t="shared" ca="1" si="11"/>
        <v>Liquidar</v>
      </c>
      <c r="U134" s="328">
        <f>VLOOKUP(B134,'Base de Datos'!$E$7:$AR$401,38,0)</f>
        <v>0</v>
      </c>
    </row>
    <row r="135" spans="1:21" ht="23.25" customHeight="1" thickTop="1" thickBot="1" x14ac:dyDescent="0.3">
      <c r="A135" s="108">
        <v>129</v>
      </c>
      <c r="B135" s="328" t="str">
        <f>+'Base de Datos'!E135</f>
        <v>130244-0-2013</v>
      </c>
      <c r="C135" s="328" t="str">
        <f>+'Base de Datos'!F135</f>
        <v>CONTRONET LTDA</v>
      </c>
      <c r="D135" s="329">
        <f>+'Base de Datos'!I135</f>
        <v>86923131</v>
      </c>
      <c r="E135" s="330">
        <f>+'Base de Datos'!M135</f>
        <v>41506</v>
      </c>
      <c r="F135" s="330">
        <f>+'Base de Datos'!N135</f>
        <v>41871</v>
      </c>
      <c r="G135" s="330">
        <f>+'Base de Datos'!T135</f>
        <v>42055</v>
      </c>
      <c r="H135" s="329">
        <f>+'Base de Datos'!U135</f>
        <v>130384697</v>
      </c>
      <c r="I135" s="331" t="str">
        <f>IF(VLOOKUP(B135,'Base de Datos'!$E$7:$S$303,11,0),"SI","NO")</f>
        <v>SI</v>
      </c>
      <c r="J135" s="332">
        <f t="shared" ref="J135:J198" si="14">IF(I135=$AB$7,((G135-F135)*100%)/(F135-E135),"")</f>
        <v>0.50410958904109593</v>
      </c>
      <c r="K135" s="331" t="str">
        <f>IF(VLOOKUP(B135,'Base de Datos'!$E$7:$S$303,11,0),"SI","NO")</f>
        <v>SI</v>
      </c>
      <c r="L135" s="332">
        <f t="shared" ref="L135:L198" si="15">IF(K135=$AB$7,((H135-D135)*100%)/(D135),"")</f>
        <v>0.50000000575220882</v>
      </c>
      <c r="M135" s="332">
        <f>VLOOKUP(B135,'Base de Datos'!$E$7:$Z$303,21,0)</f>
        <v>0.7390409857684449</v>
      </c>
      <c r="N135" s="394" t="str">
        <f t="shared" ca="1" si="12"/>
        <v/>
      </c>
      <c r="O135" s="332">
        <f ca="1">VLOOKUP(B135,'Base de Datos'!$E$7:$Z$303,22,0)</f>
        <v>1</v>
      </c>
      <c r="P135" s="393">
        <f t="shared" ref="P135:P198" ca="1" si="16">IF(R135=$AC$7,"",IFERROR(IF(R135=$AC$8,"",($C$5-G135)),""))</f>
        <v>1063</v>
      </c>
      <c r="Q135" s="406">
        <f t="shared" ca="1" si="13"/>
        <v>8.8583333333333325</v>
      </c>
      <c r="R135" s="328" t="str">
        <f ca="1">VLOOKUP(B135,'Base de Datos'!E135:AR446,33,0)</f>
        <v>TERMINO</v>
      </c>
      <c r="S135" s="331" t="str">
        <f t="shared" ref="S135:S198" ca="1" si="17">IF((TODAY()-G135&lt;900),"SI","NO")</f>
        <v>NO</v>
      </c>
      <c r="T135" s="328" t="str">
        <f t="shared" ref="T135:T198" ca="1" si="18">IF(R135=$AC$8,"",IF(O135=100%,"Liquidar",IF(R135=$AC$7,"Supervisar","")))</f>
        <v>Liquidar</v>
      </c>
      <c r="U135" s="328">
        <f>VLOOKUP(B135,'Base de Datos'!$E$7:$AR$401,38,0)</f>
        <v>0</v>
      </c>
    </row>
    <row r="136" spans="1:21" ht="23.25" customHeight="1" thickTop="1" thickBot="1" x14ac:dyDescent="0.3">
      <c r="A136" s="108">
        <v>130</v>
      </c>
      <c r="B136" s="328" t="str">
        <f>+'Base de Datos'!E136</f>
        <v>130249-0-2013</v>
      </c>
      <c r="C136" s="328" t="str">
        <f>+'Base de Datos'!F136</f>
        <v>INGEAL S.A.</v>
      </c>
      <c r="D136" s="329">
        <f>+'Base de Datos'!I136</f>
        <v>45056000</v>
      </c>
      <c r="E136" s="330">
        <f>+'Base de Datos'!M136</f>
        <v>41533</v>
      </c>
      <c r="F136" s="330">
        <f>+'Base de Datos'!N136</f>
        <v>41897</v>
      </c>
      <c r="G136" s="330">
        <f>+'Base de Datos'!T136</f>
        <v>41897</v>
      </c>
      <c r="H136" s="329">
        <f>+'Base de Datos'!U136</f>
        <v>45056000</v>
      </c>
      <c r="I136" s="331" t="str">
        <f>IF(VLOOKUP(B136,'Base de Datos'!$E$7:$S$303,11,0),"SI","NO")</f>
        <v>NO</v>
      </c>
      <c r="J136" s="332" t="str">
        <f t="shared" si="14"/>
        <v/>
      </c>
      <c r="K136" s="331" t="str">
        <f>IF(VLOOKUP(B136,'Base de Datos'!$E$7:$S$303,11,0),"SI","NO")</f>
        <v>NO</v>
      </c>
      <c r="L136" s="332" t="str">
        <f t="shared" si="15"/>
        <v/>
      </c>
      <c r="M136" s="332">
        <f>VLOOKUP(B136,'Base de Datos'!$E$7:$Z$303,21,0)</f>
        <v>0.55610795454545459</v>
      </c>
      <c r="N136" s="394" t="str">
        <f t="shared" ref="N136:N199" ca="1" si="19">IF(G136&lt;TODAY(),"",G136-TODAY())</f>
        <v/>
      </c>
      <c r="O136" s="332">
        <f ca="1">VLOOKUP(B136,'Base de Datos'!$E$7:$Z$303,22,0)</f>
        <v>1</v>
      </c>
      <c r="P136" s="393">
        <f t="shared" ca="1" si="16"/>
        <v>1221</v>
      </c>
      <c r="Q136" s="406">
        <f ca="1">IF(P136=0,"",(P136*100%)/120)</f>
        <v>10.175000000000001</v>
      </c>
      <c r="R136" s="328" t="str">
        <f ca="1">VLOOKUP(B136,'Base de Datos'!E136:AR447,33,0)</f>
        <v>TERMINO</v>
      </c>
      <c r="S136" s="331" t="str">
        <f t="shared" ca="1" si="17"/>
        <v>NO</v>
      </c>
      <c r="T136" s="328" t="str">
        <f t="shared" ca="1" si="18"/>
        <v>Liquidar</v>
      </c>
      <c r="U136" s="328">
        <f>VLOOKUP(B136,'Base de Datos'!$E$7:$AR$401,38,0)</f>
        <v>42004</v>
      </c>
    </row>
    <row r="137" spans="1:21" ht="23.25" customHeight="1" thickTop="1" thickBot="1" x14ac:dyDescent="0.3">
      <c r="A137" s="108">
        <v>131</v>
      </c>
      <c r="B137" s="328" t="str">
        <f>+'Base de Datos'!E137</f>
        <v>130254-0-2013</v>
      </c>
      <c r="C137" s="328" t="str">
        <f>+'Base de Datos'!F137</f>
        <v>CAJA DE COMPENSACIÓN FAMILIAR COMPENSAR SALONES</v>
      </c>
      <c r="D137" s="329">
        <f>+'Base de Datos'!I137</f>
        <v>76223000</v>
      </c>
      <c r="E137" s="330">
        <f>+'Base de Datos'!M137</f>
        <v>41541</v>
      </c>
      <c r="F137" s="330">
        <f>+'Base de Datos'!N137</f>
        <v>41721</v>
      </c>
      <c r="G137" s="330">
        <f>+'Base de Datos'!T137</f>
        <v>41782</v>
      </c>
      <c r="H137" s="329">
        <f>+'Base de Datos'!U137</f>
        <v>114225288</v>
      </c>
      <c r="I137" s="331" t="str">
        <f>IF(VLOOKUP(B137,'Base de Datos'!$E$7:$S$303,11,0),"SI","NO")</f>
        <v>SI</v>
      </c>
      <c r="J137" s="332">
        <f t="shared" si="14"/>
        <v>0.33888888888888891</v>
      </c>
      <c r="K137" s="331" t="str">
        <f>IF(VLOOKUP(B137,'Base de Datos'!$E$7:$S$303,11,0),"SI","NO")</f>
        <v>SI</v>
      </c>
      <c r="L137" s="332">
        <f t="shared" si="15"/>
        <v>0.49856720412473926</v>
      </c>
      <c r="M137" s="332">
        <f>VLOOKUP(B137,'Base de Datos'!$E$7:$Z$303,21,0)</f>
        <v>0.99992803695097709</v>
      </c>
      <c r="N137" s="394" t="str">
        <f t="shared" ca="1" si="19"/>
        <v/>
      </c>
      <c r="O137" s="332">
        <f ca="1">VLOOKUP(B137,'Base de Datos'!$E$7:$Z$303,22,0)</f>
        <v>1</v>
      </c>
      <c r="P137" s="393">
        <f t="shared" ca="1" si="16"/>
        <v>1336</v>
      </c>
      <c r="Q137" s="406">
        <f t="shared" ref="Q137:Q199" ca="1" si="20">IF(P137=0,"",(P137*100%)/120)</f>
        <v>11.133333333333333</v>
      </c>
      <c r="R137" s="328" t="str">
        <f ca="1">VLOOKUP(B137,'Base de Datos'!E137:AR448,33,0)</f>
        <v>TERMINO</v>
      </c>
      <c r="S137" s="331" t="str">
        <f t="shared" ca="1" si="17"/>
        <v>NO</v>
      </c>
      <c r="T137" s="328" t="str">
        <f t="shared" ca="1" si="18"/>
        <v>Liquidar</v>
      </c>
      <c r="U137" s="328">
        <f>VLOOKUP(B137,'Base de Datos'!$E$7:$AR$401,38,0)</f>
        <v>42004</v>
      </c>
    </row>
    <row r="138" spans="1:21" ht="23.25" customHeight="1" thickTop="1" thickBot="1" x14ac:dyDescent="0.3">
      <c r="A138" s="108">
        <v>132</v>
      </c>
      <c r="B138" s="328" t="str">
        <f>+'Base de Datos'!E138</f>
        <v>130260-0-2013</v>
      </c>
      <c r="C138" s="328" t="str">
        <f>+'Base de Datos'!F138</f>
        <v>PROCOLDEXT LIMITADA</v>
      </c>
      <c r="D138" s="329">
        <f>+'Base de Datos'!I138</f>
        <v>4715000</v>
      </c>
      <c r="E138" s="330">
        <f>+'Base de Datos'!M138</f>
        <v>41555</v>
      </c>
      <c r="F138" s="330">
        <f>+'Base de Datos'!N138</f>
        <v>41615</v>
      </c>
      <c r="G138" s="330">
        <f>+'Base de Datos'!T138</f>
        <v>41615</v>
      </c>
      <c r="H138" s="329">
        <f>+'Base de Datos'!U138</f>
        <v>4715000</v>
      </c>
      <c r="I138" s="331" t="str">
        <f>IF(VLOOKUP(B138,'Base de Datos'!$E$7:$S$303,11,0),"SI","NO")</f>
        <v>NO</v>
      </c>
      <c r="J138" s="332" t="str">
        <f t="shared" si="14"/>
        <v/>
      </c>
      <c r="K138" s="331" t="str">
        <f>IF(VLOOKUP(B138,'Base de Datos'!$E$7:$S$303,11,0),"SI","NO")</f>
        <v>NO</v>
      </c>
      <c r="L138" s="332" t="str">
        <f t="shared" si="15"/>
        <v/>
      </c>
      <c r="M138" s="332">
        <f>VLOOKUP(B138,'Base de Datos'!$E$7:$Z$303,21,0)</f>
        <v>1</v>
      </c>
      <c r="N138" s="394" t="str">
        <f t="shared" ca="1" si="19"/>
        <v/>
      </c>
      <c r="O138" s="332">
        <f ca="1">VLOOKUP(B138,'Base de Datos'!$E$7:$Z$303,22,0)</f>
        <v>1</v>
      </c>
      <c r="P138" s="393">
        <f t="shared" ca="1" si="16"/>
        <v>1503</v>
      </c>
      <c r="Q138" s="406">
        <f t="shared" ca="1" si="20"/>
        <v>12.525</v>
      </c>
      <c r="R138" s="328" t="str">
        <f ca="1">VLOOKUP(B138,'Base de Datos'!E138:AR449,33,0)</f>
        <v>TERMINO</v>
      </c>
      <c r="S138" s="331" t="str">
        <f t="shared" ca="1" si="17"/>
        <v>NO</v>
      </c>
      <c r="T138" s="328" t="str">
        <f t="shared" ca="1" si="18"/>
        <v>Liquidar</v>
      </c>
      <c r="U138" s="328">
        <f>VLOOKUP(B138,'Base de Datos'!$E$7:$AR$401,38,0)</f>
        <v>41900</v>
      </c>
    </row>
    <row r="139" spans="1:21" ht="23.25" customHeight="1" thickTop="1" thickBot="1" x14ac:dyDescent="0.3">
      <c r="A139" s="108">
        <v>133</v>
      </c>
      <c r="B139" s="328" t="str">
        <f>+'Base de Datos'!E139</f>
        <v>130261-0-2013</v>
      </c>
      <c r="C139" s="328" t="str">
        <f>+'Base de Datos'!F139</f>
        <v>UNIVERSIDAD DISTRITAL FRANCISCO JOSÉ DE CALDAS</v>
      </c>
      <c r="D139" s="329">
        <f>+'Base de Datos'!I139</f>
        <v>457000000</v>
      </c>
      <c r="E139" s="330">
        <f>+'Base de Datos'!M139</f>
        <v>41556</v>
      </c>
      <c r="F139" s="330">
        <f>+'Base de Datos'!N139</f>
        <v>41798</v>
      </c>
      <c r="G139" s="330">
        <f>+'Base de Datos'!T139</f>
        <v>41890</v>
      </c>
      <c r="H139" s="329">
        <f>+'Base de Datos'!U139</f>
        <v>457000000</v>
      </c>
      <c r="I139" s="331" t="str">
        <f>IF(VLOOKUP(B139,'Base de Datos'!$E$7:$S$303,11,0),"SI","NO")</f>
        <v>NO</v>
      </c>
      <c r="J139" s="332" t="str">
        <f t="shared" si="14"/>
        <v/>
      </c>
      <c r="K139" s="331" t="str">
        <f>IF(VLOOKUP(B139,'Base de Datos'!$E$7:$S$303,11,0),"SI","NO")</f>
        <v>NO</v>
      </c>
      <c r="L139" s="332" t="str">
        <f t="shared" si="15"/>
        <v/>
      </c>
      <c r="M139" s="332">
        <f>VLOOKUP(B139,'Base de Datos'!$E$7:$Z$303,21,0)</f>
        <v>0.91091309628008754</v>
      </c>
      <c r="N139" s="394" t="str">
        <f t="shared" ca="1" si="19"/>
        <v/>
      </c>
      <c r="O139" s="332">
        <f ca="1">VLOOKUP(B139,'Base de Datos'!$E$7:$Z$303,22,0)</f>
        <v>1</v>
      </c>
      <c r="P139" s="393">
        <f t="shared" ca="1" si="16"/>
        <v>1228</v>
      </c>
      <c r="Q139" s="406">
        <f t="shared" ca="1" si="20"/>
        <v>10.233333333333333</v>
      </c>
      <c r="R139" s="328" t="str">
        <f ca="1">VLOOKUP(B139,'Base de Datos'!E139:AR450,33,0)</f>
        <v>TERMINO</v>
      </c>
      <c r="S139" s="331" t="str">
        <f t="shared" ca="1" si="17"/>
        <v>NO</v>
      </c>
      <c r="T139" s="328" t="str">
        <f t="shared" ca="1" si="18"/>
        <v>Liquidar</v>
      </c>
      <c r="U139" s="328">
        <f>VLOOKUP(B139,'Base de Datos'!$E$7:$AR$401,38,0)</f>
        <v>42094</v>
      </c>
    </row>
    <row r="140" spans="1:21" ht="23.25" customHeight="1" thickTop="1" thickBot="1" x14ac:dyDescent="0.3">
      <c r="A140" s="108">
        <v>134</v>
      </c>
      <c r="B140" s="328" t="str">
        <f>+'Base de Datos'!E140</f>
        <v>130265-0-2013</v>
      </c>
      <c r="C140" s="328" t="str">
        <f>+'Base de Datos'!F140</f>
        <v>TECNOLOGÍA BIOMÉDICA</v>
      </c>
      <c r="D140" s="329">
        <f>+'Base de Datos'!I140</f>
        <v>3356320</v>
      </c>
      <c r="E140" s="330">
        <f>+'Base de Datos'!M140</f>
        <v>41554</v>
      </c>
      <c r="F140" s="330">
        <f>+'Base de Datos'!N140</f>
        <v>41645</v>
      </c>
      <c r="G140" s="330">
        <f>+'Base de Datos'!T140</f>
        <v>41645</v>
      </c>
      <c r="H140" s="329">
        <f>+'Base de Datos'!U140</f>
        <v>3356320</v>
      </c>
      <c r="I140" s="331" t="str">
        <f>IF(VLOOKUP(B140,'Base de Datos'!$E$7:$S$303,11,0),"SI","NO")</f>
        <v>NO</v>
      </c>
      <c r="J140" s="332" t="str">
        <f t="shared" si="14"/>
        <v/>
      </c>
      <c r="K140" s="331" t="str">
        <f>IF(VLOOKUP(B140,'Base de Datos'!$E$7:$S$303,11,0),"SI","NO")</f>
        <v>NO</v>
      </c>
      <c r="L140" s="332" t="str">
        <f t="shared" si="15"/>
        <v/>
      </c>
      <c r="M140" s="332">
        <f>VLOOKUP(B140,'Base de Datos'!$E$7:$Z$303,21,0)</f>
        <v>1</v>
      </c>
      <c r="N140" s="394" t="str">
        <f t="shared" ca="1" si="19"/>
        <v/>
      </c>
      <c r="O140" s="332">
        <f ca="1">VLOOKUP(B140,'Base de Datos'!$E$7:$Z$303,22,0)</f>
        <v>1</v>
      </c>
      <c r="P140" s="393">
        <f t="shared" ca="1" si="16"/>
        <v>1473</v>
      </c>
      <c r="Q140" s="406">
        <f t="shared" ca="1" si="20"/>
        <v>12.275</v>
      </c>
      <c r="R140" s="328" t="str">
        <f ca="1">VLOOKUP(B140,'Base de Datos'!E140:AR451,33,0)</f>
        <v>TERMINO</v>
      </c>
      <c r="S140" s="331" t="str">
        <f t="shared" ca="1" si="17"/>
        <v>NO</v>
      </c>
      <c r="T140" s="328" t="str">
        <f t="shared" ca="1" si="18"/>
        <v>Liquidar</v>
      </c>
      <c r="U140" s="328">
        <f>VLOOKUP(B140,'Base de Datos'!$E$7:$AR$401,38,0)</f>
        <v>42030</v>
      </c>
    </row>
    <row r="141" spans="1:21" ht="23.25" customHeight="1" thickTop="1" thickBot="1" x14ac:dyDescent="0.3">
      <c r="A141" s="108">
        <v>135</v>
      </c>
      <c r="B141" s="328" t="str">
        <f>+'Base de Datos'!E141</f>
        <v>130270-0-2013</v>
      </c>
      <c r="C141" s="328" t="str">
        <f>+'Base de Datos'!F141</f>
        <v>ITELCO IT S.A.S</v>
      </c>
      <c r="D141" s="329">
        <f>+'Base de Datos'!I141</f>
        <v>19965572</v>
      </c>
      <c r="E141" s="330">
        <f>+'Base de Datos'!M141</f>
        <v>41555</v>
      </c>
      <c r="F141" s="330">
        <f>+'Base de Datos'!N141</f>
        <v>41935</v>
      </c>
      <c r="G141" s="330">
        <f>+'Base de Datos'!T141</f>
        <v>41935</v>
      </c>
      <c r="H141" s="329">
        <f>+'Base de Datos'!U141</f>
        <v>19965572</v>
      </c>
      <c r="I141" s="331" t="str">
        <f>IF(VLOOKUP(B141,'Base de Datos'!$E$7:$S$303,11,0),"SI","NO")</f>
        <v>NO</v>
      </c>
      <c r="J141" s="332" t="str">
        <f t="shared" si="14"/>
        <v/>
      </c>
      <c r="K141" s="331" t="str">
        <f>IF(VLOOKUP(B141,'Base de Datos'!$E$7:$S$303,11,0),"SI","NO")</f>
        <v>NO</v>
      </c>
      <c r="L141" s="332" t="str">
        <f t="shared" si="15"/>
        <v/>
      </c>
      <c r="M141" s="332">
        <f>VLOOKUP(B141,'Base de Datos'!$E$7:$Z$303,21,0)</f>
        <v>1</v>
      </c>
      <c r="N141" s="394" t="str">
        <f t="shared" ca="1" si="19"/>
        <v/>
      </c>
      <c r="O141" s="332">
        <f ca="1">VLOOKUP(B141,'Base de Datos'!$E$7:$Z$303,22,0)</f>
        <v>1</v>
      </c>
      <c r="P141" s="393">
        <f t="shared" ca="1" si="16"/>
        <v>1183</v>
      </c>
      <c r="Q141" s="406">
        <f t="shared" ca="1" si="20"/>
        <v>9.8583333333333325</v>
      </c>
      <c r="R141" s="328" t="str">
        <f ca="1">VLOOKUP(B141,'Base de Datos'!E141:AR452,33,0)</f>
        <v>TERMINO</v>
      </c>
      <c r="S141" s="331" t="str">
        <f t="shared" ca="1" si="17"/>
        <v>NO</v>
      </c>
      <c r="T141" s="328" t="str">
        <f t="shared" ca="1" si="18"/>
        <v>Liquidar</v>
      </c>
      <c r="U141" s="328">
        <f>VLOOKUP(B141,'Base de Datos'!$E$7:$AR$401,38,0)</f>
        <v>42013</v>
      </c>
    </row>
    <row r="142" spans="1:21" ht="23.25" customHeight="1" thickTop="1" thickBot="1" x14ac:dyDescent="0.3">
      <c r="A142" s="108">
        <v>136</v>
      </c>
      <c r="B142" s="328" t="str">
        <f>+'Base de Datos'!E142</f>
        <v>130276-0-2013</v>
      </c>
      <c r="C142" s="328" t="str">
        <f>+'Base de Datos'!F142</f>
        <v>FACTOR VISUAL EAT</v>
      </c>
      <c r="D142" s="329">
        <f>+'Base de Datos'!I142</f>
        <v>38280000</v>
      </c>
      <c r="E142" s="330">
        <f>+'Base de Datos'!M142</f>
        <v>41562</v>
      </c>
      <c r="F142" s="330">
        <f>+'Base de Datos'!N142</f>
        <v>41926</v>
      </c>
      <c r="G142" s="330">
        <f>+'Base de Datos'!T142</f>
        <v>41926</v>
      </c>
      <c r="H142" s="329">
        <f>+'Base de Datos'!U142</f>
        <v>38280000</v>
      </c>
      <c r="I142" s="331" t="str">
        <f>IF(VLOOKUP(B142,'Base de Datos'!$E$7:$S$303,11,0),"SI","NO")</f>
        <v>NO</v>
      </c>
      <c r="J142" s="332" t="str">
        <f t="shared" si="14"/>
        <v/>
      </c>
      <c r="K142" s="331" t="str">
        <f>IF(VLOOKUP(B142,'Base de Datos'!$E$7:$S$303,11,0),"SI","NO")</f>
        <v>NO</v>
      </c>
      <c r="L142" s="332" t="str">
        <f t="shared" si="15"/>
        <v/>
      </c>
      <c r="M142" s="332">
        <f>VLOOKUP(B142,'Base de Datos'!$E$7:$Z$303,21,0)</f>
        <v>1</v>
      </c>
      <c r="N142" s="394" t="str">
        <f t="shared" ca="1" si="19"/>
        <v/>
      </c>
      <c r="O142" s="332">
        <f ca="1">VLOOKUP(B142,'Base de Datos'!$E$7:$Z$303,22,0)</f>
        <v>1</v>
      </c>
      <c r="P142" s="393">
        <f t="shared" ca="1" si="16"/>
        <v>1192</v>
      </c>
      <c r="Q142" s="406">
        <f t="shared" ca="1" si="20"/>
        <v>9.9333333333333336</v>
      </c>
      <c r="R142" s="328" t="str">
        <f ca="1">VLOOKUP(B142,'Base de Datos'!E142:AR453,33,0)</f>
        <v>TERMINO</v>
      </c>
      <c r="S142" s="331" t="str">
        <f t="shared" ca="1" si="17"/>
        <v>NO</v>
      </c>
      <c r="T142" s="328" t="str">
        <f t="shared" ca="1" si="18"/>
        <v>Liquidar</v>
      </c>
      <c r="U142" s="328">
        <f>VLOOKUP(B142,'Base de Datos'!$E$7:$AR$401,38,0)</f>
        <v>42059</v>
      </c>
    </row>
    <row r="143" spans="1:21" ht="23.25" customHeight="1" thickTop="1" thickBot="1" x14ac:dyDescent="0.3">
      <c r="A143" s="108">
        <v>137</v>
      </c>
      <c r="B143" s="328" t="str">
        <f>+'Base de Datos'!E143</f>
        <v>130281-0-2013</v>
      </c>
      <c r="C143" s="328" t="str">
        <f>+'Base de Datos'!F143</f>
        <v>CJS CANECAS Y CIA LTDA</v>
      </c>
      <c r="D143" s="329">
        <f>+'Base de Datos'!I143</f>
        <v>26073552</v>
      </c>
      <c r="E143" s="330">
        <f>+'Base de Datos'!M143</f>
        <v>41562</v>
      </c>
      <c r="F143" s="330">
        <f>+'Base de Datos'!N143</f>
        <v>41592</v>
      </c>
      <c r="G143" s="330">
        <f>+'Base de Datos'!T143</f>
        <v>41592</v>
      </c>
      <c r="H143" s="329">
        <f>+'Base de Datos'!U143</f>
        <v>26073552</v>
      </c>
      <c r="I143" s="331" t="str">
        <f>IF(VLOOKUP(B143,'Base de Datos'!$E$7:$S$303,11,0),"SI","NO")</f>
        <v>NO</v>
      </c>
      <c r="J143" s="332" t="str">
        <f t="shared" si="14"/>
        <v/>
      </c>
      <c r="K143" s="331" t="str">
        <f>IF(VLOOKUP(B143,'Base de Datos'!$E$7:$S$303,11,0),"SI","NO")</f>
        <v>NO</v>
      </c>
      <c r="L143" s="332" t="str">
        <f t="shared" si="15"/>
        <v/>
      </c>
      <c r="M143" s="332">
        <f>VLOOKUP(B143,'Base de Datos'!$E$7:$Z$303,21,0)</f>
        <v>1</v>
      </c>
      <c r="N143" s="394" t="str">
        <f t="shared" ca="1" si="19"/>
        <v/>
      </c>
      <c r="O143" s="332">
        <f ca="1">VLOOKUP(B143,'Base de Datos'!$E$7:$Z$303,22,0)</f>
        <v>1</v>
      </c>
      <c r="P143" s="393">
        <f t="shared" ca="1" si="16"/>
        <v>1526</v>
      </c>
      <c r="Q143" s="406">
        <f t="shared" ca="1" si="20"/>
        <v>12.716666666666667</v>
      </c>
      <c r="R143" s="328" t="str">
        <f ca="1">VLOOKUP(B143,'Base de Datos'!E143:AR454,33,0)</f>
        <v>TERMINO</v>
      </c>
      <c r="S143" s="331" t="str">
        <f t="shared" ca="1" si="17"/>
        <v>NO</v>
      </c>
      <c r="T143" s="328" t="str">
        <f t="shared" ca="1" si="18"/>
        <v>Liquidar</v>
      </c>
      <c r="U143" s="328">
        <f>VLOOKUP(B143,'Base de Datos'!$E$7:$AR$401,38,0)</f>
        <v>41872</v>
      </c>
    </row>
    <row r="144" spans="1:21" ht="23.25" customHeight="1" thickTop="1" thickBot="1" x14ac:dyDescent="0.3">
      <c r="A144" s="108">
        <v>138</v>
      </c>
      <c r="B144" s="328" t="str">
        <f>+'Base de Datos'!E144</f>
        <v>130286-0-2013</v>
      </c>
      <c r="C144" s="328" t="str">
        <f>+'Base de Datos'!F144</f>
        <v>COMERCIALIZADORA INTERNACIONAL MEDICA DENTAL S.A.S</v>
      </c>
      <c r="D144" s="329">
        <f>+'Base de Datos'!I144</f>
        <v>17262940</v>
      </c>
      <c r="E144" s="330">
        <f>+'Base de Datos'!M144</f>
        <v>41570</v>
      </c>
      <c r="F144" s="330">
        <f>+'Base de Datos'!N144</f>
        <v>41692</v>
      </c>
      <c r="G144" s="330">
        <f>+'Base de Datos'!T144</f>
        <v>41692</v>
      </c>
      <c r="H144" s="329">
        <f>+'Base de Datos'!U144</f>
        <v>17262940</v>
      </c>
      <c r="I144" s="331" t="str">
        <f>IF(VLOOKUP(B144,'Base de Datos'!$E$7:$S$303,11,0),"SI","NO")</f>
        <v>NO</v>
      </c>
      <c r="J144" s="332" t="str">
        <f t="shared" si="14"/>
        <v/>
      </c>
      <c r="K144" s="331" t="str">
        <f>IF(VLOOKUP(B144,'Base de Datos'!$E$7:$S$303,11,0),"SI","NO")</f>
        <v>NO</v>
      </c>
      <c r="L144" s="332" t="str">
        <f t="shared" si="15"/>
        <v/>
      </c>
      <c r="M144" s="332">
        <f>VLOOKUP(B144,'Base de Datos'!$E$7:$Z$303,21,0)</f>
        <v>1</v>
      </c>
      <c r="N144" s="394" t="str">
        <f t="shared" ca="1" si="19"/>
        <v/>
      </c>
      <c r="O144" s="332">
        <f ca="1">VLOOKUP(B144,'Base de Datos'!$E$7:$Z$303,22,0)</f>
        <v>1</v>
      </c>
      <c r="P144" s="393">
        <f t="shared" ca="1" si="16"/>
        <v>1426</v>
      </c>
      <c r="Q144" s="406">
        <f t="shared" ca="1" si="20"/>
        <v>11.883333333333333</v>
      </c>
      <c r="R144" s="328" t="str">
        <f ca="1">VLOOKUP(B144,'Base de Datos'!E144:AR455,33,0)</f>
        <v>TERMINO</v>
      </c>
      <c r="S144" s="331" t="str">
        <f t="shared" ca="1" si="17"/>
        <v>NO</v>
      </c>
      <c r="T144" s="328" t="str">
        <f t="shared" ca="1" si="18"/>
        <v>Liquidar</v>
      </c>
      <c r="U144" s="328">
        <f>VLOOKUP(B144,'Base de Datos'!$E$7:$AR$401,38,0)</f>
        <v>42004</v>
      </c>
    </row>
    <row r="145" spans="1:21" ht="23.25" customHeight="1" thickTop="1" thickBot="1" x14ac:dyDescent="0.3">
      <c r="A145" s="108">
        <v>139</v>
      </c>
      <c r="B145" s="328" t="str">
        <f>+'Base de Datos'!E145</f>
        <v>130297-0-2013</v>
      </c>
      <c r="C145" s="328" t="str">
        <f>+'Base de Datos'!F145</f>
        <v>GRUPO EDITORIAL EL PERIÓDICO S.A.S</v>
      </c>
      <c r="D145" s="329">
        <f>+'Base de Datos'!I145</f>
        <v>810000</v>
      </c>
      <c r="E145" s="330">
        <f>+'Base de Datos'!M145</f>
        <v>41575</v>
      </c>
      <c r="F145" s="330">
        <f>+'Base de Datos'!N145</f>
        <v>41939</v>
      </c>
      <c r="G145" s="330">
        <f>+'Base de Datos'!T145</f>
        <v>41939</v>
      </c>
      <c r="H145" s="329">
        <f>+'Base de Datos'!U145</f>
        <v>810000</v>
      </c>
      <c r="I145" s="331" t="str">
        <f>IF(VLOOKUP(B145,'Base de Datos'!$E$7:$S$303,11,0),"SI","NO")</f>
        <v>NO</v>
      </c>
      <c r="J145" s="332" t="str">
        <f t="shared" si="14"/>
        <v/>
      </c>
      <c r="K145" s="331" t="str">
        <f>IF(VLOOKUP(B145,'Base de Datos'!$E$7:$S$303,11,0),"SI","NO")</f>
        <v>NO</v>
      </c>
      <c r="L145" s="332" t="str">
        <f t="shared" si="15"/>
        <v/>
      </c>
      <c r="M145" s="332">
        <f>VLOOKUP(B145,'Base de Datos'!$E$7:$Z$303,21,0)</f>
        <v>1</v>
      </c>
      <c r="N145" s="394" t="str">
        <f t="shared" ca="1" si="19"/>
        <v/>
      </c>
      <c r="O145" s="332">
        <f ca="1">VLOOKUP(B145,'Base de Datos'!$E$7:$Z$303,22,0)</f>
        <v>1</v>
      </c>
      <c r="P145" s="393">
        <f t="shared" ca="1" si="16"/>
        <v>1179</v>
      </c>
      <c r="Q145" s="406">
        <f t="shared" ca="1" si="20"/>
        <v>9.8249999999999993</v>
      </c>
      <c r="R145" s="328" t="str">
        <f ca="1">VLOOKUP(B145,'Base de Datos'!E145:AR456,33,0)</f>
        <v>TERMINO</v>
      </c>
      <c r="S145" s="331" t="str">
        <f t="shared" ca="1" si="17"/>
        <v>NO</v>
      </c>
      <c r="T145" s="328" t="str">
        <f t="shared" ca="1" si="18"/>
        <v>Liquidar</v>
      </c>
      <c r="U145" s="328">
        <f>VLOOKUP(B145,'Base de Datos'!$E$7:$AR$401,38,0)</f>
        <v>0</v>
      </c>
    </row>
    <row r="146" spans="1:21" ht="23.25" customHeight="1" thickTop="1" thickBot="1" x14ac:dyDescent="0.3">
      <c r="A146" s="108">
        <v>140</v>
      </c>
      <c r="B146" s="328" t="str">
        <f>+'Base de Datos'!E146</f>
        <v>130298-0-2013</v>
      </c>
      <c r="C146" s="328" t="str">
        <f>+'Base de Datos'!F146</f>
        <v>SOLUCIONES INTEGRALES DE OFICINAS      SAS</v>
      </c>
      <c r="D146" s="329">
        <f>+'Base de Datos'!I146</f>
        <v>5545000</v>
      </c>
      <c r="E146" s="330">
        <f>+'Base de Datos'!M146</f>
        <v>41590</v>
      </c>
      <c r="F146" s="330">
        <f>+'Base de Datos'!N146</f>
        <v>41650</v>
      </c>
      <c r="G146" s="330">
        <f>+'Base de Datos'!T146</f>
        <v>41650</v>
      </c>
      <c r="H146" s="329">
        <f>+'Base de Datos'!U146</f>
        <v>5545000</v>
      </c>
      <c r="I146" s="331" t="str">
        <f>IF(VLOOKUP(B146,'Base de Datos'!$E$7:$S$303,11,0),"SI","NO")</f>
        <v>NO</v>
      </c>
      <c r="J146" s="332" t="str">
        <f t="shared" si="14"/>
        <v/>
      </c>
      <c r="K146" s="331" t="str">
        <f>IF(VLOOKUP(B146,'Base de Datos'!$E$7:$S$303,11,0),"SI","NO")</f>
        <v>NO</v>
      </c>
      <c r="L146" s="332" t="str">
        <f t="shared" si="15"/>
        <v/>
      </c>
      <c r="M146" s="332">
        <f>VLOOKUP(B146,'Base de Datos'!$E$7:$Z$303,21,0)</f>
        <v>1</v>
      </c>
      <c r="N146" s="394" t="str">
        <f t="shared" ca="1" si="19"/>
        <v/>
      </c>
      <c r="O146" s="332">
        <f ca="1">VLOOKUP(B146,'Base de Datos'!$E$7:$Z$303,22,0)</f>
        <v>1</v>
      </c>
      <c r="P146" s="393">
        <f t="shared" ca="1" si="16"/>
        <v>1468</v>
      </c>
      <c r="Q146" s="406">
        <f t="shared" ca="1" si="20"/>
        <v>12.233333333333333</v>
      </c>
      <c r="R146" s="328" t="str">
        <f ca="1">VLOOKUP(B146,'Base de Datos'!E146:AR457,33,0)</f>
        <v>TERMINO</v>
      </c>
      <c r="S146" s="331" t="str">
        <f t="shared" ca="1" si="17"/>
        <v>NO</v>
      </c>
      <c r="T146" s="328" t="str">
        <f t="shared" ca="1" si="18"/>
        <v>Liquidar</v>
      </c>
      <c r="U146" s="328">
        <f>VLOOKUP(B146,'Base de Datos'!$E$7:$AR$401,38,0)</f>
        <v>0</v>
      </c>
    </row>
    <row r="147" spans="1:21" ht="23.25" customHeight="1" thickTop="1" thickBot="1" x14ac:dyDescent="0.3">
      <c r="A147" s="108">
        <v>141</v>
      </c>
      <c r="B147" s="328" t="str">
        <f>+'Base de Datos'!E147</f>
        <v>130299-0-2013</v>
      </c>
      <c r="C147" s="328" t="str">
        <f>+'Base de Datos'!F147</f>
        <v>3D CONSULTING GROUP LTDA</v>
      </c>
      <c r="D147" s="329">
        <f>+'Base de Datos'!I147</f>
        <v>19360400</v>
      </c>
      <c r="E147" s="330">
        <f>+'Base de Datos'!M147</f>
        <v>41590</v>
      </c>
      <c r="F147" s="330">
        <f>+'Base de Datos'!N147</f>
        <v>41650</v>
      </c>
      <c r="G147" s="330">
        <f>+'Base de Datos'!T147</f>
        <v>41650</v>
      </c>
      <c r="H147" s="329">
        <f>+'Base de Datos'!U147</f>
        <v>19360400</v>
      </c>
      <c r="I147" s="331" t="str">
        <f>IF(VLOOKUP(B147,'Base de Datos'!$E$7:$S$303,11,0),"SI","NO")</f>
        <v>NO</v>
      </c>
      <c r="J147" s="332" t="str">
        <f t="shared" si="14"/>
        <v/>
      </c>
      <c r="K147" s="331" t="str">
        <f>IF(VLOOKUP(B147,'Base de Datos'!$E$7:$S$303,11,0),"SI","NO")</f>
        <v>NO</v>
      </c>
      <c r="L147" s="332" t="str">
        <f t="shared" si="15"/>
        <v/>
      </c>
      <c r="M147" s="332">
        <f>VLOOKUP(B147,'Base de Datos'!$E$7:$Z$303,21,0)</f>
        <v>1</v>
      </c>
      <c r="N147" s="394" t="str">
        <f t="shared" ca="1" si="19"/>
        <v/>
      </c>
      <c r="O147" s="332">
        <f ca="1">VLOOKUP(B147,'Base de Datos'!$E$7:$Z$303,22,0)</f>
        <v>1</v>
      </c>
      <c r="P147" s="393">
        <f t="shared" ca="1" si="16"/>
        <v>1468</v>
      </c>
      <c r="Q147" s="406">
        <f t="shared" ca="1" si="20"/>
        <v>12.233333333333333</v>
      </c>
      <c r="R147" s="328" t="str">
        <f ca="1">VLOOKUP(B147,'Base de Datos'!E147:AR458,33,0)</f>
        <v>TERMINO</v>
      </c>
      <c r="S147" s="331" t="str">
        <f t="shared" ca="1" si="17"/>
        <v>NO</v>
      </c>
      <c r="T147" s="328" t="str">
        <f t="shared" ca="1" si="18"/>
        <v>Liquidar</v>
      </c>
      <c r="U147" s="328">
        <f>VLOOKUP(B147,'Base de Datos'!$E$7:$AR$401,38,0)</f>
        <v>41979</v>
      </c>
    </row>
    <row r="148" spans="1:21" ht="23.25" customHeight="1" thickTop="1" thickBot="1" x14ac:dyDescent="0.3">
      <c r="A148" s="108">
        <v>142</v>
      </c>
      <c r="B148" s="328" t="str">
        <f>+'Base de Datos'!E148</f>
        <v>130301-0-2013</v>
      </c>
      <c r="C148" s="328" t="str">
        <f>+'Base de Datos'!F148</f>
        <v>COMPENSAR BIENESTAR</v>
      </c>
      <c r="D148" s="329">
        <f>+'Base de Datos'!I148</f>
        <v>336560000</v>
      </c>
      <c r="E148" s="330">
        <f>+'Base de Datos'!M148</f>
        <v>41572</v>
      </c>
      <c r="F148" s="330">
        <f>+'Base de Datos'!N148</f>
        <v>41814</v>
      </c>
      <c r="G148" s="330">
        <f>+'Base de Datos'!T148</f>
        <v>41814</v>
      </c>
      <c r="H148" s="329">
        <f>+'Base de Datos'!U148</f>
        <v>502280800</v>
      </c>
      <c r="I148" s="331" t="str">
        <f>IF(VLOOKUP(B148,'Base de Datos'!$E$7:$S$303,11,0),"SI","NO")</f>
        <v>SI</v>
      </c>
      <c r="J148" s="332">
        <f t="shared" si="14"/>
        <v>0</v>
      </c>
      <c r="K148" s="331" t="str">
        <f>IF(VLOOKUP(B148,'Base de Datos'!$E$7:$S$303,11,0),"SI","NO")</f>
        <v>SI</v>
      </c>
      <c r="L148" s="332">
        <f t="shared" si="15"/>
        <v>0.49239600665557404</v>
      </c>
      <c r="M148" s="332">
        <f>VLOOKUP(B148,'Base de Datos'!$E$7:$Z$303,21,0)</f>
        <v>0.99993387762383112</v>
      </c>
      <c r="N148" s="394" t="str">
        <f t="shared" ca="1" si="19"/>
        <v/>
      </c>
      <c r="O148" s="332">
        <f ca="1">VLOOKUP(B148,'Base de Datos'!$E$7:$Z$303,22,0)</f>
        <v>1</v>
      </c>
      <c r="P148" s="393">
        <f t="shared" ca="1" si="16"/>
        <v>1304</v>
      </c>
      <c r="Q148" s="406">
        <f t="shared" ca="1" si="20"/>
        <v>10.866666666666667</v>
      </c>
      <c r="R148" s="328" t="str">
        <f ca="1">VLOOKUP(B148,'Base de Datos'!E148:AR459,33,0)</f>
        <v>TERMINO</v>
      </c>
      <c r="S148" s="331" t="str">
        <f t="shared" ca="1" si="17"/>
        <v>NO</v>
      </c>
      <c r="T148" s="328" t="str">
        <f t="shared" ca="1" si="18"/>
        <v>Liquidar</v>
      </c>
      <c r="U148" s="328">
        <f>VLOOKUP(B148,'Base de Datos'!$E$7:$AR$401,38,0)</f>
        <v>42279</v>
      </c>
    </row>
    <row r="149" spans="1:21" ht="23.25" customHeight="1" thickTop="1" thickBot="1" x14ac:dyDescent="0.3">
      <c r="A149" s="108">
        <v>143</v>
      </c>
      <c r="B149" s="328" t="str">
        <f>+'Base de Datos'!E149</f>
        <v>130309-0-2013</v>
      </c>
      <c r="C149" s="328" t="str">
        <f>+'Base de Datos'!F149</f>
        <v>UNIÓN TEMPORAL VIGILANCIA ACOSTA LTDA  - RUMBO ASOCIADOS</v>
      </c>
      <c r="D149" s="329">
        <f>+'Base de Datos'!I149</f>
        <v>533636000</v>
      </c>
      <c r="E149" s="330">
        <f>+'Base de Datos'!M149</f>
        <v>41580</v>
      </c>
      <c r="F149" s="330">
        <f>+'Base de Datos'!N149</f>
        <v>41944</v>
      </c>
      <c r="G149" s="330">
        <f>+'Base de Datos'!T149</f>
        <v>41975</v>
      </c>
      <c r="H149" s="329">
        <f>+'Base de Datos'!U149</f>
        <v>692839272</v>
      </c>
      <c r="I149" s="331" t="str">
        <f>IF(VLOOKUP(B149,'Base de Datos'!$E$7:$S$303,11,0),"SI","NO")</f>
        <v>SI</v>
      </c>
      <c r="J149" s="332">
        <f t="shared" si="14"/>
        <v>8.5164835164835168E-2</v>
      </c>
      <c r="K149" s="331" t="str">
        <f>IF(VLOOKUP(B149,'Base de Datos'!$E$7:$S$303,11,0),"SI","NO")</f>
        <v>SI</v>
      </c>
      <c r="L149" s="332">
        <f t="shared" si="15"/>
        <v>0.29833682884962781</v>
      </c>
      <c r="M149" s="332">
        <f>VLOOKUP(B149,'Base de Datos'!$E$7:$Z$303,21,0)</f>
        <v>0.97881928811910646</v>
      </c>
      <c r="N149" s="394" t="str">
        <f t="shared" ca="1" si="19"/>
        <v/>
      </c>
      <c r="O149" s="332">
        <f ca="1">VLOOKUP(B149,'Base de Datos'!$E$7:$Z$303,22,0)</f>
        <v>1</v>
      </c>
      <c r="P149" s="393">
        <f t="shared" ca="1" si="16"/>
        <v>1143</v>
      </c>
      <c r="Q149" s="406">
        <f t="shared" ca="1" si="20"/>
        <v>9.5250000000000004</v>
      </c>
      <c r="R149" s="328" t="str">
        <f ca="1">VLOOKUP(B149,'Base de Datos'!E149:AR460,33,0)</f>
        <v>TERMINO</v>
      </c>
      <c r="S149" s="331" t="str">
        <f t="shared" ca="1" si="17"/>
        <v>NO</v>
      </c>
      <c r="T149" s="328" t="str">
        <f t="shared" ca="1" si="18"/>
        <v>Liquidar</v>
      </c>
      <c r="U149" s="328">
        <f>VLOOKUP(B149,'Base de Datos'!$E$7:$AR$401,38,0)</f>
        <v>0</v>
      </c>
    </row>
    <row r="150" spans="1:21" ht="23.25" customHeight="1" thickTop="1" thickBot="1" x14ac:dyDescent="0.3">
      <c r="A150" s="108">
        <v>144</v>
      </c>
      <c r="B150" s="328" t="str">
        <f>+'Base de Datos'!E150</f>
        <v>130321-0-2013</v>
      </c>
      <c r="C150" s="328" t="str">
        <f>+'Base de Datos'!F150</f>
        <v>EMPRESA DE TELECOMUNICACIONES DE BOGOTA S.A.   ESP</v>
      </c>
      <c r="D150" s="329">
        <f>+'Base de Datos'!I150</f>
        <v>150000000</v>
      </c>
      <c r="E150" s="330">
        <f>+'Base de Datos'!M150</f>
        <v>41610</v>
      </c>
      <c r="F150" s="330">
        <f>+'Base de Datos'!N150</f>
        <v>41975</v>
      </c>
      <c r="G150" s="330">
        <f>+'Base de Datos'!T150</f>
        <v>41975</v>
      </c>
      <c r="H150" s="329">
        <f>+'Base de Datos'!U150</f>
        <v>150000000</v>
      </c>
      <c r="I150" s="331" t="str">
        <f>IF(VLOOKUP(B150,'Base de Datos'!$E$7:$S$303,11,0),"SI","NO")</f>
        <v>NO</v>
      </c>
      <c r="J150" s="332" t="str">
        <f t="shared" si="14"/>
        <v/>
      </c>
      <c r="K150" s="331" t="str">
        <f>IF(VLOOKUP(B150,'Base de Datos'!$E$7:$S$303,11,0),"SI","NO")</f>
        <v>NO</v>
      </c>
      <c r="L150" s="332" t="str">
        <f t="shared" si="15"/>
        <v/>
      </c>
      <c r="M150" s="332">
        <f>VLOOKUP(B150,'Base de Datos'!$E$7:$Z$303,21,0)</f>
        <v>0</v>
      </c>
      <c r="N150" s="394" t="str">
        <f t="shared" ca="1" si="19"/>
        <v/>
      </c>
      <c r="O150" s="332">
        <f ca="1">VLOOKUP(B150,'Base de Datos'!$E$7:$Z$303,22,0)</f>
        <v>1</v>
      </c>
      <c r="P150" s="393">
        <f t="shared" ca="1" si="16"/>
        <v>1143</v>
      </c>
      <c r="Q150" s="406">
        <f t="shared" ca="1" si="20"/>
        <v>9.5250000000000004</v>
      </c>
      <c r="R150" s="328" t="str">
        <f ca="1">VLOOKUP(B150,'Base de Datos'!E150:AR461,33,0)</f>
        <v>TERMINO</v>
      </c>
      <c r="S150" s="331" t="str">
        <f t="shared" ca="1" si="17"/>
        <v>NO</v>
      </c>
      <c r="T150" s="328" t="str">
        <f t="shared" ca="1" si="18"/>
        <v>Liquidar</v>
      </c>
      <c r="U150" s="328">
        <f>VLOOKUP(B150,'Base de Datos'!$E$7:$AR$401,38,0)</f>
        <v>0</v>
      </c>
    </row>
    <row r="151" spans="1:21" ht="23.25" customHeight="1" thickTop="1" thickBot="1" x14ac:dyDescent="0.3">
      <c r="A151" s="108">
        <v>145</v>
      </c>
      <c r="B151" s="328" t="str">
        <f>+'Base de Datos'!E151</f>
        <v>130325-0-2013</v>
      </c>
      <c r="C151" s="328" t="str">
        <f>+'Base de Datos'!F151</f>
        <v>SI CAPIT@L</v>
      </c>
      <c r="D151" s="329">
        <f>+'Base de Datos'!I151</f>
        <v>0</v>
      </c>
      <c r="E151" s="330">
        <f>+'Base de Datos'!M151</f>
        <v>41696</v>
      </c>
      <c r="F151" s="330">
        <f>+'Base de Datos'!N151</f>
        <v>42425</v>
      </c>
      <c r="G151" s="330">
        <f>+'Base de Datos'!T151</f>
        <v>42425</v>
      </c>
      <c r="H151" s="329">
        <f>+'Base de Datos'!U151</f>
        <v>0</v>
      </c>
      <c r="I151" s="331" t="str">
        <f>IF(VLOOKUP(B151,'Base de Datos'!$E$7:$S$303,11,0),"SI","NO")</f>
        <v>NO</v>
      </c>
      <c r="J151" s="332" t="str">
        <f t="shared" si="14"/>
        <v/>
      </c>
      <c r="K151" s="331" t="str">
        <f>IF(VLOOKUP(B151,'Base de Datos'!$E$7:$S$303,11,0),"SI","NO")</f>
        <v>NO</v>
      </c>
      <c r="L151" s="332" t="str">
        <f t="shared" si="15"/>
        <v/>
      </c>
      <c r="M151" s="332" t="e">
        <f>VLOOKUP(B151,'Base de Datos'!$E$7:$Z$303,21,0)</f>
        <v>#DIV/0!</v>
      </c>
      <c r="N151" s="394" t="str">
        <f t="shared" ca="1" si="19"/>
        <v/>
      </c>
      <c r="O151" s="332">
        <f ca="1">VLOOKUP(B151,'Base de Datos'!$E$7:$Z$303,22,0)</f>
        <v>1</v>
      </c>
      <c r="P151" s="393">
        <f t="shared" ca="1" si="16"/>
        <v>693</v>
      </c>
      <c r="Q151" s="406">
        <f t="shared" ca="1" si="20"/>
        <v>5.7750000000000004</v>
      </c>
      <c r="R151" s="328" t="str">
        <f ca="1">VLOOKUP(B151,'Base de Datos'!E151:AR462,33,0)</f>
        <v>TERMINO</v>
      </c>
      <c r="S151" s="331" t="str">
        <f t="shared" ca="1" si="17"/>
        <v>SI</v>
      </c>
      <c r="T151" s="328" t="str">
        <f t="shared" ca="1" si="18"/>
        <v>Liquidar</v>
      </c>
      <c r="U151" s="328">
        <f>VLOOKUP(B151,'Base de Datos'!$E$7:$AR$401,38,0)</f>
        <v>0</v>
      </c>
    </row>
    <row r="152" spans="1:21" ht="23.25" customHeight="1" thickTop="1" thickBot="1" x14ac:dyDescent="0.3">
      <c r="A152" s="108">
        <v>146</v>
      </c>
      <c r="B152" s="328" t="str">
        <f>+'Base de Datos'!E152</f>
        <v>120000-518-0-2012</v>
      </c>
      <c r="C152" s="328" t="str">
        <f>+'Base de Datos'!F152</f>
        <v>INSTITUTO DISTRITAL DEL PATRIMONIO CULTURAL - IDCP</v>
      </c>
      <c r="D152" s="329">
        <f>+'Base de Datos'!I152</f>
        <v>2689440000</v>
      </c>
      <c r="E152" s="330">
        <f>+'Base de Datos'!M152</f>
        <v>41263</v>
      </c>
      <c r="F152" s="330">
        <f>+'Base de Datos'!N152</f>
        <v>41993</v>
      </c>
      <c r="G152" s="330">
        <f>+'Base de Datos'!T152</f>
        <v>43281</v>
      </c>
      <c r="H152" s="329">
        <f>+'Base de Datos'!U152</f>
        <v>3900374978</v>
      </c>
      <c r="I152" s="331" t="str">
        <f>IF(VLOOKUP(B152,'Base de Datos'!$E$7:$S$303,11,0),"SI","NO")</f>
        <v>SI</v>
      </c>
      <c r="J152" s="332">
        <f t="shared" si="14"/>
        <v>1.7643835616438357</v>
      </c>
      <c r="K152" s="331" t="str">
        <f>IF(VLOOKUP(B152,'Base de Datos'!$E$7:$S$303,11,0),"SI","NO")</f>
        <v>SI</v>
      </c>
      <c r="L152" s="332">
        <f t="shared" si="15"/>
        <v>0.45025543533226248</v>
      </c>
      <c r="M152" s="332">
        <f>VLOOKUP(B152,'Base de Datos'!$E$7:$Z$303,21,0)</f>
        <v>0.17434304338314827</v>
      </c>
      <c r="N152" s="394">
        <f t="shared" ca="1" si="19"/>
        <v>163</v>
      </c>
      <c r="O152" s="332">
        <f ca="1">VLOOKUP(B152,'Base de Datos'!$E$7:$Z$303,22,0)</f>
        <v>0.91922695738354809</v>
      </c>
      <c r="P152" s="393" t="str">
        <f t="shared" ca="1" si="16"/>
        <v/>
      </c>
      <c r="Q152" s="406" t="e">
        <f t="shared" ca="1" si="20"/>
        <v>#VALUE!</v>
      </c>
      <c r="R152" s="328" t="str">
        <f ca="1">VLOOKUP(B152,'Base de Datos'!E152:AR463,33,0)</f>
        <v>EN EJECUCIÓN</v>
      </c>
      <c r="S152" s="331" t="str">
        <f t="shared" ca="1" si="17"/>
        <v>SI</v>
      </c>
      <c r="T152" s="328" t="str">
        <f t="shared" ca="1" si="18"/>
        <v>Supervisar</v>
      </c>
      <c r="U152" s="328">
        <f>VLOOKUP(B152,'Base de Datos'!$E$7:$AR$401,38,0)</f>
        <v>0</v>
      </c>
    </row>
    <row r="153" spans="1:21" ht="23.25" customHeight="1" thickTop="1" thickBot="1" x14ac:dyDescent="0.3">
      <c r="A153" s="108">
        <v>147</v>
      </c>
      <c r="B153" s="328" t="str">
        <f>+'Base de Datos'!E153</f>
        <v>130334-0-2013</v>
      </c>
      <c r="C153" s="328" t="str">
        <f>+'Base de Datos'!F153</f>
        <v>NEX COMPUTER S.A.  - NEXCOM</v>
      </c>
      <c r="D153" s="329">
        <f>+'Base de Datos'!I153</f>
        <v>430036764</v>
      </c>
      <c r="E153" s="330">
        <f>+'Base de Datos'!M153</f>
        <v>41659</v>
      </c>
      <c r="F153" s="330">
        <f>+'Base de Datos'!N153</f>
        <v>41748</v>
      </c>
      <c r="G153" s="330">
        <f>+'Base de Datos'!T153</f>
        <v>41748</v>
      </c>
      <c r="H153" s="329">
        <f>+'Base de Datos'!U153</f>
        <v>430036764</v>
      </c>
      <c r="I153" s="331" t="str">
        <f>IF(VLOOKUP(B153,'Base de Datos'!$E$7:$S$303,11,0),"SI","NO")</f>
        <v>NO</v>
      </c>
      <c r="J153" s="332" t="str">
        <f t="shared" si="14"/>
        <v/>
      </c>
      <c r="K153" s="331" t="str">
        <f>IF(VLOOKUP(B153,'Base de Datos'!$E$7:$S$303,11,0),"SI","NO")</f>
        <v>NO</v>
      </c>
      <c r="L153" s="332" t="str">
        <f t="shared" si="15"/>
        <v/>
      </c>
      <c r="M153" s="332">
        <f>VLOOKUP(B153,'Base de Datos'!$E$7:$Z$303,21,0)</f>
        <v>0.99999961863725684</v>
      </c>
      <c r="N153" s="394" t="str">
        <f t="shared" ca="1" si="19"/>
        <v/>
      </c>
      <c r="O153" s="332">
        <f ca="1">VLOOKUP(B153,'Base de Datos'!$E$7:$Z$303,22,0)</f>
        <v>1</v>
      </c>
      <c r="P153" s="393">
        <f t="shared" ca="1" si="16"/>
        <v>1370</v>
      </c>
      <c r="Q153" s="406">
        <f t="shared" ca="1" si="20"/>
        <v>11.416666666666666</v>
      </c>
      <c r="R153" s="328" t="str">
        <f ca="1">VLOOKUP(B153,'Base de Datos'!E153:AR464,33,0)</f>
        <v>TERMINO</v>
      </c>
      <c r="S153" s="331" t="str">
        <f t="shared" ca="1" si="17"/>
        <v>NO</v>
      </c>
      <c r="T153" s="328" t="str">
        <f t="shared" ca="1" si="18"/>
        <v>Liquidar</v>
      </c>
      <c r="U153" s="328">
        <f>VLOOKUP(B153,'Base de Datos'!$E$7:$AR$401,38,0)</f>
        <v>42059</v>
      </c>
    </row>
    <row r="154" spans="1:21" ht="23.25" customHeight="1" thickTop="1" thickBot="1" x14ac:dyDescent="0.3">
      <c r="A154" s="108">
        <v>148</v>
      </c>
      <c r="B154" s="328" t="str">
        <f>+'Base de Datos'!E154</f>
        <v>130336-0-2013</v>
      </c>
      <c r="C154" s="328" t="str">
        <f>+'Base de Datos'!F154</f>
        <v>CESAR ALEJANDRO GUERRERO BARRIGA</v>
      </c>
      <c r="D154" s="329">
        <f>+'Base de Datos'!I154</f>
        <v>6000000</v>
      </c>
      <c r="E154" s="330">
        <f>+'Base de Datos'!M154</f>
        <v>41620</v>
      </c>
      <c r="F154" s="330">
        <f>+'Base de Datos'!N154</f>
        <v>41681</v>
      </c>
      <c r="G154" s="330">
        <f>+'Base de Datos'!T154</f>
        <v>41681</v>
      </c>
      <c r="H154" s="329">
        <f>+'Base de Datos'!U154</f>
        <v>6000000</v>
      </c>
      <c r="I154" s="331" t="str">
        <f>IF(VLOOKUP(B154,'Base de Datos'!$E$7:$S$303,11,0),"SI","NO")</f>
        <v>NO</v>
      </c>
      <c r="J154" s="332" t="str">
        <f t="shared" si="14"/>
        <v/>
      </c>
      <c r="K154" s="331" t="str">
        <f>IF(VLOOKUP(B154,'Base de Datos'!$E$7:$S$303,11,0),"SI","NO")</f>
        <v>NO</v>
      </c>
      <c r="L154" s="332" t="str">
        <f t="shared" si="15"/>
        <v/>
      </c>
      <c r="M154" s="332">
        <f>VLOOKUP(B154,'Base de Datos'!$E$7:$Z$303,21,0)</f>
        <v>1</v>
      </c>
      <c r="N154" s="394" t="str">
        <f t="shared" ca="1" si="19"/>
        <v/>
      </c>
      <c r="O154" s="332">
        <f ca="1">VLOOKUP(B154,'Base de Datos'!$E$7:$Z$303,22,0)</f>
        <v>1</v>
      </c>
      <c r="P154" s="393">
        <f t="shared" ca="1" si="16"/>
        <v>1437</v>
      </c>
      <c r="Q154" s="406">
        <f t="shared" ca="1" si="20"/>
        <v>11.975</v>
      </c>
      <c r="R154" s="328" t="str">
        <f ca="1">VLOOKUP(B154,'Base de Datos'!E154:AR465,33,0)</f>
        <v>TERMINO</v>
      </c>
      <c r="S154" s="331" t="str">
        <f t="shared" ca="1" si="17"/>
        <v>NO</v>
      </c>
      <c r="T154" s="328" t="str">
        <f t="shared" ca="1" si="18"/>
        <v>Liquidar</v>
      </c>
      <c r="U154" s="328">
        <f>VLOOKUP(B154,'Base de Datos'!$E$7:$AR$401,38,0)</f>
        <v>41817</v>
      </c>
    </row>
    <row r="155" spans="1:21" ht="23.25" customHeight="1" thickTop="1" thickBot="1" x14ac:dyDescent="0.3">
      <c r="A155" s="108">
        <v>149</v>
      </c>
      <c r="B155" s="328" t="str">
        <f>+'Base de Datos'!E155</f>
        <v>130340-0-2013</v>
      </c>
      <c r="C155" s="328" t="str">
        <f>+'Base de Datos'!F155</f>
        <v>RIELCO   LTDA</v>
      </c>
      <c r="D155" s="329">
        <f>+'Base de Datos'!I155</f>
        <v>7937504</v>
      </c>
      <c r="E155" s="330">
        <f>+'Base de Datos'!M155</f>
        <v>41641</v>
      </c>
      <c r="F155" s="330">
        <f>+'Base de Datos'!N155</f>
        <v>42005</v>
      </c>
      <c r="G155" s="330">
        <f>+'Base de Datos'!T155</f>
        <v>42005</v>
      </c>
      <c r="H155" s="329">
        <f>+'Base de Datos'!U155</f>
        <v>7937504</v>
      </c>
      <c r="I155" s="331" t="str">
        <f>IF(VLOOKUP(B155,'Base de Datos'!$E$7:$S$303,11,0),"SI","NO")</f>
        <v>NO</v>
      </c>
      <c r="J155" s="332" t="str">
        <f t="shared" si="14"/>
        <v/>
      </c>
      <c r="K155" s="331" t="str">
        <f>IF(VLOOKUP(B155,'Base de Datos'!$E$7:$S$303,11,0),"SI","NO")</f>
        <v>NO</v>
      </c>
      <c r="L155" s="332" t="str">
        <f t="shared" si="15"/>
        <v/>
      </c>
      <c r="M155" s="332">
        <f>VLOOKUP(B155,'Base de Datos'!$E$7:$Z$303,21,0)</f>
        <v>0.75490532036267322</v>
      </c>
      <c r="N155" s="394" t="str">
        <f t="shared" ca="1" si="19"/>
        <v/>
      </c>
      <c r="O155" s="332">
        <f ca="1">VLOOKUP(B155,'Base de Datos'!$E$7:$Z$303,22,0)</f>
        <v>1</v>
      </c>
      <c r="P155" s="393">
        <f t="shared" ca="1" si="16"/>
        <v>1113</v>
      </c>
      <c r="Q155" s="406">
        <f t="shared" ca="1" si="20"/>
        <v>9.2750000000000004</v>
      </c>
      <c r="R155" s="328" t="str">
        <f ca="1">VLOOKUP(B155,'Base de Datos'!E155:AR466,33,0)</f>
        <v>TERMINO</v>
      </c>
      <c r="S155" s="331" t="str">
        <f t="shared" ca="1" si="17"/>
        <v>NO</v>
      </c>
      <c r="T155" s="328" t="str">
        <f t="shared" ca="1" si="18"/>
        <v>Liquidar</v>
      </c>
      <c r="U155" s="328">
        <f>VLOOKUP(B155,'Base de Datos'!$E$7:$AR$401,38,0)</f>
        <v>0</v>
      </c>
    </row>
    <row r="156" spans="1:21" ht="23.25" customHeight="1" thickTop="1" thickBot="1" x14ac:dyDescent="0.3">
      <c r="A156" s="108">
        <v>150</v>
      </c>
      <c r="B156" s="328" t="str">
        <f>+'Base de Datos'!E156</f>
        <v>130346-0-2013</v>
      </c>
      <c r="C156" s="328" t="str">
        <f>+'Base de Datos'!F156</f>
        <v>RIGOBERTO GÓMEZ JAIMES</v>
      </c>
      <c r="D156" s="329">
        <f>+'Base de Datos'!I156</f>
        <v>15000000</v>
      </c>
      <c r="E156" s="330">
        <f>+'Base de Datos'!M156</f>
        <v>41612</v>
      </c>
      <c r="F156" s="330">
        <f>+'Base de Datos'!N156</f>
        <v>41658</v>
      </c>
      <c r="G156" s="330">
        <f>+'Base de Datos'!T156</f>
        <v>41658</v>
      </c>
      <c r="H156" s="329">
        <f>+'Base de Datos'!U156</f>
        <v>15000000</v>
      </c>
      <c r="I156" s="331" t="str">
        <f>IF(VLOOKUP(B156,'Base de Datos'!$E$7:$S$303,11,0),"SI","NO")</f>
        <v>NO</v>
      </c>
      <c r="J156" s="332" t="str">
        <f t="shared" si="14"/>
        <v/>
      </c>
      <c r="K156" s="331" t="str">
        <f>IF(VLOOKUP(B156,'Base de Datos'!$E$7:$S$303,11,0),"SI","NO")</f>
        <v>NO</v>
      </c>
      <c r="L156" s="332" t="str">
        <f t="shared" si="15"/>
        <v/>
      </c>
      <c r="M156" s="332">
        <f>VLOOKUP(B156,'Base de Datos'!$E$7:$Z$303,21,0)</f>
        <v>1</v>
      </c>
      <c r="N156" s="394" t="str">
        <f t="shared" ca="1" si="19"/>
        <v/>
      </c>
      <c r="O156" s="332">
        <f ca="1">VLOOKUP(B156,'Base de Datos'!$E$7:$Z$303,22,0)</f>
        <v>1</v>
      </c>
      <c r="P156" s="393">
        <f t="shared" ca="1" si="16"/>
        <v>1460</v>
      </c>
      <c r="Q156" s="406">
        <f t="shared" ca="1" si="20"/>
        <v>12.166666666666666</v>
      </c>
      <c r="R156" s="328" t="str">
        <f ca="1">VLOOKUP(B156,'Base de Datos'!E156:AR467,33,0)</f>
        <v>TERMINO</v>
      </c>
      <c r="S156" s="331" t="str">
        <f t="shared" ca="1" si="17"/>
        <v>NO</v>
      </c>
      <c r="T156" s="328" t="str">
        <f t="shared" ca="1" si="18"/>
        <v>Liquidar</v>
      </c>
      <c r="U156" s="328">
        <f>VLOOKUP(B156,'Base de Datos'!$E$7:$AR$401,38,0)</f>
        <v>42011</v>
      </c>
    </row>
    <row r="157" spans="1:21" ht="23.25" customHeight="1" thickTop="1" thickBot="1" x14ac:dyDescent="0.3">
      <c r="A157" s="108">
        <v>151</v>
      </c>
      <c r="B157" s="328" t="str">
        <f>+'Base de Datos'!E157</f>
        <v>130349-0-2013</v>
      </c>
      <c r="C157" s="328" t="str">
        <f>+'Base de Datos'!F157</f>
        <v>PUBBLICA S.A.S.</v>
      </c>
      <c r="D157" s="329">
        <f>+'Base de Datos'!I157</f>
        <v>452974000</v>
      </c>
      <c r="E157" s="330">
        <f>+'Base de Datos'!M157</f>
        <v>41621</v>
      </c>
      <c r="F157" s="330">
        <f>+'Base de Datos'!N157</f>
        <v>41985</v>
      </c>
      <c r="G157" s="330">
        <f>+'Base de Datos'!T157</f>
        <v>41985</v>
      </c>
      <c r="H157" s="329">
        <f>+'Base de Datos'!U157</f>
        <v>452974000</v>
      </c>
      <c r="I157" s="331" t="str">
        <f>IF(VLOOKUP(B157,'Base de Datos'!$E$7:$S$303,11,0),"SI","NO")</f>
        <v>NO</v>
      </c>
      <c r="J157" s="332" t="str">
        <f t="shared" si="14"/>
        <v/>
      </c>
      <c r="K157" s="331" t="str">
        <f>IF(VLOOKUP(B157,'Base de Datos'!$E$7:$S$303,11,0),"SI","NO")</f>
        <v>NO</v>
      </c>
      <c r="L157" s="332" t="str">
        <f t="shared" si="15"/>
        <v/>
      </c>
      <c r="M157" s="332">
        <f>VLOOKUP(B157,'Base de Datos'!$E$7:$Z$303,21,0)</f>
        <v>0.7838475431260955</v>
      </c>
      <c r="N157" s="394" t="str">
        <f t="shared" ca="1" si="19"/>
        <v/>
      </c>
      <c r="O157" s="332">
        <f ca="1">VLOOKUP(B157,'Base de Datos'!$E$7:$Z$303,22,0)</f>
        <v>1</v>
      </c>
      <c r="P157" s="393">
        <f t="shared" ca="1" si="16"/>
        <v>1133</v>
      </c>
      <c r="Q157" s="406">
        <f t="shared" ca="1" si="20"/>
        <v>9.4416666666666664</v>
      </c>
      <c r="R157" s="328" t="str">
        <f ca="1">VLOOKUP(B157,'Base de Datos'!E157:AR468,33,0)</f>
        <v>TERMINO</v>
      </c>
      <c r="S157" s="331" t="str">
        <f t="shared" ca="1" si="17"/>
        <v>NO</v>
      </c>
      <c r="T157" s="328" t="str">
        <f t="shared" ca="1" si="18"/>
        <v>Liquidar</v>
      </c>
      <c r="U157" s="328">
        <f>VLOOKUP(B157,'Base de Datos'!$E$7:$AR$401,38,0)</f>
        <v>42256</v>
      </c>
    </row>
    <row r="158" spans="1:21" ht="23.25" customHeight="1" thickTop="1" thickBot="1" x14ac:dyDescent="0.3">
      <c r="A158" s="108">
        <v>152</v>
      </c>
      <c r="B158" s="328" t="str">
        <f>+'Base de Datos'!E158</f>
        <v>130352-0-2013</v>
      </c>
      <c r="C158" s="328" t="str">
        <f>+'Base de Datos'!F158</f>
        <v>INSTITUCIONAL STAR SERVICES LTDA</v>
      </c>
      <c r="D158" s="329">
        <f>+'Base de Datos'!I158</f>
        <v>95000000</v>
      </c>
      <c r="E158" s="330">
        <f>+'Base de Datos'!M158</f>
        <v>41647</v>
      </c>
      <c r="F158" s="330">
        <f>+'Base de Datos'!N158</f>
        <v>41889</v>
      </c>
      <c r="G158" s="330">
        <f>+'Base de Datos'!T158</f>
        <v>41980</v>
      </c>
      <c r="H158" s="329">
        <f>+'Base de Datos'!U158</f>
        <v>95000000</v>
      </c>
      <c r="I158" s="331" t="str">
        <f>IF(VLOOKUP(B158,'Base de Datos'!$E$7:$S$303,11,0),"SI","NO")</f>
        <v>NO</v>
      </c>
      <c r="J158" s="332" t="str">
        <f t="shared" si="14"/>
        <v/>
      </c>
      <c r="K158" s="331" t="str">
        <f>IF(VLOOKUP(B158,'Base de Datos'!$E$7:$S$303,11,0),"SI","NO")</f>
        <v>NO</v>
      </c>
      <c r="L158" s="332" t="str">
        <f t="shared" si="15"/>
        <v/>
      </c>
      <c r="M158" s="332">
        <f>VLOOKUP(B158,'Base de Datos'!$E$7:$Z$303,21,0)</f>
        <v>0.936670452631579</v>
      </c>
      <c r="N158" s="394" t="str">
        <f t="shared" ca="1" si="19"/>
        <v/>
      </c>
      <c r="O158" s="332">
        <f ca="1">VLOOKUP(B158,'Base de Datos'!$E$7:$Z$303,22,0)</f>
        <v>1</v>
      </c>
      <c r="P158" s="393">
        <f t="shared" ca="1" si="16"/>
        <v>1138</v>
      </c>
      <c r="Q158" s="406">
        <f t="shared" ca="1" si="20"/>
        <v>9.4833333333333325</v>
      </c>
      <c r="R158" s="328" t="str">
        <f ca="1">VLOOKUP(B158,'Base de Datos'!E158:AR469,33,0)</f>
        <v>TERMINO</v>
      </c>
      <c r="S158" s="331" t="str">
        <f t="shared" ca="1" si="17"/>
        <v>NO</v>
      </c>
      <c r="T158" s="328" t="str">
        <f t="shared" ca="1" si="18"/>
        <v>Liquidar</v>
      </c>
      <c r="U158" s="328">
        <f>VLOOKUP(B158,'Base de Datos'!$E$7:$AR$401,38,0)</f>
        <v>0</v>
      </c>
    </row>
    <row r="159" spans="1:21" ht="23.25" customHeight="1" thickTop="1" thickBot="1" x14ac:dyDescent="0.3">
      <c r="A159" s="108">
        <v>153</v>
      </c>
      <c r="B159" s="328" t="str">
        <f>+'Base de Datos'!E159</f>
        <v>130355-0-2013</v>
      </c>
      <c r="C159" s="328" t="str">
        <f>+'Base de Datos'!F159</f>
        <v>CAJA COLOMBIANA SUBSIDIO FAMILIAR - COLSUBSIDIO</v>
      </c>
      <c r="D159" s="329">
        <f>+'Base de Datos'!I159</f>
        <v>63128000</v>
      </c>
      <c r="E159" s="330">
        <f>+'Base de Datos'!M159</f>
        <v>41626</v>
      </c>
      <c r="F159" s="330">
        <f>+'Base de Datos'!N159</f>
        <v>41641</v>
      </c>
      <c r="G159" s="330">
        <f>+'Base de Datos'!T159</f>
        <v>41641</v>
      </c>
      <c r="H159" s="329">
        <f>+'Base de Datos'!U159</f>
        <v>63128000</v>
      </c>
      <c r="I159" s="331" t="str">
        <f>IF(VLOOKUP(B159,'Base de Datos'!$E$7:$S$303,11,0),"SI","NO")</f>
        <v>NO</v>
      </c>
      <c r="J159" s="332" t="str">
        <f t="shared" si="14"/>
        <v/>
      </c>
      <c r="K159" s="331" t="str">
        <f>IF(VLOOKUP(B159,'Base de Datos'!$E$7:$S$303,11,0),"SI","NO")</f>
        <v>NO</v>
      </c>
      <c r="L159" s="332" t="str">
        <f t="shared" si="15"/>
        <v/>
      </c>
      <c r="M159" s="332">
        <f>VLOOKUP(B159,'Base de Datos'!$E$7:$Z$303,21,0)</f>
        <v>1</v>
      </c>
      <c r="N159" s="394" t="str">
        <f t="shared" ca="1" si="19"/>
        <v/>
      </c>
      <c r="O159" s="332">
        <f ca="1">VLOOKUP(B159,'Base de Datos'!$E$7:$Z$303,22,0)</f>
        <v>1</v>
      </c>
      <c r="P159" s="393">
        <f t="shared" ca="1" si="16"/>
        <v>1477</v>
      </c>
      <c r="Q159" s="406">
        <f t="shared" ca="1" si="20"/>
        <v>12.308333333333334</v>
      </c>
      <c r="R159" s="328" t="str">
        <f ca="1">VLOOKUP(B159,'Base de Datos'!E159:AR470,33,0)</f>
        <v>TERMINO</v>
      </c>
      <c r="S159" s="331" t="str">
        <f t="shared" ca="1" si="17"/>
        <v>NO</v>
      </c>
      <c r="T159" s="328" t="str">
        <f t="shared" ca="1" si="18"/>
        <v>Liquidar</v>
      </c>
      <c r="U159" s="328">
        <f>VLOOKUP(B159,'Base de Datos'!$E$7:$AR$401,38,0)</f>
        <v>41872</v>
      </c>
    </row>
    <row r="160" spans="1:21" ht="23.25" customHeight="1" thickTop="1" thickBot="1" x14ac:dyDescent="0.3">
      <c r="A160" s="108">
        <v>154</v>
      </c>
      <c r="B160" s="328" t="str">
        <f>+'Base de Datos'!E160</f>
        <v>130361-0-2013</v>
      </c>
      <c r="C160" s="328" t="str">
        <f>+'Base de Datos'!F160</f>
        <v>ANDREA SUSANA BELLO CANTOR</v>
      </c>
      <c r="D160" s="329">
        <f>+'Base de Datos'!I160</f>
        <v>5000000</v>
      </c>
      <c r="E160" s="330">
        <f>+'Base de Datos'!M160</f>
        <v>41628</v>
      </c>
      <c r="F160" s="330">
        <f>+'Base de Datos'!N160</f>
        <v>41658</v>
      </c>
      <c r="G160" s="330">
        <f>+'Base de Datos'!T160</f>
        <v>41658</v>
      </c>
      <c r="H160" s="329">
        <f>+'Base de Datos'!U160</f>
        <v>5000000</v>
      </c>
      <c r="I160" s="331" t="str">
        <f>IF(VLOOKUP(B160,'Base de Datos'!$E$7:$S$303,11,0),"SI","NO")</f>
        <v>NO</v>
      </c>
      <c r="J160" s="332" t="str">
        <f t="shared" si="14"/>
        <v/>
      </c>
      <c r="K160" s="331" t="str">
        <f>IF(VLOOKUP(B160,'Base de Datos'!$E$7:$S$303,11,0),"SI","NO")</f>
        <v>NO</v>
      </c>
      <c r="L160" s="332" t="str">
        <f t="shared" si="15"/>
        <v/>
      </c>
      <c r="M160" s="332">
        <f>VLOOKUP(B160,'Base de Datos'!$E$7:$Z$303,21,0)</f>
        <v>1</v>
      </c>
      <c r="N160" s="394" t="str">
        <f t="shared" ca="1" si="19"/>
        <v/>
      </c>
      <c r="O160" s="332">
        <f ca="1">VLOOKUP(B160,'Base de Datos'!$E$7:$Z$303,22,0)</f>
        <v>1</v>
      </c>
      <c r="P160" s="393">
        <f t="shared" ca="1" si="16"/>
        <v>1460</v>
      </c>
      <c r="Q160" s="406">
        <f t="shared" ca="1" si="20"/>
        <v>12.166666666666666</v>
      </c>
      <c r="R160" s="328" t="str">
        <f ca="1">VLOOKUP(B160,'Base de Datos'!E160:AR471,33,0)</f>
        <v>TERMINO</v>
      </c>
      <c r="S160" s="331" t="str">
        <f t="shared" ca="1" si="17"/>
        <v>NO</v>
      </c>
      <c r="T160" s="328" t="str">
        <f t="shared" ca="1" si="18"/>
        <v>Liquidar</v>
      </c>
      <c r="U160" s="328">
        <f>VLOOKUP(B160,'Base de Datos'!$E$7:$AR$401,38,0)</f>
        <v>0</v>
      </c>
    </row>
    <row r="161" spans="1:21" ht="23.25" customHeight="1" thickTop="1" thickBot="1" x14ac:dyDescent="0.3">
      <c r="A161" s="108">
        <v>155</v>
      </c>
      <c r="B161" s="328" t="str">
        <f>+'Base de Datos'!E161</f>
        <v>130362-0-2013</v>
      </c>
      <c r="C161" s="328" t="str">
        <f>+'Base de Datos'!F161</f>
        <v>JORGE ORLANDO RUBIANO CARRANZA</v>
      </c>
      <c r="D161" s="329">
        <f>+'Base de Datos'!I161</f>
        <v>5000000</v>
      </c>
      <c r="E161" s="330">
        <f>+'Base de Datos'!M161</f>
        <v>41628</v>
      </c>
      <c r="F161" s="330">
        <f>+'Base de Datos'!N161</f>
        <v>41658</v>
      </c>
      <c r="G161" s="330">
        <f>+'Base de Datos'!T161</f>
        <v>41658</v>
      </c>
      <c r="H161" s="329">
        <f>+'Base de Datos'!U161</f>
        <v>5000000</v>
      </c>
      <c r="I161" s="331" t="str">
        <f>IF(VLOOKUP(B161,'Base de Datos'!$E$7:$S$303,11,0),"SI","NO")</f>
        <v>NO</v>
      </c>
      <c r="J161" s="332" t="str">
        <f t="shared" si="14"/>
        <v/>
      </c>
      <c r="K161" s="331" t="str">
        <f>IF(VLOOKUP(B161,'Base de Datos'!$E$7:$S$303,11,0),"SI","NO")</f>
        <v>NO</v>
      </c>
      <c r="L161" s="332" t="str">
        <f t="shared" si="15"/>
        <v/>
      </c>
      <c r="M161" s="332">
        <f>VLOOKUP(B161,'Base de Datos'!$E$7:$Z$303,21,0)</f>
        <v>1</v>
      </c>
      <c r="N161" s="394" t="str">
        <f t="shared" ca="1" si="19"/>
        <v/>
      </c>
      <c r="O161" s="332">
        <f ca="1">VLOOKUP(B161,'Base de Datos'!$E$7:$Z$303,22,0)</f>
        <v>1</v>
      </c>
      <c r="P161" s="393">
        <f t="shared" ca="1" si="16"/>
        <v>1460</v>
      </c>
      <c r="Q161" s="406">
        <f t="shared" ca="1" si="20"/>
        <v>12.166666666666666</v>
      </c>
      <c r="R161" s="328" t="str">
        <f ca="1">VLOOKUP(B161,'Base de Datos'!E161:AR472,33,0)</f>
        <v>TERMINO</v>
      </c>
      <c r="S161" s="331" t="str">
        <f t="shared" ca="1" si="17"/>
        <v>NO</v>
      </c>
      <c r="T161" s="328" t="str">
        <f t="shared" ca="1" si="18"/>
        <v>Liquidar</v>
      </c>
      <c r="U161" s="328">
        <f>VLOOKUP(B161,'Base de Datos'!$E$7:$AR$401,38,0)</f>
        <v>42193</v>
      </c>
    </row>
    <row r="162" spans="1:21" ht="23.25" customHeight="1" thickTop="1" thickBot="1" x14ac:dyDescent="0.3">
      <c r="A162" s="108">
        <v>156</v>
      </c>
      <c r="B162" s="328" t="str">
        <f>+'Base de Datos'!E162</f>
        <v>130363-0-2013</v>
      </c>
      <c r="C162" s="328" t="str">
        <f>+'Base de Datos'!F162</f>
        <v>UNIÓN TEMPORAL AVALÚOS PATRIMONIALES H-SD</v>
      </c>
      <c r="D162" s="329">
        <f>+'Base de Datos'!I162</f>
        <v>70000000</v>
      </c>
      <c r="E162" s="330">
        <f>+'Base de Datos'!M162</f>
        <v>41647</v>
      </c>
      <c r="F162" s="330">
        <f>+'Base de Datos'!N162</f>
        <v>41705</v>
      </c>
      <c r="G162" s="330">
        <f>+'Base de Datos'!T162</f>
        <v>41797</v>
      </c>
      <c r="H162" s="329">
        <f>+'Base de Datos'!U162</f>
        <v>70000000</v>
      </c>
      <c r="I162" s="331" t="str">
        <f>IF(VLOOKUP(B162,'Base de Datos'!$E$7:$S$303,11,0),"SI","NO")</f>
        <v>NO</v>
      </c>
      <c r="J162" s="332" t="str">
        <f t="shared" si="14"/>
        <v/>
      </c>
      <c r="K162" s="331" t="str">
        <f>IF(VLOOKUP(B162,'Base de Datos'!$E$7:$S$303,11,0),"SI","NO")</f>
        <v>NO</v>
      </c>
      <c r="L162" s="332" t="str">
        <f t="shared" si="15"/>
        <v/>
      </c>
      <c r="M162" s="332">
        <f>VLOOKUP(B162,'Base de Datos'!$E$7:$Z$303,21,0)</f>
        <v>0.99512444285714285</v>
      </c>
      <c r="N162" s="394" t="str">
        <f t="shared" ca="1" si="19"/>
        <v/>
      </c>
      <c r="O162" s="332">
        <f ca="1">VLOOKUP(B162,'Base de Datos'!$E$7:$Z$303,22,0)</f>
        <v>1</v>
      </c>
      <c r="P162" s="393">
        <f t="shared" ca="1" si="16"/>
        <v>1321</v>
      </c>
      <c r="Q162" s="406">
        <f t="shared" ca="1" si="20"/>
        <v>11.008333333333333</v>
      </c>
      <c r="R162" s="328" t="str">
        <f ca="1">VLOOKUP(B162,'Base de Datos'!E162:AR473,33,0)</f>
        <v>TERMINO</v>
      </c>
      <c r="S162" s="331" t="str">
        <f t="shared" ca="1" si="17"/>
        <v>NO</v>
      </c>
      <c r="T162" s="328" t="str">
        <f t="shared" ca="1" si="18"/>
        <v>Liquidar</v>
      </c>
      <c r="U162" s="328">
        <f>VLOOKUP(B162,'Base de Datos'!$E$7:$AR$401,38,0)</f>
        <v>42009</v>
      </c>
    </row>
    <row r="163" spans="1:21" ht="23.25" customHeight="1" thickTop="1" thickBot="1" x14ac:dyDescent="0.3">
      <c r="A163" s="108">
        <v>157</v>
      </c>
      <c r="B163" s="328" t="str">
        <f>+'Base de Datos'!E163</f>
        <v>130364-0-2013</v>
      </c>
      <c r="C163" s="328" t="str">
        <f>+'Base de Datos'!F163</f>
        <v>FERNANDO SOTOMONTE AMAYA</v>
      </c>
      <c r="D163" s="329">
        <f>+'Base de Datos'!I163</f>
        <v>5000000</v>
      </c>
      <c r="E163" s="330">
        <f>+'Base de Datos'!M163</f>
        <v>41628</v>
      </c>
      <c r="F163" s="330">
        <f>+'Base de Datos'!N163</f>
        <v>41658</v>
      </c>
      <c r="G163" s="330">
        <f>+'Base de Datos'!T163</f>
        <v>41658</v>
      </c>
      <c r="H163" s="329">
        <f>+'Base de Datos'!U163</f>
        <v>5000000</v>
      </c>
      <c r="I163" s="331" t="str">
        <f>IF(VLOOKUP(B163,'Base de Datos'!$E$7:$S$303,11,0),"SI","NO")</f>
        <v>NO</v>
      </c>
      <c r="J163" s="332" t="str">
        <f t="shared" si="14"/>
        <v/>
      </c>
      <c r="K163" s="331" t="str">
        <f>IF(VLOOKUP(B163,'Base de Datos'!$E$7:$S$303,11,0),"SI","NO")</f>
        <v>NO</v>
      </c>
      <c r="L163" s="332" t="str">
        <f t="shared" si="15"/>
        <v/>
      </c>
      <c r="M163" s="332">
        <f>VLOOKUP(B163,'Base de Datos'!$E$7:$Z$303,21,0)</f>
        <v>1</v>
      </c>
      <c r="N163" s="394" t="str">
        <f t="shared" ca="1" si="19"/>
        <v/>
      </c>
      <c r="O163" s="332">
        <f ca="1">VLOOKUP(B163,'Base de Datos'!$E$7:$Z$303,22,0)</f>
        <v>1</v>
      </c>
      <c r="P163" s="393">
        <f t="shared" ca="1" si="16"/>
        <v>1460</v>
      </c>
      <c r="Q163" s="406">
        <f t="shared" ca="1" si="20"/>
        <v>12.166666666666666</v>
      </c>
      <c r="R163" s="328" t="str">
        <f ca="1">VLOOKUP(B163,'Base de Datos'!E163:AR474,33,0)</f>
        <v>TERMINO</v>
      </c>
      <c r="S163" s="331" t="str">
        <f t="shared" ca="1" si="17"/>
        <v>NO</v>
      </c>
      <c r="T163" s="328" t="str">
        <f t="shared" ca="1" si="18"/>
        <v>Liquidar</v>
      </c>
      <c r="U163" s="328">
        <f>VLOOKUP(B163,'Base de Datos'!$E$7:$AR$401,38,0)</f>
        <v>41971</v>
      </c>
    </row>
    <row r="164" spans="1:21" ht="23.25" customHeight="1" thickTop="1" thickBot="1" x14ac:dyDescent="0.3">
      <c r="A164" s="108">
        <v>158</v>
      </c>
      <c r="B164" s="328" t="str">
        <f>+'Base de Datos'!E164</f>
        <v>130365-0-2013</v>
      </c>
      <c r="C164" s="328" t="str">
        <f>+'Base de Datos'!F164</f>
        <v>JORGE ALBERTO GALVIS  ESTUPIÑAN</v>
      </c>
      <c r="D164" s="329">
        <f>+'Base de Datos'!I164</f>
        <v>5000000</v>
      </c>
      <c r="E164" s="330">
        <f>+'Base de Datos'!M164</f>
        <v>41628</v>
      </c>
      <c r="F164" s="330">
        <f>+'Base de Datos'!N164</f>
        <v>41658</v>
      </c>
      <c r="G164" s="330">
        <f>+'Base de Datos'!T164</f>
        <v>41658</v>
      </c>
      <c r="H164" s="329">
        <f>+'Base de Datos'!U164</f>
        <v>5000000</v>
      </c>
      <c r="I164" s="331" t="str">
        <f>IF(VLOOKUP(B164,'Base de Datos'!$E$7:$S$303,11,0),"SI","NO")</f>
        <v>NO</v>
      </c>
      <c r="J164" s="332" t="str">
        <f t="shared" si="14"/>
        <v/>
      </c>
      <c r="K164" s="331" t="str">
        <f>IF(VLOOKUP(B164,'Base de Datos'!$E$7:$S$303,11,0),"SI","NO")</f>
        <v>NO</v>
      </c>
      <c r="L164" s="332" t="str">
        <f t="shared" si="15"/>
        <v/>
      </c>
      <c r="M164" s="332">
        <f>VLOOKUP(B164,'Base de Datos'!$E$7:$Z$303,21,0)</f>
        <v>1</v>
      </c>
      <c r="N164" s="394" t="str">
        <f t="shared" ca="1" si="19"/>
        <v/>
      </c>
      <c r="O164" s="332">
        <f ca="1">VLOOKUP(B164,'Base de Datos'!$E$7:$Z$303,22,0)</f>
        <v>1</v>
      </c>
      <c r="P164" s="393">
        <f t="shared" ca="1" si="16"/>
        <v>1460</v>
      </c>
      <c r="Q164" s="406">
        <f t="shared" ca="1" si="20"/>
        <v>12.166666666666666</v>
      </c>
      <c r="R164" s="328" t="str">
        <f ca="1">VLOOKUP(B164,'Base de Datos'!E164:AR475,33,0)</f>
        <v>TERMINO</v>
      </c>
      <c r="S164" s="331" t="str">
        <f t="shared" ca="1" si="17"/>
        <v>NO</v>
      </c>
      <c r="T164" s="328" t="str">
        <f t="shared" ca="1" si="18"/>
        <v>Liquidar</v>
      </c>
      <c r="U164" s="328">
        <f>VLOOKUP(B164,'Base de Datos'!$E$7:$AR$401,38,0)</f>
        <v>41919</v>
      </c>
    </row>
    <row r="165" spans="1:21" ht="23.25" customHeight="1" thickTop="1" thickBot="1" x14ac:dyDescent="0.3">
      <c r="A165" s="108">
        <v>159</v>
      </c>
      <c r="B165" s="328" t="str">
        <f>+'Base de Datos'!E165</f>
        <v>130368-0-2013</v>
      </c>
      <c r="C165" s="328" t="str">
        <f>+'Base de Datos'!F165</f>
        <v>NEX COMPUTER S.A.  - NEXCOM</v>
      </c>
      <c r="D165" s="329">
        <f>+'Base de Datos'!I165</f>
        <v>3017160</v>
      </c>
      <c r="E165" s="330">
        <f>+'Base de Datos'!M165</f>
        <v>41662</v>
      </c>
      <c r="F165" s="330">
        <f>+'Base de Datos'!N165</f>
        <v>41751</v>
      </c>
      <c r="G165" s="330">
        <f>+'Base de Datos'!T165</f>
        <v>41751</v>
      </c>
      <c r="H165" s="329">
        <f>+'Base de Datos'!U165</f>
        <v>3017160</v>
      </c>
      <c r="I165" s="331" t="str">
        <f>IF(VLOOKUP(B165,'Base de Datos'!$E$7:$S$303,11,0),"SI","NO")</f>
        <v>NO</v>
      </c>
      <c r="J165" s="332" t="str">
        <f t="shared" si="14"/>
        <v/>
      </c>
      <c r="K165" s="331" t="str">
        <f>IF(VLOOKUP(B165,'Base de Datos'!$E$7:$S$303,11,0),"SI","NO")</f>
        <v>NO</v>
      </c>
      <c r="L165" s="332" t="str">
        <f t="shared" si="15"/>
        <v/>
      </c>
      <c r="M165" s="332">
        <f>VLOOKUP(B165,'Base de Datos'!$E$7:$Z$303,21,0)</f>
        <v>1</v>
      </c>
      <c r="N165" s="394" t="str">
        <f t="shared" ca="1" si="19"/>
        <v/>
      </c>
      <c r="O165" s="332">
        <f ca="1">VLOOKUP(B165,'Base de Datos'!$E$7:$Z$303,22,0)</f>
        <v>1</v>
      </c>
      <c r="P165" s="393">
        <f t="shared" ca="1" si="16"/>
        <v>1367</v>
      </c>
      <c r="Q165" s="406">
        <f t="shared" ca="1" si="20"/>
        <v>11.391666666666667</v>
      </c>
      <c r="R165" s="328" t="str">
        <f ca="1">VLOOKUP(B165,'Base de Datos'!E165:AR476,33,0)</f>
        <v>TERMINO</v>
      </c>
      <c r="S165" s="331" t="str">
        <f t="shared" ca="1" si="17"/>
        <v>NO</v>
      </c>
      <c r="T165" s="328" t="str">
        <f t="shared" ca="1" si="18"/>
        <v>Liquidar</v>
      </c>
      <c r="U165" s="328">
        <f>VLOOKUP(B165,'Base de Datos'!$E$7:$AR$401,38,0)</f>
        <v>41760</v>
      </c>
    </row>
    <row r="166" spans="1:21" ht="23.25" customHeight="1" thickTop="1" thickBot="1" x14ac:dyDescent="0.3">
      <c r="A166" s="108">
        <v>160</v>
      </c>
      <c r="B166" s="328" t="str">
        <f>+'Base de Datos'!E166</f>
        <v>130370-0-2013</v>
      </c>
      <c r="C166" s="328" t="str">
        <f>+'Base de Datos'!F166</f>
        <v>UNIPLES S.A.</v>
      </c>
      <c r="D166" s="329">
        <f>+'Base de Datos'!I166</f>
        <v>60000000</v>
      </c>
      <c r="E166" s="330">
        <f>+'Base de Datos'!M166</f>
        <v>41655</v>
      </c>
      <c r="F166" s="330">
        <f>+'Base de Datos'!N166</f>
        <v>42019</v>
      </c>
      <c r="G166" s="330">
        <f>+'Base de Datos'!T166</f>
        <v>42019</v>
      </c>
      <c r="H166" s="329">
        <f>+'Base de Datos'!U166</f>
        <v>90000000</v>
      </c>
      <c r="I166" s="331" t="str">
        <f>IF(VLOOKUP(B166,'Base de Datos'!$E$7:$S$303,11,0),"SI","NO")</f>
        <v>SI</v>
      </c>
      <c r="J166" s="332">
        <f t="shared" si="14"/>
        <v>0</v>
      </c>
      <c r="K166" s="331" t="str">
        <f>IF(VLOOKUP(B166,'Base de Datos'!$E$7:$S$303,11,0),"SI","NO")</f>
        <v>SI</v>
      </c>
      <c r="L166" s="332">
        <f t="shared" si="15"/>
        <v>0.5</v>
      </c>
      <c r="M166" s="332">
        <f>VLOOKUP(B166,'Base de Datos'!$E$7:$Z$303,21,0)</f>
        <v>0.47305419111111113</v>
      </c>
      <c r="N166" s="394" t="str">
        <f t="shared" ca="1" si="19"/>
        <v/>
      </c>
      <c r="O166" s="332">
        <f ca="1">VLOOKUP(B166,'Base de Datos'!$E$7:$Z$303,22,0)</f>
        <v>1</v>
      </c>
      <c r="P166" s="393">
        <f t="shared" ca="1" si="16"/>
        <v>1099</v>
      </c>
      <c r="Q166" s="406">
        <f t="shared" ca="1" si="20"/>
        <v>9.1583333333333332</v>
      </c>
      <c r="R166" s="328" t="str">
        <f ca="1">VLOOKUP(B166,'Base de Datos'!E166:AR477,33,0)</f>
        <v>TERMINO</v>
      </c>
      <c r="S166" s="331" t="str">
        <f t="shared" ca="1" si="17"/>
        <v>NO</v>
      </c>
      <c r="T166" s="328" t="str">
        <f t="shared" ca="1" si="18"/>
        <v>Liquidar</v>
      </c>
      <c r="U166" s="328">
        <f>VLOOKUP(B166,'Base de Datos'!$E$7:$AR$401,38,0)</f>
        <v>0</v>
      </c>
    </row>
    <row r="167" spans="1:21" ht="23.25" customHeight="1" thickTop="1" thickBot="1" x14ac:dyDescent="0.3">
      <c r="A167" s="108">
        <v>161</v>
      </c>
      <c r="B167" s="328" t="str">
        <f>+'Base de Datos'!E167</f>
        <v>130372-0-2013</v>
      </c>
      <c r="C167" s="328" t="str">
        <f>+'Base de Datos'!F167</f>
        <v>VICTOR MANUEL ARMELLA VELÁSQUEZ</v>
      </c>
      <c r="D167" s="329">
        <f>+'Base de Datos'!I167</f>
        <v>5000000</v>
      </c>
      <c r="E167" s="330">
        <f>+'Base de Datos'!M167</f>
        <v>41634</v>
      </c>
      <c r="F167" s="330">
        <f>+'Base de Datos'!N167</f>
        <v>41664</v>
      </c>
      <c r="G167" s="330">
        <f>+'Base de Datos'!T167</f>
        <v>41664</v>
      </c>
      <c r="H167" s="329">
        <f>+'Base de Datos'!U167</f>
        <v>5000000</v>
      </c>
      <c r="I167" s="331" t="str">
        <f>IF(VLOOKUP(B167,'Base de Datos'!$E$7:$S$303,11,0),"SI","NO")</f>
        <v>NO</v>
      </c>
      <c r="J167" s="332" t="str">
        <f t="shared" si="14"/>
        <v/>
      </c>
      <c r="K167" s="331" t="str">
        <f>IF(VLOOKUP(B167,'Base de Datos'!$E$7:$S$303,11,0),"SI","NO")</f>
        <v>NO</v>
      </c>
      <c r="L167" s="332" t="str">
        <f t="shared" si="15"/>
        <v/>
      </c>
      <c r="M167" s="332">
        <f>VLOOKUP(B167,'Base de Datos'!$E$7:$Z$303,21,0)</f>
        <v>1</v>
      </c>
      <c r="N167" s="394" t="str">
        <f t="shared" ca="1" si="19"/>
        <v/>
      </c>
      <c r="O167" s="332">
        <f ca="1">VLOOKUP(B167,'Base de Datos'!$E$7:$Z$303,22,0)</f>
        <v>1</v>
      </c>
      <c r="P167" s="393">
        <f t="shared" ca="1" si="16"/>
        <v>1454</v>
      </c>
      <c r="Q167" s="406">
        <f t="shared" ca="1" si="20"/>
        <v>12.116666666666667</v>
      </c>
      <c r="R167" s="328" t="str">
        <f ca="1">VLOOKUP(B167,'Base de Datos'!E167:AR478,33,0)</f>
        <v>TERMINO</v>
      </c>
      <c r="S167" s="331" t="str">
        <f t="shared" ca="1" si="17"/>
        <v>NO</v>
      </c>
      <c r="T167" s="328" t="str">
        <f t="shared" ca="1" si="18"/>
        <v>Liquidar</v>
      </c>
      <c r="U167" s="328">
        <f>VLOOKUP(B167,'Base de Datos'!$E$7:$AR$401,38,0)</f>
        <v>41919</v>
      </c>
    </row>
    <row r="168" spans="1:21" ht="23.25" customHeight="1" thickTop="1" thickBot="1" x14ac:dyDescent="0.3">
      <c r="A168" s="108">
        <v>162</v>
      </c>
      <c r="B168" s="328" t="str">
        <f>+'Base de Datos'!E168</f>
        <v>130373-0-2013</v>
      </c>
      <c r="C168" s="328" t="str">
        <f>+'Base de Datos'!F168</f>
        <v>COLOMBIANA DE SOFTWARE Y HARDWARE COLSOF S.A.</v>
      </c>
      <c r="D168" s="329">
        <f>+'Base de Datos'!I168</f>
        <v>3743343</v>
      </c>
      <c r="E168" s="330">
        <f>+'Base de Datos'!M168</f>
        <v>41662</v>
      </c>
      <c r="F168" s="330">
        <f>+'Base de Datos'!N168</f>
        <v>41754</v>
      </c>
      <c r="G168" s="330">
        <f>+'Base de Datos'!T168</f>
        <v>41754</v>
      </c>
      <c r="H168" s="329">
        <f>+'Base de Datos'!U168</f>
        <v>3743343</v>
      </c>
      <c r="I168" s="331" t="str">
        <f>IF(VLOOKUP(B168,'Base de Datos'!$E$7:$S$303,11,0),"SI","NO")</f>
        <v>NO</v>
      </c>
      <c r="J168" s="332" t="str">
        <f t="shared" si="14"/>
        <v/>
      </c>
      <c r="K168" s="331" t="str">
        <f>IF(VLOOKUP(B168,'Base de Datos'!$E$7:$S$303,11,0),"SI","NO")</f>
        <v>NO</v>
      </c>
      <c r="L168" s="332" t="str">
        <f t="shared" si="15"/>
        <v/>
      </c>
      <c r="M168" s="332">
        <f>VLOOKUP(B168,'Base de Datos'!$E$7:$Z$303,21,0)</f>
        <v>1</v>
      </c>
      <c r="N168" s="394" t="str">
        <f t="shared" ca="1" si="19"/>
        <v/>
      </c>
      <c r="O168" s="332">
        <f ca="1">VLOOKUP(B168,'Base de Datos'!$E$7:$Z$303,22,0)</f>
        <v>1</v>
      </c>
      <c r="P168" s="393">
        <f t="shared" ca="1" si="16"/>
        <v>1364</v>
      </c>
      <c r="Q168" s="406">
        <f t="shared" ca="1" si="20"/>
        <v>11.366666666666667</v>
      </c>
      <c r="R168" s="328" t="str">
        <f ca="1">VLOOKUP(B168,'Base de Datos'!E168:AR479,33,0)</f>
        <v>TERMINO</v>
      </c>
      <c r="S168" s="331" t="str">
        <f t="shared" ca="1" si="17"/>
        <v>NO</v>
      </c>
      <c r="T168" s="328" t="str">
        <f t="shared" ca="1" si="18"/>
        <v>Liquidar</v>
      </c>
      <c r="U168" s="328">
        <f>VLOOKUP(B168,'Base de Datos'!$E$7:$AR$401,38,0)</f>
        <v>0</v>
      </c>
    </row>
    <row r="169" spans="1:21" ht="23.25" customHeight="1" thickTop="1" thickBot="1" x14ac:dyDescent="0.3">
      <c r="A169" s="108">
        <v>163</v>
      </c>
      <c r="B169" s="328" t="str">
        <f>+'Base de Datos'!E169</f>
        <v>130375-0-2013</v>
      </c>
      <c r="C169" s="328" t="str">
        <f>+'Base de Datos'!F169</f>
        <v>DIANA PATRICIA JAIME - SERVIMATEC DNO</v>
      </c>
      <c r="D169" s="329">
        <f>+'Base de Datos'!I169</f>
        <v>1620000</v>
      </c>
      <c r="E169" s="330">
        <f>+'Base de Datos'!M169</f>
        <v>41662</v>
      </c>
      <c r="F169" s="330">
        <f>+'Base de Datos'!N169</f>
        <v>42026</v>
      </c>
      <c r="G169" s="330">
        <f>+'Base de Datos'!T169</f>
        <v>42026</v>
      </c>
      <c r="H169" s="329">
        <f>+'Base de Datos'!U169</f>
        <v>1620000</v>
      </c>
      <c r="I169" s="331" t="str">
        <f>IF(VLOOKUP(B169,'Base de Datos'!$E$7:$S$303,11,0),"SI","NO")</f>
        <v>NO</v>
      </c>
      <c r="J169" s="332" t="str">
        <f t="shared" si="14"/>
        <v/>
      </c>
      <c r="K169" s="331" t="str">
        <f>IF(VLOOKUP(B169,'Base de Datos'!$E$7:$S$303,11,0),"SI","NO")</f>
        <v>NO</v>
      </c>
      <c r="L169" s="332" t="str">
        <f t="shared" si="15"/>
        <v/>
      </c>
      <c r="M169" s="332">
        <f>VLOOKUP(B169,'Base de Datos'!$E$7:$Z$303,21,0)</f>
        <v>0.21851851851851853</v>
      </c>
      <c r="N169" s="394" t="str">
        <f t="shared" ca="1" si="19"/>
        <v/>
      </c>
      <c r="O169" s="332">
        <f ca="1">VLOOKUP(B169,'Base de Datos'!$E$7:$Z$303,22,0)</f>
        <v>1</v>
      </c>
      <c r="P169" s="393">
        <f t="shared" ca="1" si="16"/>
        <v>1092</v>
      </c>
      <c r="Q169" s="406">
        <f t="shared" ca="1" si="20"/>
        <v>9.1</v>
      </c>
      <c r="R169" s="328" t="str">
        <f ca="1">VLOOKUP(B169,'Base de Datos'!E169:AR480,33,0)</f>
        <v>TERMINO</v>
      </c>
      <c r="S169" s="331" t="str">
        <f t="shared" ca="1" si="17"/>
        <v>NO</v>
      </c>
      <c r="T169" s="328" t="str">
        <f t="shared" ca="1" si="18"/>
        <v>Liquidar</v>
      </c>
      <c r="U169" s="328">
        <f>VLOOKUP(B169,'Base de Datos'!$E$7:$AR$401,38,0)</f>
        <v>41926</v>
      </c>
    </row>
    <row r="170" spans="1:21" ht="23.25" customHeight="1" thickTop="1" thickBot="1" x14ac:dyDescent="0.3">
      <c r="A170" s="108">
        <v>164</v>
      </c>
      <c r="B170" s="328" t="str">
        <f>+'Base de Datos'!E170</f>
        <v>130378-0-2013</v>
      </c>
      <c r="C170" s="328" t="str">
        <f>+'Base de Datos'!F170</f>
        <v>INGEAL S.A.</v>
      </c>
      <c r="D170" s="329">
        <f>+'Base de Datos'!I170</f>
        <v>32048480</v>
      </c>
      <c r="E170" s="330">
        <f>+'Base de Datos'!M170</f>
        <v>41655</v>
      </c>
      <c r="F170" s="330">
        <f>+'Base de Datos'!N170</f>
        <v>41713</v>
      </c>
      <c r="G170" s="330">
        <f>+'Base de Datos'!T170</f>
        <v>41713</v>
      </c>
      <c r="H170" s="329">
        <f>+'Base de Datos'!U170</f>
        <v>32048480</v>
      </c>
      <c r="I170" s="331" t="str">
        <f>IF(VLOOKUP(B170,'Base de Datos'!$E$7:$S$303,11,0),"SI","NO")</f>
        <v>NO</v>
      </c>
      <c r="J170" s="332" t="str">
        <f t="shared" si="14"/>
        <v/>
      </c>
      <c r="K170" s="331" t="str">
        <f>IF(VLOOKUP(B170,'Base de Datos'!$E$7:$S$303,11,0),"SI","NO")</f>
        <v>NO</v>
      </c>
      <c r="L170" s="332" t="str">
        <f t="shared" si="15"/>
        <v/>
      </c>
      <c r="M170" s="332">
        <f>VLOOKUP(B170,'Base de Datos'!$E$7:$Z$303,21,0)</f>
        <v>1</v>
      </c>
      <c r="N170" s="394" t="str">
        <f t="shared" ca="1" si="19"/>
        <v/>
      </c>
      <c r="O170" s="332">
        <f ca="1">VLOOKUP(B170,'Base de Datos'!$E$7:$Z$303,22,0)</f>
        <v>1</v>
      </c>
      <c r="P170" s="393">
        <f t="shared" ca="1" si="16"/>
        <v>1405</v>
      </c>
      <c r="Q170" s="406">
        <f t="shared" ca="1" si="20"/>
        <v>11.708333333333334</v>
      </c>
      <c r="R170" s="328" t="str">
        <f ca="1">VLOOKUP(B170,'Base de Datos'!E170:AR481,33,0)</f>
        <v>TERMINO</v>
      </c>
      <c r="S170" s="331" t="str">
        <f t="shared" ca="1" si="17"/>
        <v>NO</v>
      </c>
      <c r="T170" s="328" t="str">
        <f t="shared" ca="1" si="18"/>
        <v>Liquidar</v>
      </c>
      <c r="U170" s="328">
        <f>VLOOKUP(B170,'Base de Datos'!$E$7:$AR$401,38,0)</f>
        <v>0</v>
      </c>
    </row>
    <row r="171" spans="1:21" ht="23.25" customHeight="1" thickTop="1" thickBot="1" x14ac:dyDescent="0.3">
      <c r="A171" s="108">
        <v>165</v>
      </c>
      <c r="B171" s="328" t="str">
        <f>+'Base de Datos'!E171</f>
        <v>130380-0-2013</v>
      </c>
      <c r="C171" s="328" t="str">
        <f>+'Base de Datos'!F171</f>
        <v>COMUNICACIONES E INFORMÁTICA  S.A..S</v>
      </c>
      <c r="D171" s="329">
        <f>+'Base de Datos'!I171</f>
        <v>3480000</v>
      </c>
      <c r="E171" s="330">
        <f>+'Base de Datos'!M171</f>
        <v>41662</v>
      </c>
      <c r="F171" s="330">
        <f>+'Base de Datos'!N171</f>
        <v>41720</v>
      </c>
      <c r="G171" s="330">
        <f>+'Base de Datos'!T171</f>
        <v>41720</v>
      </c>
      <c r="H171" s="329">
        <f>+'Base de Datos'!U171</f>
        <v>3480000</v>
      </c>
      <c r="I171" s="331" t="str">
        <f>IF(VLOOKUP(B171,'Base de Datos'!$E$7:$S$303,11,0),"SI","NO")</f>
        <v>NO</v>
      </c>
      <c r="J171" s="332" t="str">
        <f t="shared" si="14"/>
        <v/>
      </c>
      <c r="K171" s="331" t="str">
        <f>IF(VLOOKUP(B171,'Base de Datos'!$E$7:$S$303,11,0),"SI","NO")</f>
        <v>NO</v>
      </c>
      <c r="L171" s="332" t="str">
        <f t="shared" si="15"/>
        <v/>
      </c>
      <c r="M171" s="332">
        <f>VLOOKUP(B171,'Base de Datos'!$E$7:$Z$303,21,0)</f>
        <v>1</v>
      </c>
      <c r="N171" s="394" t="str">
        <f t="shared" ca="1" si="19"/>
        <v/>
      </c>
      <c r="O171" s="332">
        <f ca="1">VLOOKUP(B171,'Base de Datos'!$E$7:$Z$303,22,0)</f>
        <v>1</v>
      </c>
      <c r="P171" s="393">
        <f t="shared" ca="1" si="16"/>
        <v>1398</v>
      </c>
      <c r="Q171" s="406">
        <f t="shared" ca="1" si="20"/>
        <v>11.65</v>
      </c>
      <c r="R171" s="328" t="str">
        <f ca="1">VLOOKUP(B171,'Base de Datos'!E171:AR482,33,0)</f>
        <v>TERMINO</v>
      </c>
      <c r="S171" s="331" t="str">
        <f t="shared" ca="1" si="17"/>
        <v>NO</v>
      </c>
      <c r="T171" s="328" t="str">
        <f t="shared" ca="1" si="18"/>
        <v>Liquidar</v>
      </c>
      <c r="U171" s="328">
        <f>VLOOKUP(B171,'Base de Datos'!$E$7:$AR$401,38,0)</f>
        <v>0</v>
      </c>
    </row>
    <row r="172" spans="1:21" ht="23.25" customHeight="1" thickTop="1" thickBot="1" x14ac:dyDescent="0.3">
      <c r="A172" s="108">
        <v>166</v>
      </c>
      <c r="B172" s="328" t="str">
        <f>+'Base de Datos'!E172</f>
        <v>130384-0-2013</v>
      </c>
      <c r="C172" s="328" t="str">
        <f>+'Base de Datos'!F172</f>
        <v>INGEAL S.A.</v>
      </c>
      <c r="D172" s="329">
        <f>+'Base de Datos'!I172</f>
        <v>126308000</v>
      </c>
      <c r="E172" s="330">
        <f>+'Base de Datos'!M172</f>
        <v>41662</v>
      </c>
      <c r="F172" s="330">
        <f>+'Base de Datos'!N172</f>
        <v>41736</v>
      </c>
      <c r="G172" s="330">
        <f>+'Base de Datos'!T172</f>
        <v>41736</v>
      </c>
      <c r="H172" s="329">
        <f>+'Base de Datos'!U172</f>
        <v>126308000</v>
      </c>
      <c r="I172" s="331" t="str">
        <f>IF(VLOOKUP(B172,'Base de Datos'!$E$7:$S$303,11,0),"SI","NO")</f>
        <v>NO</v>
      </c>
      <c r="J172" s="332" t="str">
        <f t="shared" si="14"/>
        <v/>
      </c>
      <c r="K172" s="331" t="str">
        <f>IF(VLOOKUP(B172,'Base de Datos'!$E$7:$S$303,11,0),"SI","NO")</f>
        <v>NO</v>
      </c>
      <c r="L172" s="332" t="str">
        <f t="shared" si="15"/>
        <v/>
      </c>
      <c r="M172" s="332">
        <f>VLOOKUP(B172,'Base de Datos'!$E$7:$Z$303,21,0)</f>
        <v>1</v>
      </c>
      <c r="N172" s="394" t="str">
        <f t="shared" ca="1" si="19"/>
        <v/>
      </c>
      <c r="O172" s="332">
        <f ca="1">VLOOKUP(B172,'Base de Datos'!$E$7:$Z$303,22,0)</f>
        <v>1</v>
      </c>
      <c r="P172" s="393">
        <f t="shared" ca="1" si="16"/>
        <v>1382</v>
      </c>
      <c r="Q172" s="406">
        <f t="shared" ca="1" si="20"/>
        <v>11.516666666666667</v>
      </c>
      <c r="R172" s="328" t="str">
        <f ca="1">VLOOKUP(B172,'Base de Datos'!E172:AR483,33,0)</f>
        <v>TERMINO</v>
      </c>
      <c r="S172" s="331" t="str">
        <f t="shared" ca="1" si="17"/>
        <v>NO</v>
      </c>
      <c r="T172" s="328" t="str">
        <f t="shared" ca="1" si="18"/>
        <v>Liquidar</v>
      </c>
      <c r="U172" s="328">
        <f>VLOOKUP(B172,'Base de Datos'!$E$7:$AR$401,38,0)</f>
        <v>42009</v>
      </c>
    </row>
    <row r="173" spans="1:21" ht="23.25" customHeight="1" thickTop="1" thickBot="1" x14ac:dyDescent="0.3">
      <c r="A173" s="108">
        <v>167</v>
      </c>
      <c r="B173" s="328" t="str">
        <f>+'Base de Datos'!E173</f>
        <v>130385-0-2013</v>
      </c>
      <c r="C173" s="328" t="str">
        <f>+'Base de Datos'!F173</f>
        <v>NORMA CONSTANZA MEZA GÓMEZ</v>
      </c>
      <c r="D173" s="329">
        <f>+'Base de Datos'!I173</f>
        <v>3500000</v>
      </c>
      <c r="E173" s="330">
        <f>+'Base de Datos'!M173</f>
        <v>41638</v>
      </c>
      <c r="F173" s="330">
        <f>+'Base de Datos'!N173</f>
        <v>41668</v>
      </c>
      <c r="G173" s="330">
        <f>+'Base de Datos'!T173</f>
        <v>41668</v>
      </c>
      <c r="H173" s="329">
        <f>+'Base de Datos'!U173</f>
        <v>3500000</v>
      </c>
      <c r="I173" s="331" t="str">
        <f>IF(VLOOKUP(B173,'Base de Datos'!$E$7:$S$303,11,0),"SI","NO")</f>
        <v>NO</v>
      </c>
      <c r="J173" s="332" t="str">
        <f t="shared" si="14"/>
        <v/>
      </c>
      <c r="K173" s="331" t="str">
        <f>IF(VLOOKUP(B173,'Base de Datos'!$E$7:$S$303,11,0),"SI","NO")</f>
        <v>NO</v>
      </c>
      <c r="L173" s="332" t="str">
        <f t="shared" si="15"/>
        <v/>
      </c>
      <c r="M173" s="332">
        <f>VLOOKUP(B173,'Base de Datos'!$E$7:$Z$303,21,0)</f>
        <v>1</v>
      </c>
      <c r="N173" s="394" t="str">
        <f t="shared" ca="1" si="19"/>
        <v/>
      </c>
      <c r="O173" s="332">
        <f ca="1">VLOOKUP(B173,'Base de Datos'!$E$7:$Z$303,22,0)</f>
        <v>1</v>
      </c>
      <c r="P173" s="393">
        <f t="shared" ca="1" si="16"/>
        <v>1450</v>
      </c>
      <c r="Q173" s="406">
        <f t="shared" ca="1" si="20"/>
        <v>12.083333333333334</v>
      </c>
      <c r="R173" s="328" t="str">
        <f ca="1">VLOOKUP(B173,'Base de Datos'!E173:AR484,33,0)</f>
        <v>TERMINO</v>
      </c>
      <c r="S173" s="331" t="str">
        <f t="shared" ca="1" si="17"/>
        <v>NO</v>
      </c>
      <c r="T173" s="328" t="str">
        <f t="shared" ca="1" si="18"/>
        <v>Liquidar</v>
      </c>
      <c r="U173" s="328">
        <f>VLOOKUP(B173,'Base de Datos'!$E$7:$AR$401,38,0)</f>
        <v>41919</v>
      </c>
    </row>
    <row r="174" spans="1:21" ht="23.25" customHeight="1" thickTop="1" thickBot="1" x14ac:dyDescent="0.3">
      <c r="A174" s="108">
        <v>168</v>
      </c>
      <c r="B174" s="328" t="str">
        <f>+'Base de Datos'!E174</f>
        <v>130386-0-2013</v>
      </c>
      <c r="C174" s="328" t="str">
        <f>+'Base de Datos'!F174</f>
        <v>CONTROLES EMPRESARIALES LTDA</v>
      </c>
      <c r="D174" s="329">
        <f>+'Base de Datos'!I174</f>
        <v>803432165</v>
      </c>
      <c r="E174" s="330">
        <f>+'Base de Datos'!M174</f>
        <v>41670</v>
      </c>
      <c r="F174" s="330">
        <f>+'Base de Datos'!N174</f>
        <v>41759</v>
      </c>
      <c r="G174" s="330">
        <f>+'Base de Datos'!T174</f>
        <v>41789</v>
      </c>
      <c r="H174" s="329">
        <f>+'Base de Datos'!U174</f>
        <v>803432165</v>
      </c>
      <c r="I174" s="331" t="str">
        <f>IF(VLOOKUP(B174,'Base de Datos'!$E$7:$S$303,11,0),"SI","NO")</f>
        <v>NO</v>
      </c>
      <c r="J174" s="332" t="str">
        <f t="shared" si="14"/>
        <v/>
      </c>
      <c r="K174" s="331" t="str">
        <f>IF(VLOOKUP(B174,'Base de Datos'!$E$7:$S$303,11,0),"SI","NO")</f>
        <v>NO</v>
      </c>
      <c r="L174" s="332" t="str">
        <f t="shared" si="15"/>
        <v/>
      </c>
      <c r="M174" s="332">
        <f>VLOOKUP(B174,'Base de Datos'!$E$7:$Z$303,21,0)</f>
        <v>0.92243747174349189</v>
      </c>
      <c r="N174" s="394" t="str">
        <f t="shared" ca="1" si="19"/>
        <v/>
      </c>
      <c r="O174" s="332">
        <f ca="1">VLOOKUP(B174,'Base de Datos'!$E$7:$Z$303,22,0)</f>
        <v>1</v>
      </c>
      <c r="P174" s="393">
        <f t="shared" ca="1" si="16"/>
        <v>1329</v>
      </c>
      <c r="Q174" s="406">
        <f t="shared" ca="1" si="20"/>
        <v>11.074999999999999</v>
      </c>
      <c r="R174" s="328" t="str">
        <f ca="1">VLOOKUP(B174,'Base de Datos'!E174:AR485,33,0)</f>
        <v>TERMINO</v>
      </c>
      <c r="S174" s="331" t="str">
        <f t="shared" ca="1" si="17"/>
        <v>NO</v>
      </c>
      <c r="T174" s="328" t="str">
        <f t="shared" ca="1" si="18"/>
        <v>Liquidar</v>
      </c>
      <c r="U174" s="328">
        <f>VLOOKUP(B174,'Base de Datos'!$E$7:$AR$401,38,0)</f>
        <v>42192</v>
      </c>
    </row>
    <row r="175" spans="1:21" ht="23.25" customHeight="1" thickTop="1" thickBot="1" x14ac:dyDescent="0.3">
      <c r="A175" s="108">
        <v>169</v>
      </c>
      <c r="B175" s="328" t="str">
        <f>+'Base de Datos'!E175</f>
        <v>140174-0-2014</v>
      </c>
      <c r="C175" s="328" t="str">
        <f>+'Base de Datos'!F175</f>
        <v>MOTORES Y MAQUINAS MOTORYSA</v>
      </c>
      <c r="D175" s="329">
        <f>+'Base de Datos'!I175</f>
        <v>30000000</v>
      </c>
      <c r="E175" s="330">
        <f>+'Base de Datos'!M175</f>
        <v>41703</v>
      </c>
      <c r="F175" s="330">
        <f>+'Base de Datos'!N175</f>
        <v>42067</v>
      </c>
      <c r="G175" s="330">
        <f>+'Base de Datos'!T175</f>
        <v>42129</v>
      </c>
      <c r="H175" s="329">
        <f>+'Base de Datos'!U175</f>
        <v>30000000</v>
      </c>
      <c r="I175" s="331" t="str">
        <f>IF(VLOOKUP(B175,'Base de Datos'!$E$7:$S$303,11,0),"SI","NO")</f>
        <v>NO</v>
      </c>
      <c r="J175" s="332" t="str">
        <f t="shared" si="14"/>
        <v/>
      </c>
      <c r="K175" s="331" t="str">
        <f>IF(VLOOKUP(B175,'Base de Datos'!$E$7:$S$303,11,0),"SI","NO")</f>
        <v>NO</v>
      </c>
      <c r="L175" s="332" t="str">
        <f t="shared" si="15"/>
        <v/>
      </c>
      <c r="M175" s="332">
        <f>VLOOKUP(B175,'Base de Datos'!$E$7:$Z$303,21,0)</f>
        <v>0.94433699999999998</v>
      </c>
      <c r="N175" s="394" t="str">
        <f t="shared" ca="1" si="19"/>
        <v/>
      </c>
      <c r="O175" s="332">
        <f ca="1">VLOOKUP(B175,'Base de Datos'!$E$7:$Z$303,22,0)</f>
        <v>1</v>
      </c>
      <c r="P175" s="393">
        <f t="shared" ca="1" si="16"/>
        <v>989</v>
      </c>
      <c r="Q175" s="406">
        <f t="shared" ca="1" si="20"/>
        <v>8.2416666666666671</v>
      </c>
      <c r="R175" s="328" t="str">
        <f ca="1">VLOOKUP(B175,'Base de Datos'!E175:AR486,33,0)</f>
        <v>TERMINO</v>
      </c>
      <c r="S175" s="331" t="str">
        <f t="shared" ca="1" si="17"/>
        <v>NO</v>
      </c>
      <c r="T175" s="328" t="str">
        <f t="shared" ca="1" si="18"/>
        <v>Liquidar</v>
      </c>
      <c r="U175" s="328">
        <f>VLOOKUP(B175,'Base de Datos'!$E$7:$AR$401,38,0)</f>
        <v>0</v>
      </c>
    </row>
    <row r="176" spans="1:21" ht="23.25" customHeight="1" thickTop="1" thickBot="1" x14ac:dyDescent="0.3">
      <c r="A176" s="108">
        <v>170</v>
      </c>
      <c r="B176" s="328" t="str">
        <f>+'Base de Datos'!E176</f>
        <v>140034-0-2014</v>
      </c>
      <c r="C176" s="328" t="str">
        <f>+'Base de Datos'!F176</f>
        <v>REVISTA EL CONGRESO SIGLO XXI LTDA</v>
      </c>
      <c r="D176" s="329">
        <f>+'Base de Datos'!I176</f>
        <v>7740000</v>
      </c>
      <c r="E176" s="330">
        <f>+'Base de Datos'!M176</f>
        <v>41775</v>
      </c>
      <c r="F176" s="330">
        <f>+'Base de Datos'!N176</f>
        <v>42139</v>
      </c>
      <c r="G176" s="330">
        <f>+'Base de Datos'!T176</f>
        <v>42139</v>
      </c>
      <c r="H176" s="329">
        <f>+'Base de Datos'!U176</f>
        <v>7740000</v>
      </c>
      <c r="I176" s="331" t="str">
        <f>IF(VLOOKUP(B176,'Base de Datos'!$E$7:$S$303,11,0),"SI","NO")</f>
        <v>NO</v>
      </c>
      <c r="J176" s="332" t="str">
        <f t="shared" si="14"/>
        <v/>
      </c>
      <c r="K176" s="331" t="str">
        <f>IF(VLOOKUP(B176,'Base de Datos'!$E$7:$S$303,11,0),"SI","NO")</f>
        <v>NO</v>
      </c>
      <c r="L176" s="332" t="str">
        <f t="shared" si="15"/>
        <v/>
      </c>
      <c r="M176" s="332">
        <f>VLOOKUP(B176,'Base de Datos'!$E$7:$Z$303,21,0)</f>
        <v>1</v>
      </c>
      <c r="N176" s="394" t="str">
        <f t="shared" ca="1" si="19"/>
        <v/>
      </c>
      <c r="O176" s="332">
        <f ca="1">VLOOKUP(B176,'Base de Datos'!$E$7:$Z$303,22,0)</f>
        <v>1</v>
      </c>
      <c r="P176" s="393">
        <f t="shared" ca="1" si="16"/>
        <v>979</v>
      </c>
      <c r="Q176" s="406">
        <f t="shared" ca="1" si="20"/>
        <v>8.1583333333333332</v>
      </c>
      <c r="R176" s="328" t="str">
        <f ca="1">VLOOKUP(B176,'Base de Datos'!E176:AR487,33,0)</f>
        <v>TERMINO</v>
      </c>
      <c r="S176" s="331" t="str">
        <f t="shared" ca="1" si="17"/>
        <v>NO</v>
      </c>
      <c r="T176" s="328" t="str">
        <f t="shared" ca="1" si="18"/>
        <v>Liquidar</v>
      </c>
      <c r="U176" s="328">
        <f>VLOOKUP(B176,'Base de Datos'!$E$7:$AR$401,38,0)</f>
        <v>42318</v>
      </c>
    </row>
    <row r="177" spans="1:21" ht="23.25" customHeight="1" thickTop="1" thickBot="1" x14ac:dyDescent="0.3">
      <c r="A177" s="108">
        <v>171</v>
      </c>
      <c r="B177" s="328" t="str">
        <f>+'Base de Datos'!E177</f>
        <v>140136-0-2014</v>
      </c>
      <c r="C177" s="328" t="str">
        <f>+'Base de Datos'!F177</f>
        <v>KHAANKO NORBERTO RUIZ RODRÍGUEZ</v>
      </c>
      <c r="D177" s="329">
        <f>+'Base de Datos'!I177</f>
        <v>29819999</v>
      </c>
      <c r="E177" s="330">
        <f>+'Base de Datos'!M177</f>
        <v>41675</v>
      </c>
      <c r="F177" s="330">
        <f>+'Base de Datos'!N177</f>
        <v>42008</v>
      </c>
      <c r="G177" s="330">
        <f>+'Base de Datos'!T177</f>
        <v>42008</v>
      </c>
      <c r="H177" s="329">
        <f>+'Base de Datos'!U177</f>
        <v>29819999</v>
      </c>
      <c r="I177" s="331" t="str">
        <f>IF(VLOOKUP(B177,'Base de Datos'!$E$7:$S$303,11,0),"SI","NO")</f>
        <v>NO</v>
      </c>
      <c r="J177" s="332" t="str">
        <f t="shared" si="14"/>
        <v/>
      </c>
      <c r="K177" s="331" t="str">
        <f>IF(VLOOKUP(B177,'Base de Datos'!$E$7:$S$303,11,0),"SI","NO")</f>
        <v>NO</v>
      </c>
      <c r="L177" s="332" t="str">
        <f t="shared" si="15"/>
        <v/>
      </c>
      <c r="M177" s="332">
        <f>VLOOKUP(B177,'Base de Datos'!$E$7:$Z$303,21,0)</f>
        <v>1</v>
      </c>
      <c r="N177" s="394" t="str">
        <f t="shared" ca="1" si="19"/>
        <v/>
      </c>
      <c r="O177" s="332">
        <f ca="1">VLOOKUP(B177,'Base de Datos'!$E$7:$Z$303,22,0)</f>
        <v>1</v>
      </c>
      <c r="P177" s="393">
        <f t="shared" ca="1" si="16"/>
        <v>1110</v>
      </c>
      <c r="Q177" s="406">
        <f t="shared" ca="1" si="20"/>
        <v>9.25</v>
      </c>
      <c r="R177" s="328" t="str">
        <f ca="1">VLOOKUP(B177,'Base de Datos'!E177:AR488,33,0)</f>
        <v>TERMINO</v>
      </c>
      <c r="S177" s="331" t="str">
        <f t="shared" ca="1" si="17"/>
        <v>NO</v>
      </c>
      <c r="T177" s="328" t="str">
        <f t="shared" ca="1" si="18"/>
        <v>Liquidar</v>
      </c>
      <c r="U177" s="328">
        <f>VLOOKUP(B177,'Base de Datos'!$E$7:$AR$401,38,0)</f>
        <v>42152</v>
      </c>
    </row>
    <row r="178" spans="1:21" ht="23.25" customHeight="1" thickTop="1" thickBot="1" x14ac:dyDescent="0.3">
      <c r="A178" s="108">
        <v>172</v>
      </c>
      <c r="B178" s="328" t="str">
        <f>+'Base de Datos'!E178</f>
        <v>140138-0-2014</v>
      </c>
      <c r="C178" s="328" t="str">
        <f>+'Base de Datos'!F178</f>
        <v>CASA EDITORIAL EL TIEMPO SA</v>
      </c>
      <c r="D178" s="329">
        <f>+'Base de Datos'!I178</f>
        <v>1197000</v>
      </c>
      <c r="E178" s="330">
        <f>+'Base de Datos'!M178</f>
        <v>41717</v>
      </c>
      <c r="F178" s="330">
        <f>+'Base de Datos'!N178</f>
        <v>42081</v>
      </c>
      <c r="G178" s="330">
        <f>+'Base de Datos'!T178</f>
        <v>42081</v>
      </c>
      <c r="H178" s="329">
        <f>+'Base de Datos'!U178</f>
        <v>1197000</v>
      </c>
      <c r="I178" s="331" t="str">
        <f>IF(VLOOKUP(B178,'Base de Datos'!$E$7:$S$303,11,0),"SI","NO")</f>
        <v>NO</v>
      </c>
      <c r="J178" s="332" t="str">
        <f t="shared" si="14"/>
        <v/>
      </c>
      <c r="K178" s="331" t="str">
        <f>IF(VLOOKUP(B178,'Base de Datos'!$E$7:$S$303,11,0),"SI","NO")</f>
        <v>NO</v>
      </c>
      <c r="L178" s="332" t="str">
        <f t="shared" si="15"/>
        <v/>
      </c>
      <c r="M178" s="332">
        <f>VLOOKUP(B178,'Base de Datos'!$E$7:$Z$303,21,0)</f>
        <v>1</v>
      </c>
      <c r="N178" s="394" t="str">
        <f t="shared" ca="1" si="19"/>
        <v/>
      </c>
      <c r="O178" s="332">
        <f ca="1">VLOOKUP(B178,'Base de Datos'!$E$7:$Z$303,22,0)</f>
        <v>1</v>
      </c>
      <c r="P178" s="393">
        <f t="shared" ca="1" si="16"/>
        <v>1037</v>
      </c>
      <c r="Q178" s="406">
        <f t="shared" ca="1" si="20"/>
        <v>8.6416666666666675</v>
      </c>
      <c r="R178" s="328" t="str">
        <f ca="1">VLOOKUP(B178,'Base de Datos'!E178:AR489,33,0)</f>
        <v>TERMINO</v>
      </c>
      <c r="S178" s="331" t="str">
        <f t="shared" ca="1" si="17"/>
        <v>NO</v>
      </c>
      <c r="T178" s="328" t="str">
        <f t="shared" ca="1" si="18"/>
        <v>Liquidar</v>
      </c>
      <c r="U178" s="328">
        <f>VLOOKUP(B178,'Base de Datos'!$E$7:$AR$401,38,0)</f>
        <v>0</v>
      </c>
    </row>
    <row r="179" spans="1:21" ht="23.25" customHeight="1" thickTop="1" thickBot="1" x14ac:dyDescent="0.3">
      <c r="A179" s="108">
        <v>173</v>
      </c>
      <c r="B179" s="328" t="str">
        <f>+'Base de Datos'!E179</f>
        <v>140140-0-2014</v>
      </c>
      <c r="C179" s="328" t="str">
        <f>+'Base de Datos'!F179</f>
        <v>DPC LTDA PUBLICACIONES DESPACHOS PÚBLICOS DE COLOMBIA LTDA</v>
      </c>
      <c r="D179" s="329">
        <f>+'Base de Datos'!I179</f>
        <v>4000000</v>
      </c>
      <c r="E179" s="330">
        <f>+'Base de Datos'!M179</f>
        <v>41739</v>
      </c>
      <c r="F179" s="330">
        <f>+'Base de Datos'!N179</f>
        <v>41891</v>
      </c>
      <c r="G179" s="330">
        <f>+'Base de Datos'!T179</f>
        <v>41891</v>
      </c>
      <c r="H179" s="329">
        <f>+'Base de Datos'!U179</f>
        <v>4000000</v>
      </c>
      <c r="I179" s="331" t="str">
        <f>IF(VLOOKUP(B179,'Base de Datos'!$E$7:$S$303,11,0),"SI","NO")</f>
        <v>NO</v>
      </c>
      <c r="J179" s="332" t="str">
        <f t="shared" si="14"/>
        <v/>
      </c>
      <c r="K179" s="331" t="str">
        <f>IF(VLOOKUP(B179,'Base de Datos'!$E$7:$S$303,11,0),"SI","NO")</f>
        <v>NO</v>
      </c>
      <c r="L179" s="332" t="str">
        <f t="shared" si="15"/>
        <v/>
      </c>
      <c r="M179" s="332">
        <f>VLOOKUP(B179,'Base de Datos'!$E$7:$Z$303,21,0)</f>
        <v>1</v>
      </c>
      <c r="N179" s="394" t="str">
        <f t="shared" ca="1" si="19"/>
        <v/>
      </c>
      <c r="O179" s="332">
        <f ca="1">VLOOKUP(B179,'Base de Datos'!$E$7:$Z$303,22,0)</f>
        <v>1</v>
      </c>
      <c r="P179" s="393">
        <f t="shared" ca="1" si="16"/>
        <v>1227</v>
      </c>
      <c r="Q179" s="406">
        <f t="shared" ca="1" si="20"/>
        <v>10.225</v>
      </c>
      <c r="R179" s="328" t="str">
        <f ca="1">VLOOKUP(B179,'Base de Datos'!E179:AR490,33,0)</f>
        <v>TERMINO</v>
      </c>
      <c r="S179" s="331" t="str">
        <f t="shared" ca="1" si="17"/>
        <v>NO</v>
      </c>
      <c r="T179" s="328" t="str">
        <f t="shared" ca="1" si="18"/>
        <v>Liquidar</v>
      </c>
      <c r="U179" s="328">
        <f>VLOOKUP(B179,'Base de Datos'!$E$7:$AR$401,38,0)</f>
        <v>42095</v>
      </c>
    </row>
    <row r="180" spans="1:21" ht="23.25" customHeight="1" thickTop="1" thickBot="1" x14ac:dyDescent="0.3">
      <c r="A180" s="108">
        <v>174</v>
      </c>
      <c r="B180" s="328" t="str">
        <f>+'Base de Datos'!E180</f>
        <v>140152-0-2014</v>
      </c>
      <c r="C180" s="328" t="str">
        <f>+'Base de Datos'!F180</f>
        <v>ROSA ENRIQUELINA GÓMEZ CORREDOR</v>
      </c>
      <c r="D180" s="329">
        <f>+'Base de Datos'!I180</f>
        <v>42800000</v>
      </c>
      <c r="E180" s="330">
        <f>+'Base de Datos'!M180</f>
        <v>41701</v>
      </c>
      <c r="F180" s="330">
        <f>+'Base de Datos'!N180</f>
        <v>42006</v>
      </c>
      <c r="G180" s="330">
        <f>+'Base de Datos'!T180</f>
        <v>42006</v>
      </c>
      <c r="H180" s="329">
        <f>+'Base de Datos'!U180</f>
        <v>42800000</v>
      </c>
      <c r="I180" s="331" t="str">
        <f>IF(VLOOKUP(B180,'Base de Datos'!$E$7:$S$303,11,0),"SI","NO")</f>
        <v>NO</v>
      </c>
      <c r="J180" s="332" t="str">
        <f t="shared" si="14"/>
        <v/>
      </c>
      <c r="K180" s="331" t="str">
        <f>IF(VLOOKUP(B180,'Base de Datos'!$E$7:$S$303,11,0),"SI","NO")</f>
        <v>NO</v>
      </c>
      <c r="L180" s="332" t="str">
        <f t="shared" si="15"/>
        <v/>
      </c>
      <c r="M180" s="332">
        <f>VLOOKUP(B180,'Base de Datos'!$E$7:$Z$303,21,0)</f>
        <v>1</v>
      </c>
      <c r="N180" s="394" t="str">
        <f t="shared" ca="1" si="19"/>
        <v/>
      </c>
      <c r="O180" s="332">
        <f ca="1">VLOOKUP(B180,'Base de Datos'!$E$7:$Z$303,22,0)</f>
        <v>1</v>
      </c>
      <c r="P180" s="393">
        <f t="shared" ca="1" si="16"/>
        <v>1112</v>
      </c>
      <c r="Q180" s="406">
        <f t="shared" ca="1" si="20"/>
        <v>9.2666666666666675</v>
      </c>
      <c r="R180" s="328" t="str">
        <f ca="1">VLOOKUP(B180,'Base de Datos'!E180:AR491,33,0)</f>
        <v>TERMINO</v>
      </c>
      <c r="S180" s="331" t="str">
        <f t="shared" ca="1" si="17"/>
        <v>NO</v>
      </c>
      <c r="T180" s="328" t="str">
        <f t="shared" ca="1" si="18"/>
        <v>Liquidar</v>
      </c>
      <c r="U180" s="328">
        <f>VLOOKUP(B180,'Base de Datos'!$E$7:$AR$401,38,0)</f>
        <v>42145</v>
      </c>
    </row>
    <row r="181" spans="1:21" ht="23.25" customHeight="1" thickTop="1" thickBot="1" x14ac:dyDescent="0.3">
      <c r="A181" s="108">
        <v>175</v>
      </c>
      <c r="B181" s="328" t="str">
        <f>+'Base de Datos'!E181</f>
        <v>140153-0-2014</v>
      </c>
      <c r="C181" s="328" t="str">
        <f>+'Base de Datos'!F181</f>
        <v>WIESNER FABIÁN ROBAYO SALCEDO</v>
      </c>
      <c r="D181" s="329">
        <f>+'Base de Datos'!I181</f>
        <v>38830000</v>
      </c>
      <c r="E181" s="330">
        <f>+'Base de Datos'!M181</f>
        <v>41708</v>
      </c>
      <c r="F181" s="330">
        <f>+'Base de Datos'!N181</f>
        <v>42013</v>
      </c>
      <c r="G181" s="330">
        <f>+'Base de Datos'!T181</f>
        <v>42013</v>
      </c>
      <c r="H181" s="329">
        <f>+'Base de Datos'!U181</f>
        <v>38830000</v>
      </c>
      <c r="I181" s="331" t="str">
        <f>IF(VLOOKUP(B181,'Base de Datos'!$E$7:$S$303,11,0),"SI","NO")</f>
        <v>NO</v>
      </c>
      <c r="J181" s="332" t="str">
        <f t="shared" si="14"/>
        <v/>
      </c>
      <c r="K181" s="331" t="str">
        <f>IF(VLOOKUP(B181,'Base de Datos'!$E$7:$S$303,11,0),"SI","NO")</f>
        <v>NO</v>
      </c>
      <c r="L181" s="332" t="str">
        <f t="shared" si="15"/>
        <v/>
      </c>
      <c r="M181" s="332">
        <f>VLOOKUP(B181,'Base de Datos'!$E$7:$Z$303,21,0)</f>
        <v>1</v>
      </c>
      <c r="N181" s="394" t="str">
        <f t="shared" ca="1" si="19"/>
        <v/>
      </c>
      <c r="O181" s="332">
        <f ca="1">VLOOKUP(B181,'Base de Datos'!$E$7:$Z$303,22,0)</f>
        <v>1</v>
      </c>
      <c r="P181" s="393">
        <f t="shared" ca="1" si="16"/>
        <v>1105</v>
      </c>
      <c r="Q181" s="406">
        <f t="shared" ca="1" si="20"/>
        <v>9.2083333333333339</v>
      </c>
      <c r="R181" s="328" t="str">
        <f ca="1">VLOOKUP(B181,'Base de Datos'!E181:AR492,33,0)</f>
        <v>TERMINO</v>
      </c>
      <c r="S181" s="331" t="str">
        <f t="shared" ca="1" si="17"/>
        <v>NO</v>
      </c>
      <c r="T181" s="328" t="str">
        <f t="shared" ca="1" si="18"/>
        <v>Liquidar</v>
      </c>
      <c r="U181" s="328">
        <f>VLOOKUP(B181,'Base de Datos'!$E$7:$AR$401,38,0)</f>
        <v>42087</v>
      </c>
    </row>
    <row r="182" spans="1:21" ht="23.25" customHeight="1" thickTop="1" thickBot="1" x14ac:dyDescent="0.3">
      <c r="A182" s="108">
        <v>176</v>
      </c>
      <c r="B182" s="328" t="str">
        <f>+'Base de Datos'!E182</f>
        <v>140154-0-2014</v>
      </c>
      <c r="C182" s="328" t="str">
        <f>+'Base de Datos'!F182</f>
        <v>EDGAR EULICES GONZÁLEZ</v>
      </c>
      <c r="D182" s="329">
        <f>+'Base de Datos'!I182</f>
        <v>40997000</v>
      </c>
      <c r="E182" s="330">
        <f>+'Base de Datos'!M182</f>
        <v>41675</v>
      </c>
      <c r="F182" s="330">
        <f>+'Base de Datos'!N182</f>
        <v>42008</v>
      </c>
      <c r="G182" s="330">
        <f>+'Base de Datos'!T182</f>
        <v>42008</v>
      </c>
      <c r="H182" s="329">
        <f>+'Base de Datos'!U182</f>
        <v>40997000</v>
      </c>
      <c r="I182" s="331" t="str">
        <f>IF(VLOOKUP(B182,'Base de Datos'!$E$7:$S$303,11,0),"SI","NO")</f>
        <v>NO</v>
      </c>
      <c r="J182" s="332" t="str">
        <f t="shared" si="14"/>
        <v/>
      </c>
      <c r="K182" s="331" t="str">
        <f>IF(VLOOKUP(B182,'Base de Datos'!$E$7:$S$303,11,0),"SI","NO")</f>
        <v>NO</v>
      </c>
      <c r="L182" s="332" t="str">
        <f t="shared" si="15"/>
        <v/>
      </c>
      <c r="M182" s="332">
        <f>VLOOKUP(B182,'Base de Datos'!$E$7:$Z$303,21,0)</f>
        <v>1</v>
      </c>
      <c r="N182" s="394" t="str">
        <f t="shared" ca="1" si="19"/>
        <v/>
      </c>
      <c r="O182" s="332">
        <f ca="1">VLOOKUP(B182,'Base de Datos'!$E$7:$Z$303,22,0)</f>
        <v>1</v>
      </c>
      <c r="P182" s="393">
        <f t="shared" ca="1" si="16"/>
        <v>1110</v>
      </c>
      <c r="Q182" s="406">
        <f t="shared" ca="1" si="20"/>
        <v>9.25</v>
      </c>
      <c r="R182" s="328" t="str">
        <f ca="1">VLOOKUP(B182,'Base de Datos'!E182:AR493,33,0)</f>
        <v>TERMINO</v>
      </c>
      <c r="S182" s="331" t="str">
        <f t="shared" ca="1" si="17"/>
        <v>NO</v>
      </c>
      <c r="T182" s="328" t="str">
        <f t="shared" ca="1" si="18"/>
        <v>Liquidar</v>
      </c>
      <c r="U182" s="328">
        <f>VLOOKUP(B182,'Base de Datos'!$E$7:$AR$401,38,0)</f>
        <v>42153</v>
      </c>
    </row>
    <row r="183" spans="1:21" ht="23.25" customHeight="1" thickTop="1" thickBot="1" x14ac:dyDescent="0.3">
      <c r="A183" s="108">
        <v>177</v>
      </c>
      <c r="B183" s="328" t="str">
        <f>+'Base de Datos'!E183</f>
        <v>140157-0-2014</v>
      </c>
      <c r="C183" s="328" t="str">
        <f>+'Base de Datos'!F183</f>
        <v>FERNANDO SOTOMONTE AMAYA</v>
      </c>
      <c r="D183" s="329">
        <f>+'Base de Datos'!I183</f>
        <v>55000000</v>
      </c>
      <c r="E183" s="330">
        <f>+'Base de Datos'!M183</f>
        <v>41675</v>
      </c>
      <c r="F183" s="330">
        <f>+'Base de Datos'!N183</f>
        <v>42008</v>
      </c>
      <c r="G183" s="330">
        <f>+'Base de Datos'!T183</f>
        <v>42008</v>
      </c>
      <c r="H183" s="329">
        <f>+'Base de Datos'!U183</f>
        <v>55000000</v>
      </c>
      <c r="I183" s="331" t="str">
        <f>IF(VLOOKUP(B183,'Base de Datos'!$E$7:$S$303,11,0),"SI","NO")</f>
        <v>NO</v>
      </c>
      <c r="J183" s="332" t="str">
        <f t="shared" si="14"/>
        <v/>
      </c>
      <c r="K183" s="331" t="str">
        <f>IF(VLOOKUP(B183,'Base de Datos'!$E$7:$S$303,11,0),"SI","NO")</f>
        <v>NO</v>
      </c>
      <c r="L183" s="332" t="str">
        <f t="shared" si="15"/>
        <v/>
      </c>
      <c r="M183" s="332">
        <f>VLOOKUP(B183,'Base de Datos'!$E$7:$Z$303,21,0)</f>
        <v>0.98787878181818178</v>
      </c>
      <c r="N183" s="394" t="str">
        <f t="shared" ca="1" si="19"/>
        <v/>
      </c>
      <c r="O183" s="332">
        <f ca="1">VLOOKUP(B183,'Base de Datos'!$E$7:$Z$303,22,0)</f>
        <v>1</v>
      </c>
      <c r="P183" s="393">
        <f t="shared" ca="1" si="16"/>
        <v>1110</v>
      </c>
      <c r="Q183" s="406">
        <f t="shared" ca="1" si="20"/>
        <v>9.25</v>
      </c>
      <c r="R183" s="328" t="str">
        <f ca="1">VLOOKUP(B183,'Base de Datos'!E183:AR494,33,0)</f>
        <v>TERMINO</v>
      </c>
      <c r="S183" s="331" t="str">
        <f t="shared" ca="1" si="17"/>
        <v>NO</v>
      </c>
      <c r="T183" s="328" t="str">
        <f t="shared" ca="1" si="18"/>
        <v>Liquidar</v>
      </c>
      <c r="U183" s="328">
        <f>VLOOKUP(B183,'Base de Datos'!$E$7:$AR$401,38,0)</f>
        <v>0</v>
      </c>
    </row>
    <row r="184" spans="1:21" ht="23.25" customHeight="1" thickTop="1" thickBot="1" x14ac:dyDescent="0.3">
      <c r="A184" s="108">
        <v>178</v>
      </c>
      <c r="B184" s="328" t="str">
        <f>+'Base de Datos'!E184</f>
        <v>140158-0-2014</v>
      </c>
      <c r="C184" s="328" t="str">
        <f>+'Base de Datos'!F184</f>
        <v>JORGE ALBERTO GALVIS  ESTUPIÑAN</v>
      </c>
      <c r="D184" s="329">
        <f>+'Base de Datos'!I184</f>
        <v>55000000</v>
      </c>
      <c r="E184" s="330">
        <f>+'Base de Datos'!M184</f>
        <v>41675</v>
      </c>
      <c r="F184" s="330">
        <f>+'Base de Datos'!N184</f>
        <v>42008</v>
      </c>
      <c r="G184" s="330">
        <f>+'Base de Datos'!T184</f>
        <v>42008</v>
      </c>
      <c r="H184" s="329">
        <f>+'Base de Datos'!U184</f>
        <v>55000000</v>
      </c>
      <c r="I184" s="331" t="str">
        <f>IF(VLOOKUP(B184,'Base de Datos'!$E$7:$S$303,11,0),"SI","NO")</f>
        <v>NO</v>
      </c>
      <c r="J184" s="332" t="str">
        <f t="shared" si="14"/>
        <v/>
      </c>
      <c r="K184" s="331" t="str">
        <f>IF(VLOOKUP(B184,'Base de Datos'!$E$7:$S$303,11,0),"SI","NO")</f>
        <v>NO</v>
      </c>
      <c r="L184" s="332" t="str">
        <f t="shared" si="15"/>
        <v/>
      </c>
      <c r="M184" s="332">
        <f>VLOOKUP(B184,'Base de Datos'!$E$7:$Z$303,21,0)</f>
        <v>1</v>
      </c>
      <c r="N184" s="394" t="str">
        <f t="shared" ca="1" si="19"/>
        <v/>
      </c>
      <c r="O184" s="332">
        <f ca="1">VLOOKUP(B184,'Base de Datos'!$E$7:$Z$303,22,0)</f>
        <v>1</v>
      </c>
      <c r="P184" s="393">
        <f t="shared" ca="1" si="16"/>
        <v>1110</v>
      </c>
      <c r="Q184" s="406">
        <f t="shared" ca="1" si="20"/>
        <v>9.25</v>
      </c>
      <c r="R184" s="328" t="str">
        <f ca="1">VLOOKUP(B184,'Base de Datos'!E184:AR495,33,0)</f>
        <v>TERMINO</v>
      </c>
      <c r="S184" s="331" t="str">
        <f t="shared" ca="1" si="17"/>
        <v>NO</v>
      </c>
      <c r="T184" s="328" t="str">
        <f t="shared" ca="1" si="18"/>
        <v>Liquidar</v>
      </c>
      <c r="U184" s="328">
        <f>VLOOKUP(B184,'Base de Datos'!$E$7:$AR$401,38,0)</f>
        <v>42234</v>
      </c>
    </row>
    <row r="185" spans="1:21" ht="23.25" customHeight="1" thickTop="1" thickBot="1" x14ac:dyDescent="0.3">
      <c r="A185" s="108">
        <v>179</v>
      </c>
      <c r="B185" s="328" t="str">
        <f>+'Base de Datos'!E185</f>
        <v>140159-0-2014</v>
      </c>
      <c r="C185" s="328" t="str">
        <f>+'Base de Datos'!F185</f>
        <v>LORENZA SANTOS BARBOSA (Cesionaria) - Antes VICTOR MANUEL ARMELLA VELASQUEZ</v>
      </c>
      <c r="D185" s="329">
        <f>+'Base de Datos'!I185</f>
        <v>55000000</v>
      </c>
      <c r="E185" s="330">
        <f>+'Base de Datos'!M185</f>
        <v>41675</v>
      </c>
      <c r="F185" s="330">
        <f>+'Base de Datos'!N185</f>
        <v>42008</v>
      </c>
      <c r="G185" s="330">
        <f>+'Base de Datos'!T185</f>
        <v>42008</v>
      </c>
      <c r="H185" s="329">
        <f>+'Base de Datos'!U185</f>
        <v>55000000</v>
      </c>
      <c r="I185" s="331" t="str">
        <f>IF(VLOOKUP(B185,'Base de Datos'!$E$7:$S$303,11,0),"SI","NO")</f>
        <v>NO</v>
      </c>
      <c r="J185" s="332" t="str">
        <f t="shared" si="14"/>
        <v/>
      </c>
      <c r="K185" s="331" t="str">
        <f>IF(VLOOKUP(B185,'Base de Datos'!$E$7:$S$303,11,0),"SI","NO")</f>
        <v>NO</v>
      </c>
      <c r="L185" s="332" t="str">
        <f t="shared" si="15"/>
        <v/>
      </c>
      <c r="M185" s="332">
        <f>VLOOKUP(B185,'Base de Datos'!$E$7:$Z$303,21,0)</f>
        <v>0.99393938181818187</v>
      </c>
      <c r="N185" s="394" t="str">
        <f t="shared" ca="1" si="19"/>
        <v/>
      </c>
      <c r="O185" s="332">
        <f ca="1">VLOOKUP(B185,'Base de Datos'!$E$7:$Z$303,22,0)</f>
        <v>1</v>
      </c>
      <c r="P185" s="393">
        <f t="shared" ca="1" si="16"/>
        <v>1110</v>
      </c>
      <c r="Q185" s="406">
        <f t="shared" ca="1" si="20"/>
        <v>9.25</v>
      </c>
      <c r="R185" s="328" t="str">
        <f ca="1">VLOOKUP(B185,'Base de Datos'!E185:AR496,33,0)</f>
        <v>TERMINO</v>
      </c>
      <c r="S185" s="331" t="str">
        <f t="shared" ca="1" si="17"/>
        <v>NO</v>
      </c>
      <c r="T185" s="328" t="str">
        <f t="shared" ca="1" si="18"/>
        <v>Liquidar</v>
      </c>
      <c r="U185" s="328">
        <f>VLOOKUP(B185,'Base de Datos'!$E$7:$AR$401,38,0)</f>
        <v>42277</v>
      </c>
    </row>
    <row r="186" spans="1:21" ht="23.25" customHeight="1" thickTop="1" thickBot="1" x14ac:dyDescent="0.3">
      <c r="A186" s="108">
        <v>180</v>
      </c>
      <c r="B186" s="328" t="str">
        <f>+'Base de Datos'!E186</f>
        <v>140160-0-2014</v>
      </c>
      <c r="C186" s="328" t="str">
        <f>+'Base de Datos'!F186</f>
        <v>NORMA CONSTANZA MEZA GÓMEZ</v>
      </c>
      <c r="D186" s="329">
        <f>+'Base de Datos'!I186</f>
        <v>38500000</v>
      </c>
      <c r="E186" s="330">
        <f>+'Base de Datos'!M186</f>
        <v>41675</v>
      </c>
      <c r="F186" s="330">
        <f>+'Base de Datos'!N186</f>
        <v>42008</v>
      </c>
      <c r="G186" s="330">
        <f>+'Base de Datos'!T186</f>
        <v>42008</v>
      </c>
      <c r="H186" s="329">
        <f>+'Base de Datos'!U186</f>
        <v>38500000</v>
      </c>
      <c r="I186" s="331" t="str">
        <f>IF(VLOOKUP(B186,'Base de Datos'!$E$7:$S$303,11,0),"SI","NO")</f>
        <v>NO</v>
      </c>
      <c r="J186" s="332" t="str">
        <f t="shared" si="14"/>
        <v/>
      </c>
      <c r="K186" s="331" t="str">
        <f>IF(VLOOKUP(B186,'Base de Datos'!$E$7:$S$303,11,0),"SI","NO")</f>
        <v>NO</v>
      </c>
      <c r="L186" s="332" t="str">
        <f t="shared" si="15"/>
        <v/>
      </c>
      <c r="M186" s="332">
        <f>VLOOKUP(B186,'Base de Datos'!$E$7:$Z$303,21,0)</f>
        <v>1</v>
      </c>
      <c r="N186" s="394" t="str">
        <f t="shared" ca="1" si="19"/>
        <v/>
      </c>
      <c r="O186" s="332">
        <f ca="1">VLOOKUP(B186,'Base de Datos'!$E$7:$Z$303,22,0)</f>
        <v>1</v>
      </c>
      <c r="P186" s="393">
        <f t="shared" ca="1" si="16"/>
        <v>1110</v>
      </c>
      <c r="Q186" s="406">
        <f t="shared" ca="1" si="20"/>
        <v>9.25</v>
      </c>
      <c r="R186" s="328" t="str">
        <f ca="1">VLOOKUP(B186,'Base de Datos'!E186:AR497,33,0)</f>
        <v>TERMINO</v>
      </c>
      <c r="S186" s="331" t="str">
        <f t="shared" ca="1" si="17"/>
        <v>NO</v>
      </c>
      <c r="T186" s="328" t="str">
        <f t="shared" ca="1" si="18"/>
        <v>Liquidar</v>
      </c>
      <c r="U186" s="328">
        <f>VLOOKUP(B186,'Base de Datos'!$E$7:$AR$401,38,0)</f>
        <v>42257</v>
      </c>
    </row>
    <row r="187" spans="1:21" ht="23.25" customHeight="1" thickTop="1" thickBot="1" x14ac:dyDescent="0.3">
      <c r="A187" s="108">
        <v>181</v>
      </c>
      <c r="B187" s="328" t="str">
        <f>+'Base de Datos'!E187</f>
        <v>140161-0-2014</v>
      </c>
      <c r="C187" s="328" t="str">
        <f>+'Base de Datos'!F187</f>
        <v>ANDREA SUSANA BELLO CANTOR</v>
      </c>
      <c r="D187" s="329">
        <f>+'Base de Datos'!I187</f>
        <v>55000000</v>
      </c>
      <c r="E187" s="330">
        <f>+'Base de Datos'!M187</f>
        <v>41675</v>
      </c>
      <c r="F187" s="330">
        <f>+'Base de Datos'!N187</f>
        <v>42008</v>
      </c>
      <c r="G187" s="330">
        <f>+'Base de Datos'!T187</f>
        <v>42008</v>
      </c>
      <c r="H187" s="329">
        <f>+'Base de Datos'!U187</f>
        <v>55000000</v>
      </c>
      <c r="I187" s="331" t="str">
        <f>IF(VLOOKUP(B187,'Base de Datos'!$E$7:$S$303,11,0),"SI","NO")</f>
        <v>NO</v>
      </c>
      <c r="J187" s="332" t="str">
        <f t="shared" si="14"/>
        <v/>
      </c>
      <c r="K187" s="331" t="str">
        <f>IF(VLOOKUP(B187,'Base de Datos'!$E$7:$S$303,11,0),"SI","NO")</f>
        <v>NO</v>
      </c>
      <c r="L187" s="332" t="str">
        <f t="shared" si="15"/>
        <v/>
      </c>
      <c r="M187" s="332">
        <f>VLOOKUP(B187,'Base de Datos'!$E$7:$Z$303,21,0)</f>
        <v>1</v>
      </c>
      <c r="N187" s="394" t="str">
        <f t="shared" ca="1" si="19"/>
        <v/>
      </c>
      <c r="O187" s="332">
        <f ca="1">VLOOKUP(B187,'Base de Datos'!$E$7:$Z$303,22,0)</f>
        <v>1</v>
      </c>
      <c r="P187" s="393">
        <f t="shared" ca="1" si="16"/>
        <v>1110</v>
      </c>
      <c r="Q187" s="406">
        <f t="shared" ca="1" si="20"/>
        <v>9.25</v>
      </c>
      <c r="R187" s="328" t="str">
        <f ca="1">VLOOKUP(B187,'Base de Datos'!E187:AR498,33,0)</f>
        <v>TERMINO</v>
      </c>
      <c r="S187" s="331" t="str">
        <f t="shared" ca="1" si="17"/>
        <v>NO</v>
      </c>
      <c r="T187" s="328" t="str">
        <f t="shared" ca="1" si="18"/>
        <v>Liquidar</v>
      </c>
      <c r="U187" s="328">
        <f>VLOOKUP(B187,'Base de Datos'!$E$7:$AR$401,38,0)</f>
        <v>42235</v>
      </c>
    </row>
    <row r="188" spans="1:21" ht="23.25" customHeight="1" thickTop="1" thickBot="1" x14ac:dyDescent="0.3">
      <c r="A188" s="108">
        <v>182</v>
      </c>
      <c r="B188" s="328" t="str">
        <f>+'Base de Datos'!E188</f>
        <v>140162-0-2014</v>
      </c>
      <c r="C188" s="328" t="str">
        <f>+'Base de Datos'!F188</f>
        <v>JORGE ORLANDO RUBIANO CARRANZA</v>
      </c>
      <c r="D188" s="329">
        <f>+'Base de Datos'!I188</f>
        <v>55000000</v>
      </c>
      <c r="E188" s="330">
        <f>+'Base de Datos'!M188</f>
        <v>41675</v>
      </c>
      <c r="F188" s="330">
        <f>+'Base de Datos'!N188</f>
        <v>42008</v>
      </c>
      <c r="G188" s="330">
        <f>+'Base de Datos'!T188</f>
        <v>42008</v>
      </c>
      <c r="H188" s="329">
        <f>+'Base de Datos'!U188</f>
        <v>55000000</v>
      </c>
      <c r="I188" s="331" t="str">
        <f>IF(VLOOKUP(B188,'Base de Datos'!$E$7:$S$303,11,0),"SI","NO")</f>
        <v>NO</v>
      </c>
      <c r="J188" s="332" t="str">
        <f t="shared" si="14"/>
        <v/>
      </c>
      <c r="K188" s="331" t="str">
        <f>IF(VLOOKUP(B188,'Base de Datos'!$E$7:$S$303,11,0),"SI","NO")</f>
        <v>NO</v>
      </c>
      <c r="L188" s="332" t="str">
        <f t="shared" si="15"/>
        <v/>
      </c>
      <c r="M188" s="332">
        <f>VLOOKUP(B188,'Base de Datos'!$E$7:$Z$303,21,0)</f>
        <v>1</v>
      </c>
      <c r="N188" s="394" t="str">
        <f t="shared" ca="1" si="19"/>
        <v/>
      </c>
      <c r="O188" s="332">
        <f ca="1">VLOOKUP(B188,'Base de Datos'!$E$7:$Z$303,22,0)</f>
        <v>1</v>
      </c>
      <c r="P188" s="393">
        <f t="shared" ca="1" si="16"/>
        <v>1110</v>
      </c>
      <c r="Q188" s="406">
        <f t="shared" ca="1" si="20"/>
        <v>9.25</v>
      </c>
      <c r="R188" s="328" t="str">
        <f ca="1">VLOOKUP(B188,'Base de Datos'!E188:AR499,33,0)</f>
        <v>TERMINO</v>
      </c>
      <c r="S188" s="331" t="str">
        <f t="shared" ca="1" si="17"/>
        <v>NO</v>
      </c>
      <c r="T188" s="328" t="str">
        <f t="shared" ca="1" si="18"/>
        <v>Liquidar</v>
      </c>
      <c r="U188" s="328">
        <f>VLOOKUP(B188,'Base de Datos'!$E$7:$AR$401,38,0)</f>
        <v>42277</v>
      </c>
    </row>
    <row r="189" spans="1:21" ht="23.25" customHeight="1" thickTop="1" thickBot="1" x14ac:dyDescent="0.3">
      <c r="A189" s="108">
        <v>183</v>
      </c>
      <c r="B189" s="328" t="str">
        <f>+'Base de Datos'!E189</f>
        <v>140164-0-2014</v>
      </c>
      <c r="C189" s="328" t="str">
        <f>+'Base de Datos'!F189</f>
        <v>MITSUBISHIS ELECTRIC DE COLOMBIA LTDA</v>
      </c>
      <c r="D189" s="329">
        <f>+'Base de Datos'!I189</f>
        <v>16555000</v>
      </c>
      <c r="E189" s="330">
        <f>+'Base de Datos'!M189</f>
        <v>41732</v>
      </c>
      <c r="F189" s="330">
        <f>+'Base de Datos'!N189</f>
        <v>42096</v>
      </c>
      <c r="G189" s="330">
        <f>+'Base de Datos'!T189</f>
        <v>42096</v>
      </c>
      <c r="H189" s="329">
        <f>+'Base de Datos'!U189</f>
        <v>16555000</v>
      </c>
      <c r="I189" s="331" t="str">
        <f>IF(VLOOKUP(B189,'Base de Datos'!$E$7:$S$303,11,0),"SI","NO")</f>
        <v>NO</v>
      </c>
      <c r="J189" s="332" t="str">
        <f t="shared" si="14"/>
        <v/>
      </c>
      <c r="K189" s="331" t="str">
        <f>IF(VLOOKUP(B189,'Base de Datos'!$E$7:$S$303,11,0),"SI","NO")</f>
        <v>NO</v>
      </c>
      <c r="L189" s="332" t="str">
        <f t="shared" si="15"/>
        <v/>
      </c>
      <c r="M189" s="332">
        <f>VLOOKUP(B189,'Base de Datos'!$E$7:$Z$303,21,0)</f>
        <v>0.95213947447900937</v>
      </c>
      <c r="N189" s="394" t="str">
        <f t="shared" ca="1" si="19"/>
        <v/>
      </c>
      <c r="O189" s="332">
        <f ca="1">VLOOKUP(B189,'Base de Datos'!$E$7:$Z$303,22,0)</f>
        <v>1</v>
      </c>
      <c r="P189" s="393">
        <f t="shared" ca="1" si="16"/>
        <v>1022</v>
      </c>
      <c r="Q189" s="406">
        <f t="shared" ca="1" si="20"/>
        <v>8.5166666666666675</v>
      </c>
      <c r="R189" s="328" t="str">
        <f ca="1">VLOOKUP(B189,'Base de Datos'!E189:AR500,33,0)</f>
        <v>TERMINO</v>
      </c>
      <c r="S189" s="331" t="str">
        <f t="shared" ca="1" si="17"/>
        <v>NO</v>
      </c>
      <c r="T189" s="328" t="str">
        <f t="shared" ca="1" si="18"/>
        <v>Liquidar</v>
      </c>
      <c r="U189" s="328">
        <f>VLOOKUP(B189,'Base de Datos'!$E$7:$AR$401,38,0)</f>
        <v>0</v>
      </c>
    </row>
    <row r="190" spans="1:21" ht="23.25" customHeight="1" thickTop="1" thickBot="1" x14ac:dyDescent="0.3">
      <c r="A190" s="108">
        <v>184</v>
      </c>
      <c r="B190" s="328" t="str">
        <f>+'Base de Datos'!E190</f>
        <v>140166-0-2014</v>
      </c>
      <c r="C190" s="328" t="str">
        <f>+'Base de Datos'!F190</f>
        <v>EDELMIRA ATARA GIL</v>
      </c>
      <c r="D190" s="329">
        <f>+'Base de Datos'!I190</f>
        <v>39600000</v>
      </c>
      <c r="E190" s="330">
        <f>+'Base de Datos'!M190</f>
        <v>41675</v>
      </c>
      <c r="F190" s="330">
        <f>+'Base de Datos'!N190</f>
        <v>42008</v>
      </c>
      <c r="G190" s="330">
        <f>+'Base de Datos'!T190</f>
        <v>42008</v>
      </c>
      <c r="H190" s="329">
        <f>+'Base de Datos'!U190</f>
        <v>39600000</v>
      </c>
      <c r="I190" s="331" t="str">
        <f>IF(VLOOKUP(B190,'Base de Datos'!$E$7:$S$303,11,0),"SI","NO")</f>
        <v>NO</v>
      </c>
      <c r="J190" s="332" t="str">
        <f t="shared" si="14"/>
        <v/>
      </c>
      <c r="K190" s="331" t="str">
        <f>IF(VLOOKUP(B190,'Base de Datos'!$E$7:$S$303,11,0),"SI","NO")</f>
        <v>NO</v>
      </c>
      <c r="L190" s="332" t="str">
        <f t="shared" si="15"/>
        <v/>
      </c>
      <c r="M190" s="332">
        <f>VLOOKUP(B190,'Base de Datos'!$E$7:$Z$303,21,0)</f>
        <v>0.62424242424242427</v>
      </c>
      <c r="N190" s="394" t="str">
        <f t="shared" ca="1" si="19"/>
        <v/>
      </c>
      <c r="O190" s="332">
        <f ca="1">VLOOKUP(B190,'Base de Datos'!$E$7:$Z$303,22,0)</f>
        <v>1</v>
      </c>
      <c r="P190" s="393">
        <f t="shared" ca="1" si="16"/>
        <v>1110</v>
      </c>
      <c r="Q190" s="406">
        <f t="shared" ca="1" si="20"/>
        <v>9.25</v>
      </c>
      <c r="R190" s="328" t="str">
        <f ca="1">VLOOKUP(B190,'Base de Datos'!E190:AR501,33,0)</f>
        <v>TERMINO</v>
      </c>
      <c r="S190" s="331" t="str">
        <f t="shared" ca="1" si="17"/>
        <v>NO</v>
      </c>
      <c r="T190" s="328" t="str">
        <f t="shared" ca="1" si="18"/>
        <v>Liquidar</v>
      </c>
      <c r="U190" s="328">
        <f>VLOOKUP(B190,'Base de Datos'!$E$7:$AR$401,38,0)</f>
        <v>41962</v>
      </c>
    </row>
    <row r="191" spans="1:21" ht="23.25" customHeight="1" thickTop="1" thickBot="1" x14ac:dyDescent="0.3">
      <c r="A191" s="108">
        <v>185</v>
      </c>
      <c r="B191" s="328" t="str">
        <f>+'Base de Datos'!E191</f>
        <v>140167-0-2014</v>
      </c>
      <c r="C191" s="328" t="str">
        <f>+'Base de Datos'!F191</f>
        <v>EDGARDO ANDRÉS MALDONADO CORTES</v>
      </c>
      <c r="D191" s="329">
        <f>+'Base de Datos'!I191</f>
        <v>51500000</v>
      </c>
      <c r="E191" s="330">
        <f>+'Base de Datos'!M191</f>
        <v>41694</v>
      </c>
      <c r="F191" s="330">
        <f>+'Base de Datos'!N191</f>
        <v>41996</v>
      </c>
      <c r="G191" s="330">
        <f>+'Base de Datos'!T191</f>
        <v>41887</v>
      </c>
      <c r="H191" s="329">
        <f>+'Base de Datos'!U191</f>
        <v>51500000</v>
      </c>
      <c r="I191" s="331" t="str">
        <f>IF(VLOOKUP(B191,'Base de Datos'!$E$7:$S$303,11,0),"SI","NO")</f>
        <v>NO</v>
      </c>
      <c r="J191" s="332" t="str">
        <f t="shared" si="14"/>
        <v/>
      </c>
      <c r="K191" s="331" t="str">
        <f>IF(VLOOKUP(B191,'Base de Datos'!$E$7:$S$303,11,0),"SI","NO")</f>
        <v>NO</v>
      </c>
      <c r="L191" s="332" t="str">
        <f t="shared" si="15"/>
        <v/>
      </c>
      <c r="M191" s="332">
        <f>VLOOKUP(B191,'Base de Datos'!$E$7:$Z$303,21,0)</f>
        <v>0.63666666019417473</v>
      </c>
      <c r="N191" s="394" t="str">
        <f t="shared" ca="1" si="19"/>
        <v/>
      </c>
      <c r="O191" s="332">
        <f ca="1">VLOOKUP(B191,'Base de Datos'!$E$7:$Z$303,22,0)</f>
        <v>1</v>
      </c>
      <c r="P191" s="393">
        <f t="shared" ca="1" si="16"/>
        <v>1231</v>
      </c>
      <c r="Q191" s="406">
        <f t="shared" ca="1" si="20"/>
        <v>10.258333333333333</v>
      </c>
      <c r="R191" s="328" t="str">
        <f ca="1">VLOOKUP(B191,'Base de Datos'!E191:AR502,33,0)</f>
        <v>TERMINO</v>
      </c>
      <c r="S191" s="331" t="str">
        <f t="shared" ca="1" si="17"/>
        <v>NO</v>
      </c>
      <c r="T191" s="328" t="str">
        <f t="shared" ca="1" si="18"/>
        <v>Liquidar</v>
      </c>
      <c r="U191" s="328">
        <f>VLOOKUP(B191,'Base de Datos'!$E$7:$AR$401,38,0)</f>
        <v>0</v>
      </c>
    </row>
    <row r="192" spans="1:21" ht="23.25" customHeight="1" thickTop="1" thickBot="1" x14ac:dyDescent="0.3">
      <c r="A192" s="108">
        <v>186</v>
      </c>
      <c r="B192" s="328" t="str">
        <f>+'Base de Datos'!E192</f>
        <v>140168-0-2014</v>
      </c>
      <c r="C192" s="328" t="str">
        <f>+'Base de Datos'!F192</f>
        <v>JORGE LUIS TRUJILLO VERA</v>
      </c>
      <c r="D192" s="329">
        <f>+'Base de Datos'!I192</f>
        <v>16500000</v>
      </c>
      <c r="E192" s="330">
        <f>+'Base de Datos'!M192</f>
        <v>41675</v>
      </c>
      <c r="F192" s="330">
        <f>+'Base de Datos'!N192</f>
        <v>42008</v>
      </c>
      <c r="G192" s="330">
        <f>+'Base de Datos'!T192</f>
        <v>42008</v>
      </c>
      <c r="H192" s="329">
        <f>+'Base de Datos'!U192</f>
        <v>16500000</v>
      </c>
      <c r="I192" s="331" t="str">
        <f>IF(VLOOKUP(B192,'Base de Datos'!$E$7:$S$303,11,0),"SI","NO")</f>
        <v>NO</v>
      </c>
      <c r="J192" s="332" t="str">
        <f t="shared" si="14"/>
        <v/>
      </c>
      <c r="K192" s="331" t="str">
        <f>IF(VLOOKUP(B192,'Base de Datos'!$E$7:$S$303,11,0),"SI","NO")</f>
        <v>NO</v>
      </c>
      <c r="L192" s="332" t="str">
        <f t="shared" si="15"/>
        <v/>
      </c>
      <c r="M192" s="332">
        <f>VLOOKUP(B192,'Base de Datos'!$E$7:$Z$303,21,0)</f>
        <v>0.62424242424242427</v>
      </c>
      <c r="N192" s="394" t="str">
        <f t="shared" ca="1" si="19"/>
        <v/>
      </c>
      <c r="O192" s="332">
        <f ca="1">VLOOKUP(B192,'Base de Datos'!$E$7:$Z$303,22,0)</f>
        <v>1</v>
      </c>
      <c r="P192" s="393">
        <f t="shared" ca="1" si="16"/>
        <v>1110</v>
      </c>
      <c r="Q192" s="406">
        <f t="shared" ca="1" si="20"/>
        <v>9.25</v>
      </c>
      <c r="R192" s="328" t="str">
        <f ca="1">VLOOKUP(B192,'Base de Datos'!E192:AR503,33,0)</f>
        <v>TERMINO</v>
      </c>
      <c r="S192" s="331" t="str">
        <f t="shared" ca="1" si="17"/>
        <v>NO</v>
      </c>
      <c r="T192" s="328" t="str">
        <f t="shared" ca="1" si="18"/>
        <v>Liquidar</v>
      </c>
      <c r="U192" s="328">
        <f>VLOOKUP(B192,'Base de Datos'!$E$7:$AR$401,38,0)</f>
        <v>0</v>
      </c>
    </row>
    <row r="193" spans="1:21" ht="23.25" customHeight="1" thickTop="1" thickBot="1" x14ac:dyDescent="0.3">
      <c r="A193" s="108">
        <v>187</v>
      </c>
      <c r="B193" s="328" t="str">
        <f>+'Base de Datos'!E193</f>
        <v>140169-0-2014</v>
      </c>
      <c r="C193" s="328" t="str">
        <f>+'Base de Datos'!F193</f>
        <v>MATILDE NIETO CONTRERAS (Cesionaria) / antes ELIS ALEXANDER MORENO SALAMANCA</v>
      </c>
      <c r="D193" s="329">
        <f>+'Base de Datos'!I193</f>
        <v>51500000</v>
      </c>
      <c r="E193" s="330">
        <f>+'Base de Datos'!M193</f>
        <v>41677</v>
      </c>
      <c r="F193" s="330">
        <f>+'Base de Datos'!N193</f>
        <v>41979</v>
      </c>
      <c r="G193" s="330">
        <f>+'Base de Datos'!T193</f>
        <v>42006</v>
      </c>
      <c r="H193" s="329">
        <f>+'Base de Datos'!U193</f>
        <v>61800000</v>
      </c>
      <c r="I193" s="331" t="str">
        <f>IF(VLOOKUP(B193,'Base de Datos'!$E$7:$S$303,11,0),"SI","NO")</f>
        <v>SI</v>
      </c>
      <c r="J193" s="332">
        <f t="shared" si="14"/>
        <v>8.9403973509933773E-2</v>
      </c>
      <c r="K193" s="331" t="str">
        <f>IF(VLOOKUP(B193,'Base de Datos'!$E$7:$S$303,11,0),"SI","NO")</f>
        <v>SI</v>
      </c>
      <c r="L193" s="332">
        <f t="shared" si="15"/>
        <v>0.2</v>
      </c>
      <c r="M193" s="332">
        <f>VLOOKUP(B193,'Base de Datos'!$E$7:$Z$303,21,0)</f>
        <v>0.88888888349514561</v>
      </c>
      <c r="N193" s="394" t="str">
        <f t="shared" ca="1" si="19"/>
        <v/>
      </c>
      <c r="O193" s="332">
        <f ca="1">VLOOKUP(B193,'Base de Datos'!$E$7:$Z$303,22,0)</f>
        <v>1</v>
      </c>
      <c r="P193" s="393">
        <f t="shared" ca="1" si="16"/>
        <v>1112</v>
      </c>
      <c r="Q193" s="406">
        <f t="shared" ca="1" si="20"/>
        <v>9.2666666666666675</v>
      </c>
      <c r="R193" s="328" t="str">
        <f ca="1">VLOOKUP(B193,'Base de Datos'!E193:AR504,33,0)</f>
        <v>TERMINO</v>
      </c>
      <c r="S193" s="331" t="str">
        <f t="shared" ca="1" si="17"/>
        <v>NO</v>
      </c>
      <c r="T193" s="328" t="str">
        <f t="shared" ca="1" si="18"/>
        <v>Liquidar</v>
      </c>
      <c r="U193" s="328">
        <f>VLOOKUP(B193,'Base de Datos'!$E$7:$AR$401,38,0)</f>
        <v>0</v>
      </c>
    </row>
    <row r="194" spans="1:21" ht="23.25" customHeight="1" thickTop="1" thickBot="1" x14ac:dyDescent="0.3">
      <c r="A194" s="108">
        <v>188</v>
      </c>
      <c r="B194" s="328" t="str">
        <f>+'Base de Datos'!E194</f>
        <v>140171-0-2014</v>
      </c>
      <c r="C194" s="328" t="str">
        <f>+'Base de Datos'!F194</f>
        <v>INGEAL S.A.</v>
      </c>
      <c r="D194" s="329">
        <f>+'Base de Datos'!I194</f>
        <v>340808000</v>
      </c>
      <c r="E194" s="330">
        <f>+'Base de Datos'!M194</f>
        <v>41704</v>
      </c>
      <c r="F194" s="330">
        <f>+'Base de Datos'!N194</f>
        <v>41748</v>
      </c>
      <c r="G194" s="330">
        <f>+'Base de Datos'!T194</f>
        <v>41748</v>
      </c>
      <c r="H194" s="329">
        <f>+'Base de Datos'!U194</f>
        <v>340808000</v>
      </c>
      <c r="I194" s="331" t="str">
        <f>IF(VLOOKUP(B194,'Base de Datos'!$E$7:$S$303,11,0),"SI","NO")</f>
        <v>NO</v>
      </c>
      <c r="J194" s="332" t="str">
        <f t="shared" si="14"/>
        <v/>
      </c>
      <c r="K194" s="331" t="str">
        <f>IF(VLOOKUP(B194,'Base de Datos'!$E$7:$S$303,11,0),"SI","NO")</f>
        <v>NO</v>
      </c>
      <c r="L194" s="332" t="str">
        <f t="shared" si="15"/>
        <v/>
      </c>
      <c r="M194" s="332">
        <f>VLOOKUP(B194,'Base de Datos'!$E$7:$Z$303,21,0)</f>
        <v>1</v>
      </c>
      <c r="N194" s="394" t="str">
        <f t="shared" ca="1" si="19"/>
        <v/>
      </c>
      <c r="O194" s="332">
        <f ca="1">VLOOKUP(B194,'Base de Datos'!$E$7:$Z$303,22,0)</f>
        <v>1</v>
      </c>
      <c r="P194" s="393">
        <f t="shared" ca="1" si="16"/>
        <v>1370</v>
      </c>
      <c r="Q194" s="406">
        <f t="shared" ca="1" si="20"/>
        <v>11.416666666666666</v>
      </c>
      <c r="R194" s="328" t="str">
        <f ca="1">VLOOKUP(B194,'Base de Datos'!E194:AR505,33,0)</f>
        <v>TERMINO</v>
      </c>
      <c r="S194" s="331" t="str">
        <f t="shared" ca="1" si="17"/>
        <v>NO</v>
      </c>
      <c r="T194" s="328" t="str">
        <f t="shared" ca="1" si="18"/>
        <v>Liquidar</v>
      </c>
      <c r="U194" s="328">
        <f>VLOOKUP(B194,'Base de Datos'!$E$7:$AR$401,38,0)</f>
        <v>0</v>
      </c>
    </row>
    <row r="195" spans="1:21" ht="23.25" customHeight="1" thickTop="1" thickBot="1" x14ac:dyDescent="0.3">
      <c r="A195" s="108">
        <v>189</v>
      </c>
      <c r="B195" s="328" t="str">
        <f>+'Base de Datos'!E195</f>
        <v>140172-0-2014</v>
      </c>
      <c r="C195" s="328" t="str">
        <f>+'Base de Datos'!F195</f>
        <v>SONA GREEN TECHNOLOGIES SAS</v>
      </c>
      <c r="D195" s="329">
        <f>+'Base de Datos'!I195</f>
        <v>28900000</v>
      </c>
      <c r="E195" s="330">
        <f>+'Base de Datos'!M195</f>
        <v>41704</v>
      </c>
      <c r="F195" s="330">
        <f>+'Base de Datos'!N195</f>
        <v>41748</v>
      </c>
      <c r="G195" s="330">
        <f>+'Base de Datos'!T195</f>
        <v>41748</v>
      </c>
      <c r="H195" s="329">
        <f>+'Base de Datos'!U195</f>
        <v>28900000</v>
      </c>
      <c r="I195" s="331" t="str">
        <f>IF(VLOOKUP(B195,'Base de Datos'!$E$7:$S$303,11,0),"SI","NO")</f>
        <v>NO</v>
      </c>
      <c r="J195" s="332" t="str">
        <f t="shared" si="14"/>
        <v/>
      </c>
      <c r="K195" s="331" t="str">
        <f>IF(VLOOKUP(B195,'Base de Datos'!$E$7:$S$303,11,0),"SI","NO")</f>
        <v>NO</v>
      </c>
      <c r="L195" s="332" t="str">
        <f t="shared" si="15"/>
        <v/>
      </c>
      <c r="M195" s="332">
        <f>VLOOKUP(B195,'Base de Datos'!$E$7:$Z$303,21,0)</f>
        <v>1</v>
      </c>
      <c r="N195" s="394" t="str">
        <f t="shared" ca="1" si="19"/>
        <v/>
      </c>
      <c r="O195" s="332">
        <f ca="1">VLOOKUP(B195,'Base de Datos'!$E$7:$Z$303,22,0)</f>
        <v>1</v>
      </c>
      <c r="P195" s="393">
        <f t="shared" ca="1" si="16"/>
        <v>1370</v>
      </c>
      <c r="Q195" s="406">
        <f t="shared" ca="1" si="20"/>
        <v>11.416666666666666</v>
      </c>
      <c r="R195" s="328" t="str">
        <f ca="1">VLOOKUP(B195,'Base de Datos'!E195:AR506,33,0)</f>
        <v>TERMINO</v>
      </c>
      <c r="S195" s="331" t="str">
        <f t="shared" ca="1" si="17"/>
        <v>NO</v>
      </c>
      <c r="T195" s="328" t="str">
        <f t="shared" ca="1" si="18"/>
        <v>Liquidar</v>
      </c>
      <c r="U195" s="328">
        <f>VLOOKUP(B195,'Base de Datos'!$E$7:$AR$401,38,0)</f>
        <v>42094</v>
      </c>
    </row>
    <row r="196" spans="1:21" ht="23.25" customHeight="1" thickTop="1" thickBot="1" x14ac:dyDescent="0.3">
      <c r="A196" s="108">
        <v>190</v>
      </c>
      <c r="B196" s="328" t="str">
        <f>+'Base de Datos'!E196</f>
        <v>140173-0-2014</v>
      </c>
      <c r="C196" s="328" t="str">
        <f>+'Base de Datos'!F196</f>
        <v>K 10 DESIGN   S.A.S</v>
      </c>
      <c r="D196" s="329">
        <f>+'Base de Datos'!I196</f>
        <v>248000000</v>
      </c>
      <c r="E196" s="330">
        <f>+'Base de Datos'!M196</f>
        <v>41708</v>
      </c>
      <c r="F196" s="330">
        <f>+'Base de Datos'!N196</f>
        <v>41738</v>
      </c>
      <c r="G196" s="330">
        <f>+'Base de Datos'!T196</f>
        <v>41738</v>
      </c>
      <c r="H196" s="329">
        <f>+'Base de Datos'!U196</f>
        <v>325128875</v>
      </c>
      <c r="I196" s="331" t="str">
        <f>IF(VLOOKUP(B196,'Base de Datos'!$E$7:$S$303,11,0),"SI","NO")</f>
        <v>SI</v>
      </c>
      <c r="J196" s="332">
        <f t="shared" si="14"/>
        <v>0</v>
      </c>
      <c r="K196" s="331" t="str">
        <f>IF(VLOOKUP(B196,'Base de Datos'!$E$7:$S$303,11,0),"SI","NO")</f>
        <v>SI</v>
      </c>
      <c r="L196" s="332">
        <f t="shared" si="15"/>
        <v>0.31100352822580646</v>
      </c>
      <c r="M196" s="332">
        <f>VLOOKUP(B196,'Base de Datos'!$E$7:$Z$303,21,0)</f>
        <v>0.99969112863322274</v>
      </c>
      <c r="N196" s="394" t="str">
        <f t="shared" ca="1" si="19"/>
        <v/>
      </c>
      <c r="O196" s="332">
        <f ca="1">VLOOKUP(B196,'Base de Datos'!$E$7:$Z$303,22,0)</f>
        <v>1</v>
      </c>
      <c r="P196" s="393">
        <f t="shared" ca="1" si="16"/>
        <v>1380</v>
      </c>
      <c r="Q196" s="406">
        <f t="shared" ca="1" si="20"/>
        <v>11.5</v>
      </c>
      <c r="R196" s="328" t="str">
        <f ca="1">VLOOKUP(B196,'Base de Datos'!E196:AR507,33,0)</f>
        <v>TERMINO</v>
      </c>
      <c r="S196" s="331" t="str">
        <f t="shared" ca="1" si="17"/>
        <v>NO</v>
      </c>
      <c r="T196" s="328" t="str">
        <f t="shared" ca="1" si="18"/>
        <v>Liquidar</v>
      </c>
      <c r="U196" s="328">
        <f>VLOOKUP(B196,'Base de Datos'!$E$7:$AR$401,38,0)</f>
        <v>42003</v>
      </c>
    </row>
    <row r="197" spans="1:21" ht="23.25" customHeight="1" thickTop="1" thickBot="1" x14ac:dyDescent="0.3">
      <c r="A197" s="108">
        <v>191</v>
      </c>
      <c r="B197" s="328" t="str">
        <f>+'Base de Datos'!E197</f>
        <v>140176-0-2014</v>
      </c>
      <c r="C197" s="328" t="str">
        <f>+'Base de Datos'!F197</f>
        <v>AGR SOLUCIONES S.A.S.</v>
      </c>
      <c r="D197" s="329">
        <f>+'Base de Datos'!I197</f>
        <v>11000000</v>
      </c>
      <c r="E197" s="330">
        <f>+'Base de Datos'!M197</f>
        <v>41738</v>
      </c>
      <c r="F197" s="330">
        <f>+'Base de Datos'!N197</f>
        <v>42012</v>
      </c>
      <c r="G197" s="330">
        <f>+'Base de Datos'!T197</f>
        <v>42012</v>
      </c>
      <c r="H197" s="329">
        <f>+'Base de Datos'!U197</f>
        <v>11000000</v>
      </c>
      <c r="I197" s="331" t="str">
        <f>IF(VLOOKUP(B197,'Base de Datos'!$E$7:$S$303,11,0),"SI","NO")</f>
        <v>NO</v>
      </c>
      <c r="J197" s="332" t="str">
        <f t="shared" si="14"/>
        <v/>
      </c>
      <c r="K197" s="331" t="str">
        <f>IF(VLOOKUP(B197,'Base de Datos'!$E$7:$S$303,11,0),"SI","NO")</f>
        <v>NO</v>
      </c>
      <c r="L197" s="332" t="str">
        <f t="shared" si="15"/>
        <v/>
      </c>
      <c r="M197" s="332">
        <f>VLOOKUP(B197,'Base de Datos'!$E$7:$Z$303,21,0)</f>
        <v>0.24295145454545455</v>
      </c>
      <c r="N197" s="394" t="str">
        <f t="shared" ca="1" si="19"/>
        <v/>
      </c>
      <c r="O197" s="332">
        <f ca="1">VLOOKUP(B197,'Base de Datos'!$E$7:$Z$303,22,0)</f>
        <v>1</v>
      </c>
      <c r="P197" s="393">
        <f t="shared" ca="1" si="16"/>
        <v>1106</v>
      </c>
      <c r="Q197" s="406">
        <f t="shared" ca="1" si="20"/>
        <v>9.2166666666666668</v>
      </c>
      <c r="R197" s="328" t="str">
        <f ca="1">VLOOKUP(B197,'Base de Datos'!E197:AR508,33,0)</f>
        <v>TERMINO</v>
      </c>
      <c r="S197" s="331" t="str">
        <f t="shared" ca="1" si="17"/>
        <v>NO</v>
      </c>
      <c r="T197" s="328" t="str">
        <f t="shared" ca="1" si="18"/>
        <v>Liquidar</v>
      </c>
      <c r="U197" s="328">
        <f>VLOOKUP(B197,'Base de Datos'!$E$7:$AR$401,38,0)</f>
        <v>42290</v>
      </c>
    </row>
    <row r="198" spans="1:21" ht="23.25" customHeight="1" thickTop="1" thickBot="1" x14ac:dyDescent="0.3">
      <c r="A198" s="108">
        <v>192</v>
      </c>
      <c r="B198" s="328" t="str">
        <f>+'Base de Datos'!E198</f>
        <v>140178-0-2014</v>
      </c>
      <c r="C198" s="328" t="str">
        <f>+'Base de Datos'!F198</f>
        <v>DIRECTV COLOMBIA LTDA</v>
      </c>
      <c r="D198" s="329">
        <f>+'Base de Datos'!I198</f>
        <v>1325400</v>
      </c>
      <c r="E198" s="330">
        <f>+'Base de Datos'!M198</f>
        <v>41738</v>
      </c>
      <c r="F198" s="330">
        <f>+'Base de Datos'!N198</f>
        <v>42102</v>
      </c>
      <c r="G198" s="330">
        <f>+'Base de Datos'!T198</f>
        <v>42102</v>
      </c>
      <c r="H198" s="329">
        <f>+'Base de Datos'!U198</f>
        <v>1607400</v>
      </c>
      <c r="I198" s="331" t="str">
        <f>IF(VLOOKUP(B198,'Base de Datos'!$E$7:$S$303,11,0),"SI","NO")</f>
        <v>SI</v>
      </c>
      <c r="J198" s="332">
        <f t="shared" si="14"/>
        <v>0</v>
      </c>
      <c r="K198" s="331" t="str">
        <f>IF(VLOOKUP(B198,'Base de Datos'!$E$7:$S$303,11,0),"SI","NO")</f>
        <v>SI</v>
      </c>
      <c r="L198" s="332">
        <f t="shared" si="15"/>
        <v>0.21276595744680851</v>
      </c>
      <c r="M198" s="332">
        <f>VLOOKUP(B198,'Base de Datos'!$E$7:$Z$303,21,0)</f>
        <v>0</v>
      </c>
      <c r="N198" s="394" t="str">
        <f t="shared" ca="1" si="19"/>
        <v/>
      </c>
      <c r="O198" s="332">
        <f ca="1">VLOOKUP(B198,'Base de Datos'!$E$7:$Z$303,22,0)</f>
        <v>1</v>
      </c>
      <c r="P198" s="393">
        <f t="shared" ca="1" si="16"/>
        <v>1016</v>
      </c>
      <c r="Q198" s="406">
        <f t="shared" ca="1" si="20"/>
        <v>8.4666666666666668</v>
      </c>
      <c r="R198" s="328" t="str">
        <f ca="1">VLOOKUP(B198,'Base de Datos'!E198:AR509,33,0)</f>
        <v>TERMINO</v>
      </c>
      <c r="S198" s="331" t="str">
        <f t="shared" ca="1" si="17"/>
        <v>NO</v>
      </c>
      <c r="T198" s="328" t="str">
        <f t="shared" ca="1" si="18"/>
        <v>Liquidar</v>
      </c>
      <c r="U198" s="328">
        <f>VLOOKUP(B198,'Base de Datos'!$E$7:$AR$401,38,0)</f>
        <v>42304</v>
      </c>
    </row>
    <row r="199" spans="1:21" ht="23.25" customHeight="1" thickTop="1" thickBot="1" x14ac:dyDescent="0.3">
      <c r="A199" s="108">
        <v>193</v>
      </c>
      <c r="B199" s="328" t="str">
        <f>+'Base de Datos'!E199</f>
        <v>140179-0-2014</v>
      </c>
      <c r="C199" s="328" t="str">
        <f>+'Base de Datos'!F199</f>
        <v>SYSTEM NET INGENIERÍA LTDA</v>
      </c>
      <c r="D199" s="329">
        <f>+'Base de Datos'!I199</f>
        <v>4982000</v>
      </c>
      <c r="E199" s="330">
        <f>+'Base de Datos'!M199</f>
        <v>41725</v>
      </c>
      <c r="F199" s="330">
        <f>+'Base de Datos'!N199</f>
        <v>41969</v>
      </c>
      <c r="G199" s="330">
        <f>+'Base de Datos'!T199</f>
        <v>41969</v>
      </c>
      <c r="H199" s="329">
        <f>+'Base de Datos'!U199</f>
        <v>4982000</v>
      </c>
      <c r="I199" s="331" t="str">
        <f>IF(VLOOKUP(B199,'Base de Datos'!$E$7:$S$303,11,0),"SI","NO")</f>
        <v>NO</v>
      </c>
      <c r="J199" s="332" t="str">
        <f t="shared" ref="J199:J262" si="21">IF(I199=$AB$7,((G199-F199)*100%)/(F199-E199),"")</f>
        <v/>
      </c>
      <c r="K199" s="331" t="str">
        <f>IF(VLOOKUP(B199,'Base de Datos'!$E$7:$S$303,11,0),"SI","NO")</f>
        <v>NO</v>
      </c>
      <c r="L199" s="332" t="str">
        <f t="shared" ref="L199:L262" si="22">IF(K199=$AB$7,((H199-D199)*100%)/(D199),"")</f>
        <v/>
      </c>
      <c r="M199" s="332">
        <f>VLOOKUP(B199,'Base de Datos'!$E$7:$Z$303,21,0)</f>
        <v>0.56844640706543559</v>
      </c>
      <c r="N199" s="394" t="str">
        <f t="shared" ca="1" si="19"/>
        <v/>
      </c>
      <c r="O199" s="332">
        <f ca="1">VLOOKUP(B199,'Base de Datos'!$E$7:$Z$303,22,0)</f>
        <v>1</v>
      </c>
      <c r="P199" s="393">
        <f t="shared" ref="P199:P262" ca="1" si="23">IF(R199=$AC$7,"",IFERROR(IF(R199=$AC$8,"",($C$5-G199)),""))</f>
        <v>1149</v>
      </c>
      <c r="Q199" s="406">
        <f t="shared" ca="1" si="20"/>
        <v>9.5749999999999993</v>
      </c>
      <c r="R199" s="328" t="str">
        <f ca="1">VLOOKUP(B199,'Base de Datos'!E199:AR510,33,0)</f>
        <v>TERMINO</v>
      </c>
      <c r="S199" s="331" t="str">
        <f t="shared" ref="S199:S262" ca="1" si="24">IF((TODAY()-G199&lt;900),"SI","NO")</f>
        <v>NO</v>
      </c>
      <c r="T199" s="328" t="str">
        <f t="shared" ref="T199:T262" ca="1" si="25">IF(R199=$AC$8,"",IF(O199=100%,"Liquidar",IF(R199=$AC$7,"Supervisar","")))</f>
        <v>Liquidar</v>
      </c>
      <c r="U199" s="328">
        <f>VLOOKUP(B199,'Base de Datos'!$E$7:$AR$401,38,0)</f>
        <v>42277</v>
      </c>
    </row>
    <row r="200" spans="1:21" ht="23.25" customHeight="1" thickTop="1" thickBot="1" x14ac:dyDescent="0.3">
      <c r="A200" s="108">
        <v>194</v>
      </c>
      <c r="B200" s="328" t="str">
        <f>+'Base de Datos'!E200</f>
        <v>140181-0-2014</v>
      </c>
      <c r="C200" s="328" t="str">
        <f>+'Base de Datos'!F200</f>
        <v>MODULARES OFIMA LTDA</v>
      </c>
      <c r="D200" s="329">
        <f>+'Base de Datos'!I200</f>
        <v>28000000</v>
      </c>
      <c r="E200" s="330">
        <f>+'Base de Datos'!M200</f>
        <v>41738</v>
      </c>
      <c r="F200" s="330">
        <f>+'Base de Datos'!N200</f>
        <v>41951</v>
      </c>
      <c r="G200" s="330">
        <f>+'Base de Datos'!T200</f>
        <v>41951</v>
      </c>
      <c r="H200" s="329">
        <f>+'Base de Datos'!U200</f>
        <v>28000000</v>
      </c>
      <c r="I200" s="331" t="str">
        <f>IF(VLOOKUP(B200,'Base de Datos'!$E$7:$S$303,11,0),"SI","NO")</f>
        <v>NO</v>
      </c>
      <c r="J200" s="332" t="str">
        <f t="shared" si="21"/>
        <v/>
      </c>
      <c r="K200" s="331" t="str">
        <f>IF(VLOOKUP(B200,'Base de Datos'!$E$7:$S$303,11,0),"SI","NO")</f>
        <v>NO</v>
      </c>
      <c r="L200" s="332" t="str">
        <f t="shared" si="22"/>
        <v/>
      </c>
      <c r="M200" s="332">
        <f>VLOOKUP(B200,'Base de Datos'!$E$7:$Z$303,21,0)</f>
        <v>0.39207999999999998</v>
      </c>
      <c r="N200" s="394" t="str">
        <f t="shared" ref="N200:N263" ca="1" si="26">IF(G200&lt;TODAY(),"",G200-TODAY())</f>
        <v/>
      </c>
      <c r="O200" s="332">
        <f ca="1">VLOOKUP(B200,'Base de Datos'!$E$7:$Z$303,22,0)</f>
        <v>1</v>
      </c>
      <c r="P200" s="393">
        <f t="shared" ca="1" si="23"/>
        <v>1167</v>
      </c>
      <c r="Q200" s="406">
        <f t="shared" ref="Q200:Q263" ca="1" si="27">IF(P200=0,"",(P200*100%)/120)</f>
        <v>9.7249999999999996</v>
      </c>
      <c r="R200" s="328" t="str">
        <f ca="1">VLOOKUP(B200,'Base de Datos'!E200:AR511,33,0)</f>
        <v>TERMINO</v>
      </c>
      <c r="S200" s="331" t="str">
        <f t="shared" ca="1" si="24"/>
        <v>NO</v>
      </c>
      <c r="T200" s="328" t="str">
        <f t="shared" ca="1" si="25"/>
        <v>Liquidar</v>
      </c>
      <c r="U200" s="328">
        <f>VLOOKUP(B200,'Base de Datos'!$E$7:$AR$401,38,0)</f>
        <v>42242</v>
      </c>
    </row>
    <row r="201" spans="1:21" ht="23.25" customHeight="1" thickTop="1" thickBot="1" x14ac:dyDescent="0.3">
      <c r="A201" s="108">
        <v>195</v>
      </c>
      <c r="B201" s="328" t="str">
        <f>+'Base de Datos'!E201</f>
        <v>140186-0-2014</v>
      </c>
      <c r="C201" s="328" t="str">
        <f>+'Base de Datos'!F201</f>
        <v>SECURITYCOM S.A.S</v>
      </c>
      <c r="D201" s="329">
        <f>+'Base de Datos'!I201</f>
        <v>2122000</v>
      </c>
      <c r="E201" s="330">
        <f>+'Base de Datos'!M201</f>
        <v>41752</v>
      </c>
      <c r="F201" s="330">
        <f>+'Base de Datos'!N201</f>
        <v>42116</v>
      </c>
      <c r="G201" s="330">
        <f>+'Base de Datos'!T201</f>
        <v>42116</v>
      </c>
      <c r="H201" s="329">
        <f>+'Base de Datos'!U201</f>
        <v>2122000</v>
      </c>
      <c r="I201" s="331" t="str">
        <f>IF(VLOOKUP(B201,'Base de Datos'!$E$7:$S$303,11,0),"SI","NO")</f>
        <v>NO</v>
      </c>
      <c r="J201" s="332" t="str">
        <f t="shared" si="21"/>
        <v/>
      </c>
      <c r="K201" s="331" t="str">
        <f>IF(VLOOKUP(B201,'Base de Datos'!$E$7:$S$303,11,0),"SI","NO")</f>
        <v>NO</v>
      </c>
      <c r="L201" s="332" t="str">
        <f t="shared" si="22"/>
        <v/>
      </c>
      <c r="M201" s="332">
        <f>VLOOKUP(B201,'Base de Datos'!$E$7:$Z$303,21,0)</f>
        <v>1</v>
      </c>
      <c r="N201" s="394" t="str">
        <f t="shared" ca="1" si="26"/>
        <v/>
      </c>
      <c r="O201" s="332">
        <f ca="1">VLOOKUP(B201,'Base de Datos'!$E$7:$Z$303,22,0)</f>
        <v>1</v>
      </c>
      <c r="P201" s="393">
        <f t="shared" ca="1" si="23"/>
        <v>1002</v>
      </c>
      <c r="Q201" s="406">
        <f t="shared" ca="1" si="27"/>
        <v>8.35</v>
      </c>
      <c r="R201" s="328" t="str">
        <f ca="1">VLOOKUP(B201,'Base de Datos'!E201:AR512,33,0)</f>
        <v>TERMINO</v>
      </c>
      <c r="S201" s="331" t="str">
        <f t="shared" ca="1" si="24"/>
        <v>NO</v>
      </c>
      <c r="T201" s="328" t="str">
        <f t="shared" ca="1" si="25"/>
        <v>Liquidar</v>
      </c>
      <c r="U201" s="328">
        <f>VLOOKUP(B201,'Base de Datos'!$E$7:$AR$401,38,0)</f>
        <v>0</v>
      </c>
    </row>
    <row r="202" spans="1:21" ht="23.25" customHeight="1" thickTop="1" thickBot="1" x14ac:dyDescent="0.3">
      <c r="A202" s="108">
        <v>196</v>
      </c>
      <c r="B202" s="328" t="str">
        <f>+'Base de Datos'!E202</f>
        <v>140188-0-2014</v>
      </c>
      <c r="C202" s="328" t="str">
        <f>+'Base de Datos'!F202</f>
        <v>HERNANDO  BULLA ORJUELA</v>
      </c>
      <c r="D202" s="329">
        <f>+'Base de Datos'!I202</f>
        <v>20872000</v>
      </c>
      <c r="E202" s="330">
        <f>+'Base de Datos'!M202</f>
        <v>41757</v>
      </c>
      <c r="F202" s="330">
        <f>+'Base de Datos'!N202</f>
        <v>42062</v>
      </c>
      <c r="G202" s="330">
        <f>+'Base de Datos'!T202</f>
        <v>42091</v>
      </c>
      <c r="H202" s="329">
        <f>+'Base de Datos'!U202</f>
        <v>31218000</v>
      </c>
      <c r="I202" s="331" t="str">
        <f>IF(VLOOKUP(B202,'Base de Datos'!$E$7:$S$303,11,0),"SI","NO")</f>
        <v>SI</v>
      </c>
      <c r="J202" s="332">
        <f t="shared" si="21"/>
        <v>9.5081967213114751E-2</v>
      </c>
      <c r="K202" s="331" t="str">
        <f>IF(VLOOKUP(B202,'Base de Datos'!$E$7:$S$303,11,0),"SI","NO")</f>
        <v>SI</v>
      </c>
      <c r="L202" s="332">
        <f t="shared" si="22"/>
        <v>0.49568800306630895</v>
      </c>
      <c r="M202" s="332">
        <f>VLOOKUP(B202,'Base de Datos'!$E$7:$Z$303,21,0)</f>
        <v>0.9472556537894804</v>
      </c>
      <c r="N202" s="394" t="str">
        <f t="shared" ca="1" si="26"/>
        <v/>
      </c>
      <c r="O202" s="332">
        <f ca="1">VLOOKUP(B202,'Base de Datos'!$E$7:$Z$303,22,0)</f>
        <v>1</v>
      </c>
      <c r="P202" s="393">
        <f t="shared" ca="1" si="23"/>
        <v>1027</v>
      </c>
      <c r="Q202" s="406">
        <f t="shared" ca="1" si="27"/>
        <v>8.5583333333333336</v>
      </c>
      <c r="R202" s="328" t="str">
        <f ca="1">VLOOKUP(B202,'Base de Datos'!E202:AR513,33,0)</f>
        <v>TERMINO</v>
      </c>
      <c r="S202" s="331" t="str">
        <f t="shared" ca="1" si="24"/>
        <v>NO</v>
      </c>
      <c r="T202" s="328" t="str">
        <f t="shared" ca="1" si="25"/>
        <v>Liquidar</v>
      </c>
      <c r="U202" s="328">
        <f>VLOOKUP(B202,'Base de Datos'!$E$7:$AR$401,38,0)</f>
        <v>42240</v>
      </c>
    </row>
    <row r="203" spans="1:21" ht="23.25" customHeight="1" thickTop="1" thickBot="1" x14ac:dyDescent="0.3">
      <c r="A203" s="108">
        <v>197</v>
      </c>
      <c r="B203" s="328" t="str">
        <f>+'Base de Datos'!E203</f>
        <v>140190-0-2014</v>
      </c>
      <c r="C203" s="328" t="str">
        <f>+'Base de Datos'!F203</f>
        <v>GAMMA INGENIEROS S A</v>
      </c>
      <c r="D203" s="329">
        <f>+'Base de Datos'!I203</f>
        <v>12145200</v>
      </c>
      <c r="E203" s="330">
        <f>+'Base de Datos'!M203</f>
        <v>41764</v>
      </c>
      <c r="F203" s="330">
        <f>+'Base de Datos'!N203</f>
        <v>41901</v>
      </c>
      <c r="G203" s="330">
        <f>+'Base de Datos'!T203</f>
        <v>41901</v>
      </c>
      <c r="H203" s="329">
        <f>+'Base de Datos'!U203</f>
        <v>18217800</v>
      </c>
      <c r="I203" s="331" t="str">
        <f>IF(VLOOKUP(B203,'Base de Datos'!$E$7:$S$303,11,0),"SI","NO")</f>
        <v>SI</v>
      </c>
      <c r="J203" s="332">
        <f t="shared" si="21"/>
        <v>0</v>
      </c>
      <c r="K203" s="331" t="str">
        <f>IF(VLOOKUP(B203,'Base de Datos'!$E$7:$S$303,11,0),"SI","NO")</f>
        <v>SI</v>
      </c>
      <c r="L203" s="332">
        <f t="shared" si="22"/>
        <v>0.5</v>
      </c>
      <c r="M203" s="332">
        <f>VLOOKUP(B203,'Base de Datos'!$E$7:$Z$303,21,0)</f>
        <v>1</v>
      </c>
      <c r="N203" s="394" t="str">
        <f t="shared" ca="1" si="26"/>
        <v/>
      </c>
      <c r="O203" s="332">
        <f ca="1">VLOOKUP(B203,'Base de Datos'!$E$7:$Z$303,22,0)</f>
        <v>1</v>
      </c>
      <c r="P203" s="393">
        <f t="shared" ca="1" si="23"/>
        <v>1217</v>
      </c>
      <c r="Q203" s="406">
        <f t="shared" ca="1" si="27"/>
        <v>10.141666666666667</v>
      </c>
      <c r="R203" s="328" t="str">
        <f ca="1">VLOOKUP(B203,'Base de Datos'!E203:AR514,33,0)</f>
        <v>TERMINO</v>
      </c>
      <c r="S203" s="331" t="str">
        <f t="shared" ca="1" si="24"/>
        <v>NO</v>
      </c>
      <c r="T203" s="328" t="str">
        <f t="shared" ca="1" si="25"/>
        <v>Liquidar</v>
      </c>
      <c r="U203" s="328">
        <f>VLOOKUP(B203,'Base de Datos'!$E$7:$AR$401,38,0)</f>
        <v>42023</v>
      </c>
    </row>
    <row r="204" spans="1:21" ht="23.25" customHeight="1" thickTop="1" thickBot="1" x14ac:dyDescent="0.3">
      <c r="A204" s="108">
        <v>198</v>
      </c>
      <c r="B204" s="328" t="str">
        <f>+'Base de Datos'!E204</f>
        <v>140191-0-2014</v>
      </c>
      <c r="C204" s="328" t="str">
        <f>+'Base de Datos'!F204</f>
        <v>KONNEN SERVICES    S.A.S</v>
      </c>
      <c r="D204" s="329">
        <f>+'Base de Datos'!I204</f>
        <v>1700007</v>
      </c>
      <c r="E204" s="330">
        <f>+'Base de Datos'!M204</f>
        <v>41757</v>
      </c>
      <c r="F204" s="330">
        <f>+'Base de Datos'!N204</f>
        <v>41817</v>
      </c>
      <c r="G204" s="330">
        <f>+'Base de Datos'!T204</f>
        <v>41817</v>
      </c>
      <c r="H204" s="329">
        <f>+'Base de Datos'!U204</f>
        <v>1700007</v>
      </c>
      <c r="I204" s="331" t="str">
        <f>IF(VLOOKUP(B204,'Base de Datos'!$E$7:$S$303,11,0),"SI","NO")</f>
        <v>NO</v>
      </c>
      <c r="J204" s="332" t="str">
        <f t="shared" si="21"/>
        <v/>
      </c>
      <c r="K204" s="331" t="str">
        <f>IF(VLOOKUP(B204,'Base de Datos'!$E$7:$S$303,11,0),"SI","NO")</f>
        <v>NO</v>
      </c>
      <c r="L204" s="332" t="str">
        <f t="shared" si="22"/>
        <v/>
      </c>
      <c r="M204" s="332">
        <f>VLOOKUP(B204,'Base de Datos'!$E$7:$Z$303,21,0)</f>
        <v>0.99999588236989612</v>
      </c>
      <c r="N204" s="394" t="str">
        <f t="shared" ca="1" si="26"/>
        <v/>
      </c>
      <c r="O204" s="332">
        <f ca="1">VLOOKUP(B204,'Base de Datos'!$E$7:$Z$303,22,0)</f>
        <v>1</v>
      </c>
      <c r="P204" s="393">
        <f t="shared" ca="1" si="23"/>
        <v>1301</v>
      </c>
      <c r="Q204" s="406">
        <f t="shared" ca="1" si="27"/>
        <v>10.841666666666667</v>
      </c>
      <c r="R204" s="328" t="str">
        <f ca="1">VLOOKUP(B204,'Base de Datos'!E204:AR515,33,0)</f>
        <v>TERMINO</v>
      </c>
      <c r="S204" s="331" t="str">
        <f t="shared" ca="1" si="24"/>
        <v>NO</v>
      </c>
      <c r="T204" s="328" t="str">
        <f t="shared" ca="1" si="25"/>
        <v>Liquidar</v>
      </c>
      <c r="U204" s="328">
        <f>VLOOKUP(B204,'Base de Datos'!$E$7:$AR$401,38,0)</f>
        <v>0</v>
      </c>
    </row>
    <row r="205" spans="1:21" ht="23.25" customHeight="1" thickTop="1" thickBot="1" x14ac:dyDescent="0.3">
      <c r="A205" s="108">
        <v>199</v>
      </c>
      <c r="B205" s="328" t="str">
        <f>+'Base de Datos'!E205</f>
        <v>140193-0-2014</v>
      </c>
      <c r="C205" s="328" t="str">
        <f>+'Base de Datos'!F205</f>
        <v>GRANADOS Y CONDECORACIONES</v>
      </c>
      <c r="D205" s="329">
        <f>+'Base de Datos'!I205</f>
        <v>32631000</v>
      </c>
      <c r="E205" s="330">
        <f>+'Base de Datos'!M205</f>
        <v>41753</v>
      </c>
      <c r="F205" s="330">
        <f>+'Base de Datos'!N205</f>
        <v>42117</v>
      </c>
      <c r="G205" s="330">
        <f>+'Base de Datos'!T205</f>
        <v>42117</v>
      </c>
      <c r="H205" s="329">
        <f>+'Base de Datos'!U205</f>
        <v>32631000</v>
      </c>
      <c r="I205" s="331" t="str">
        <f>IF(VLOOKUP(B205,'Base de Datos'!$E$7:$S$303,11,0),"SI","NO")</f>
        <v>NO</v>
      </c>
      <c r="J205" s="332" t="str">
        <f t="shared" si="21"/>
        <v/>
      </c>
      <c r="K205" s="331" t="str">
        <f>IF(VLOOKUP(B205,'Base de Datos'!$E$7:$S$303,11,0),"SI","NO")</f>
        <v>NO</v>
      </c>
      <c r="L205" s="332" t="str">
        <f t="shared" si="22"/>
        <v/>
      </c>
      <c r="M205" s="332">
        <f>VLOOKUP(B205,'Base de Datos'!$E$7:$Z$303,21,0)</f>
        <v>0.99888544635469334</v>
      </c>
      <c r="N205" s="394" t="str">
        <f t="shared" ca="1" si="26"/>
        <v/>
      </c>
      <c r="O205" s="332">
        <f ca="1">VLOOKUP(B205,'Base de Datos'!$E$7:$Z$303,22,0)</f>
        <v>1</v>
      </c>
      <c r="P205" s="393">
        <f t="shared" ca="1" si="23"/>
        <v>1001</v>
      </c>
      <c r="Q205" s="406">
        <f t="shared" ca="1" si="27"/>
        <v>8.3416666666666668</v>
      </c>
      <c r="R205" s="328" t="str">
        <f ca="1">VLOOKUP(B205,'Base de Datos'!E205:AR516,33,0)</f>
        <v>TERMINO</v>
      </c>
      <c r="S205" s="331" t="str">
        <f t="shared" ca="1" si="24"/>
        <v>NO</v>
      </c>
      <c r="T205" s="328" t="str">
        <f t="shared" ca="1" si="25"/>
        <v>Liquidar</v>
      </c>
      <c r="U205" s="328">
        <f>VLOOKUP(B205,'Base de Datos'!$E$7:$AR$401,38,0)</f>
        <v>0</v>
      </c>
    </row>
    <row r="206" spans="1:21" ht="23.25" customHeight="1" thickTop="1" thickBot="1" x14ac:dyDescent="0.3">
      <c r="A206" s="108">
        <v>200</v>
      </c>
      <c r="B206" s="328" t="str">
        <f>+'Base de Datos'!E206</f>
        <v>140198-0-2014</v>
      </c>
      <c r="C206" s="328" t="str">
        <f>+'Base de Datos'!F206</f>
        <v>A&amp;V EXPRESS S.A.</v>
      </c>
      <c r="D206" s="329">
        <f>+'Base de Datos'!I206</f>
        <v>40000000</v>
      </c>
      <c r="E206" s="330">
        <f>+'Base de Datos'!M206</f>
        <v>41807</v>
      </c>
      <c r="F206" s="330">
        <f>+'Base de Datos'!N206</f>
        <v>42051</v>
      </c>
      <c r="G206" s="330">
        <f>+'Base de Datos'!T206</f>
        <v>42128</v>
      </c>
      <c r="H206" s="329">
        <f>+'Base de Datos'!U206</f>
        <v>45100746</v>
      </c>
      <c r="I206" s="331" t="str">
        <f>IF(VLOOKUP(B206,'Base de Datos'!$E$7:$S$303,11,0),"SI","NO")</f>
        <v>SI</v>
      </c>
      <c r="J206" s="332">
        <f t="shared" si="21"/>
        <v>0.3155737704918033</v>
      </c>
      <c r="K206" s="331" t="str">
        <f>IF(VLOOKUP(B206,'Base de Datos'!$E$7:$S$303,11,0),"SI","NO")</f>
        <v>SI</v>
      </c>
      <c r="L206" s="332">
        <f t="shared" si="22"/>
        <v>0.12751865000000001</v>
      </c>
      <c r="M206" s="332">
        <f>VLOOKUP(B206,'Base de Datos'!$E$7:$Z$303,21,0)</f>
        <v>0.99876396723016514</v>
      </c>
      <c r="N206" s="394" t="str">
        <f t="shared" ca="1" si="26"/>
        <v/>
      </c>
      <c r="O206" s="332">
        <f ca="1">VLOOKUP(B206,'Base de Datos'!$E$7:$Z$303,22,0)</f>
        <v>1</v>
      </c>
      <c r="P206" s="393">
        <f t="shared" ca="1" si="23"/>
        <v>990</v>
      </c>
      <c r="Q206" s="406">
        <f t="shared" ca="1" si="27"/>
        <v>8.25</v>
      </c>
      <c r="R206" s="328" t="str">
        <f ca="1">VLOOKUP(B206,'Base de Datos'!E206:AR517,33,0)</f>
        <v>TERMINO</v>
      </c>
      <c r="S206" s="331" t="str">
        <f t="shared" ca="1" si="24"/>
        <v>NO</v>
      </c>
      <c r="T206" s="328" t="str">
        <f t="shared" ca="1" si="25"/>
        <v>Liquidar</v>
      </c>
      <c r="U206" s="328">
        <f>VLOOKUP(B206,'Base de Datos'!$E$7:$AR$401,38,0)</f>
        <v>0</v>
      </c>
    </row>
    <row r="207" spans="1:21" ht="23.25" customHeight="1" thickTop="1" thickBot="1" x14ac:dyDescent="0.3">
      <c r="A207" s="108">
        <v>201</v>
      </c>
      <c r="B207" s="328" t="str">
        <f>+'Base de Datos'!E207</f>
        <v>140200-0-2014</v>
      </c>
      <c r="C207" s="328" t="str">
        <f>+'Base de Datos'!F207</f>
        <v>UNIDAD NACIONAL DE PROTECCIÓN  UNP</v>
      </c>
      <c r="D207" s="329">
        <f>+'Base de Datos'!I207</f>
        <v>0</v>
      </c>
      <c r="E207" s="330">
        <f>+'Base de Datos'!M207</f>
        <v>0</v>
      </c>
      <c r="F207" s="330">
        <f>+'Base de Datos'!N207</f>
        <v>0</v>
      </c>
      <c r="G207" s="330">
        <f>+'Base de Datos'!T207</f>
        <v>0</v>
      </c>
      <c r="H207" s="329">
        <f>+'Base de Datos'!U207</f>
        <v>0</v>
      </c>
      <c r="I207" s="331" t="str">
        <f>IF(VLOOKUP(B207,'Base de Datos'!$E$7:$S$303,11,0),"SI","NO")</f>
        <v>NO</v>
      </c>
      <c r="J207" s="332" t="str">
        <f t="shared" si="21"/>
        <v/>
      </c>
      <c r="K207" s="331" t="str">
        <f>IF(VLOOKUP(B207,'Base de Datos'!$E$7:$S$303,11,0),"SI","NO")</f>
        <v>NO</v>
      </c>
      <c r="L207" s="332" t="str">
        <f t="shared" si="22"/>
        <v/>
      </c>
      <c r="M207" s="332" t="e">
        <f>VLOOKUP(B207,'Base de Datos'!$E$7:$Z$303,21,0)</f>
        <v>#DIV/0!</v>
      </c>
      <c r="N207" s="394" t="str">
        <f t="shared" ca="1" si="26"/>
        <v/>
      </c>
      <c r="O207" s="332" t="e">
        <f ca="1">VLOOKUP(B207,'Base de Datos'!$E$7:$Z$303,22,0)</f>
        <v>#DIV/0!</v>
      </c>
      <c r="P207" s="393">
        <f t="shared" ca="1" si="23"/>
        <v>43118</v>
      </c>
      <c r="Q207" s="406">
        <f t="shared" ca="1" si="27"/>
        <v>359.31666666666666</v>
      </c>
      <c r="R207" s="328" t="str">
        <f ca="1">VLOOKUP(B207,'Base de Datos'!E207:AR518,33,0)</f>
        <v>TERMINO</v>
      </c>
      <c r="S207" s="331" t="str">
        <f t="shared" ca="1" si="24"/>
        <v>NO</v>
      </c>
      <c r="T207" s="328" t="e">
        <f t="shared" ca="1" si="25"/>
        <v>#DIV/0!</v>
      </c>
      <c r="U207" s="328">
        <f>VLOOKUP(B207,'Base de Datos'!$E$7:$AR$401,38,0)</f>
        <v>0</v>
      </c>
    </row>
    <row r="208" spans="1:21" ht="23.25" customHeight="1" thickTop="1" thickBot="1" x14ac:dyDescent="0.3">
      <c r="A208" s="108">
        <v>202</v>
      </c>
      <c r="B208" s="328" t="str">
        <f>+'Base de Datos'!E208</f>
        <v>140201-0-2014</v>
      </c>
      <c r="C208" s="328" t="str">
        <f>+'Base de Datos'!F208</f>
        <v>UNIPLES S.A.</v>
      </c>
      <c r="D208" s="329">
        <f>+'Base de Datos'!I208</f>
        <v>9998117</v>
      </c>
      <c r="E208" s="330">
        <f>+'Base de Datos'!M208</f>
        <v>41794</v>
      </c>
      <c r="F208" s="330">
        <f>+'Base de Datos'!N208</f>
        <v>41855</v>
      </c>
      <c r="G208" s="330">
        <f>+'Base de Datos'!T208</f>
        <v>41855</v>
      </c>
      <c r="H208" s="329">
        <f>+'Base de Datos'!U208</f>
        <v>9998117</v>
      </c>
      <c r="I208" s="331" t="str">
        <f>IF(VLOOKUP(B208,'Base de Datos'!$E$7:$S$303,11,0),"SI","NO")</f>
        <v>NO</v>
      </c>
      <c r="J208" s="332" t="str">
        <f t="shared" si="21"/>
        <v/>
      </c>
      <c r="K208" s="331" t="str">
        <f>IF(VLOOKUP(B208,'Base de Datos'!$E$7:$S$303,11,0),"SI","NO")</f>
        <v>NO</v>
      </c>
      <c r="L208" s="332" t="str">
        <f t="shared" si="22"/>
        <v/>
      </c>
      <c r="M208" s="332">
        <f>VLOOKUP(B208,'Base de Datos'!$E$7:$Z$303,21,0)</f>
        <v>0.99999799962332903</v>
      </c>
      <c r="N208" s="394" t="str">
        <f t="shared" ca="1" si="26"/>
        <v/>
      </c>
      <c r="O208" s="332">
        <f ca="1">VLOOKUP(B208,'Base de Datos'!$E$7:$Z$303,22,0)</f>
        <v>1</v>
      </c>
      <c r="P208" s="393">
        <f t="shared" ca="1" si="23"/>
        <v>1263</v>
      </c>
      <c r="Q208" s="406">
        <f t="shared" ca="1" si="27"/>
        <v>10.525</v>
      </c>
      <c r="R208" s="328" t="str">
        <f ca="1">VLOOKUP(B208,'Base de Datos'!E208:AR519,33,0)</f>
        <v>TERMINO</v>
      </c>
      <c r="S208" s="331" t="str">
        <f t="shared" ca="1" si="24"/>
        <v>NO</v>
      </c>
      <c r="T208" s="328" t="str">
        <f t="shared" ca="1" si="25"/>
        <v>Liquidar</v>
      </c>
      <c r="U208" s="328">
        <f>VLOOKUP(B208,'Base de Datos'!$E$7:$AR$401,38,0)</f>
        <v>42306</v>
      </c>
    </row>
    <row r="209" spans="1:21" ht="23.25" customHeight="1" thickTop="1" thickBot="1" x14ac:dyDescent="0.3">
      <c r="A209" s="108">
        <v>203</v>
      </c>
      <c r="B209" s="328" t="str">
        <f>+'Base de Datos'!E209</f>
        <v>140260-0-2014</v>
      </c>
      <c r="C209" s="328" t="str">
        <f>+'Base de Datos'!F209</f>
        <v>IDENTICO SAS</v>
      </c>
      <c r="D209" s="329">
        <f>+'Base de Datos'!I209</f>
        <v>14975600</v>
      </c>
      <c r="E209" s="330">
        <f>+'Base de Datos'!M209</f>
        <v>41871</v>
      </c>
      <c r="F209" s="330">
        <f>+'Base de Datos'!N209</f>
        <v>41932</v>
      </c>
      <c r="G209" s="330">
        <f>+'Base de Datos'!T209</f>
        <v>41932</v>
      </c>
      <c r="H209" s="329">
        <f>+'Base de Datos'!U209</f>
        <v>14975600</v>
      </c>
      <c r="I209" s="331" t="str">
        <f>IF(VLOOKUP(B209,'Base de Datos'!$E$7:$S$303,11,0),"SI","NO")</f>
        <v>NO</v>
      </c>
      <c r="J209" s="332" t="str">
        <f t="shared" si="21"/>
        <v/>
      </c>
      <c r="K209" s="331" t="str">
        <f>IF(VLOOKUP(B209,'Base de Datos'!$E$7:$S$303,11,0),"SI","NO")</f>
        <v>NO</v>
      </c>
      <c r="L209" s="332" t="str">
        <f t="shared" si="22"/>
        <v/>
      </c>
      <c r="M209" s="332">
        <f>VLOOKUP(B209,'Base de Datos'!$E$7:$Z$303,21,0)</f>
        <v>1</v>
      </c>
      <c r="N209" s="394" t="str">
        <f t="shared" ca="1" si="26"/>
        <v/>
      </c>
      <c r="O209" s="332">
        <f ca="1">VLOOKUP(B209,'Base de Datos'!$E$7:$Z$303,22,0)</f>
        <v>1</v>
      </c>
      <c r="P209" s="393">
        <f t="shared" ca="1" si="23"/>
        <v>1186</v>
      </c>
      <c r="Q209" s="406">
        <f t="shared" ca="1" si="27"/>
        <v>9.8833333333333329</v>
      </c>
      <c r="R209" s="328" t="str">
        <f ca="1">VLOOKUP(B209,'Base de Datos'!E209:AR520,33,0)</f>
        <v>TERMINO</v>
      </c>
      <c r="S209" s="331" t="str">
        <f t="shared" ca="1" si="24"/>
        <v>NO</v>
      </c>
      <c r="T209" s="328" t="str">
        <f t="shared" ca="1" si="25"/>
        <v>Liquidar</v>
      </c>
      <c r="U209" s="328">
        <f>VLOOKUP(B209,'Base de Datos'!$E$7:$AR$401,38,0)</f>
        <v>42051</v>
      </c>
    </row>
    <row r="210" spans="1:21" ht="23.25" customHeight="1" thickTop="1" thickBot="1" x14ac:dyDescent="0.3">
      <c r="A210" s="108">
        <v>204</v>
      </c>
      <c r="B210" s="328" t="str">
        <f>+'Base de Datos'!E210</f>
        <v>140207-0-2014</v>
      </c>
      <c r="C210" s="328" t="str">
        <f>+'Base de Datos'!F210</f>
        <v>MUDANZAS EL NOGAL SAS</v>
      </c>
      <c r="D210" s="329">
        <f>+'Base de Datos'!I210</f>
        <v>12000000</v>
      </c>
      <c r="E210" s="330">
        <f>+'Base de Datos'!M210</f>
        <v>41824</v>
      </c>
      <c r="F210" s="330">
        <f>+'Base de Datos'!N210</f>
        <v>42066</v>
      </c>
      <c r="G210" s="330">
        <f>+'Base de Datos'!T210</f>
        <v>42312</v>
      </c>
      <c r="H210" s="329">
        <f>+'Base de Datos'!U210</f>
        <v>12000000</v>
      </c>
      <c r="I210" s="331" t="str">
        <f>IF(VLOOKUP(B210,'Base de Datos'!$E$7:$S$303,11,0),"SI","NO")</f>
        <v>NO</v>
      </c>
      <c r="J210" s="332" t="str">
        <f t="shared" si="21"/>
        <v/>
      </c>
      <c r="K210" s="331" t="str">
        <f>IF(VLOOKUP(B210,'Base de Datos'!$E$7:$S$303,11,0),"SI","NO")</f>
        <v>NO</v>
      </c>
      <c r="L210" s="332" t="str">
        <f t="shared" si="22"/>
        <v/>
      </c>
      <c r="M210" s="332">
        <f>VLOOKUP(B210,'Base de Datos'!$E$7:$Z$303,21,0)</f>
        <v>0.9</v>
      </c>
      <c r="N210" s="394" t="str">
        <f t="shared" ca="1" si="26"/>
        <v/>
      </c>
      <c r="O210" s="332">
        <f ca="1">VLOOKUP(B210,'Base de Datos'!$E$7:$Z$303,22,0)</f>
        <v>1</v>
      </c>
      <c r="P210" s="393">
        <f t="shared" ca="1" si="23"/>
        <v>806</v>
      </c>
      <c r="Q210" s="406">
        <f t="shared" ca="1" si="27"/>
        <v>6.7166666666666668</v>
      </c>
      <c r="R210" s="328" t="str">
        <f ca="1">VLOOKUP(B210,'Base de Datos'!E210:AR521,33,0)</f>
        <v>TERMINO</v>
      </c>
      <c r="S210" s="331" t="str">
        <f t="shared" ca="1" si="24"/>
        <v>SI</v>
      </c>
      <c r="T210" s="328" t="str">
        <f t="shared" ca="1" si="25"/>
        <v>Liquidar</v>
      </c>
      <c r="U210" s="328">
        <f>VLOOKUP(B210,'Base de Datos'!$E$7:$AR$401,38,0)</f>
        <v>0</v>
      </c>
    </row>
    <row r="211" spans="1:21" ht="23.25" customHeight="1" thickTop="1" thickBot="1" x14ac:dyDescent="0.3">
      <c r="A211" s="108">
        <v>205</v>
      </c>
      <c r="B211" s="328" t="str">
        <f>+'Base de Datos'!E211</f>
        <v>140212-0-2014</v>
      </c>
      <c r="C211" s="328" t="str">
        <f>+'Base de Datos'!F211</f>
        <v>TECNOLOGÍA BIOMÉDICA</v>
      </c>
      <c r="D211" s="329">
        <f>+'Base de Datos'!I211</f>
        <v>5719790</v>
      </c>
      <c r="E211" s="330">
        <f>+'Base de Datos'!M211</f>
        <v>41807</v>
      </c>
      <c r="F211" s="330">
        <f>+'Base de Datos'!N211</f>
        <v>41867</v>
      </c>
      <c r="G211" s="330">
        <f>+'Base de Datos'!T211</f>
        <v>41867</v>
      </c>
      <c r="H211" s="329">
        <f>+'Base de Datos'!U211</f>
        <v>5719790</v>
      </c>
      <c r="I211" s="331" t="str">
        <f>IF(VLOOKUP(B211,'Base de Datos'!$E$7:$S$303,11,0),"SI","NO")</f>
        <v>NO</v>
      </c>
      <c r="J211" s="332" t="str">
        <f t="shared" si="21"/>
        <v/>
      </c>
      <c r="K211" s="331" t="str">
        <f>IF(VLOOKUP(B211,'Base de Datos'!$E$7:$S$303,11,0),"SI","NO")</f>
        <v>NO</v>
      </c>
      <c r="L211" s="332" t="str">
        <f t="shared" si="22"/>
        <v/>
      </c>
      <c r="M211" s="332">
        <f>VLOOKUP(B211,'Base de Datos'!$E$7:$Z$303,21,0)</f>
        <v>1</v>
      </c>
      <c r="N211" s="394" t="str">
        <f t="shared" ca="1" si="26"/>
        <v/>
      </c>
      <c r="O211" s="332">
        <f ca="1">VLOOKUP(B211,'Base de Datos'!$E$7:$Z$303,22,0)</f>
        <v>1</v>
      </c>
      <c r="P211" s="393">
        <f t="shared" ca="1" si="23"/>
        <v>1251</v>
      </c>
      <c r="Q211" s="406">
        <f t="shared" ca="1" si="27"/>
        <v>10.425000000000001</v>
      </c>
      <c r="R211" s="328" t="str">
        <f ca="1">VLOOKUP(B211,'Base de Datos'!E211:AR522,33,0)</f>
        <v>TERMINO</v>
      </c>
      <c r="S211" s="331" t="str">
        <f t="shared" ca="1" si="24"/>
        <v>NO</v>
      </c>
      <c r="T211" s="328" t="str">
        <f t="shared" ca="1" si="25"/>
        <v>Liquidar</v>
      </c>
      <c r="U211" s="328">
        <f>VLOOKUP(B211,'Base de Datos'!$E$7:$AR$401,38,0)</f>
        <v>41919</v>
      </c>
    </row>
    <row r="212" spans="1:21" ht="23.25" customHeight="1" thickTop="1" thickBot="1" x14ac:dyDescent="0.3">
      <c r="A212" s="108">
        <v>206</v>
      </c>
      <c r="B212" s="328" t="str">
        <f>+'Base de Datos'!E212</f>
        <v>140215-0-2014</v>
      </c>
      <c r="C212" s="328" t="str">
        <f>+'Base de Datos'!F212</f>
        <v xml:space="preserve">UNIÓN TEMPORAL EMINSER-SOLOASEO </v>
      </c>
      <c r="D212" s="329">
        <f>+'Base de Datos'!I212</f>
        <v>337487000</v>
      </c>
      <c r="E212" s="330">
        <f>+'Base de Datos'!M212</f>
        <v>41811</v>
      </c>
      <c r="F212" s="330">
        <f>+'Base de Datos'!N212</f>
        <v>42130</v>
      </c>
      <c r="G212" s="330">
        <f>+'Base de Datos'!T212</f>
        <v>42186</v>
      </c>
      <c r="H212" s="329">
        <f>+'Base de Datos'!U212</f>
        <v>337487000</v>
      </c>
      <c r="I212" s="331" t="str">
        <f>IF(VLOOKUP(B212,'Base de Datos'!$E$7:$S$303,11,0),"SI","NO")</f>
        <v>NO</v>
      </c>
      <c r="J212" s="332" t="str">
        <f t="shared" si="21"/>
        <v/>
      </c>
      <c r="K212" s="331" t="str">
        <f>IF(VLOOKUP(B212,'Base de Datos'!$E$7:$S$303,11,0),"SI","NO")</f>
        <v>NO</v>
      </c>
      <c r="L212" s="332" t="str">
        <f t="shared" si="22"/>
        <v/>
      </c>
      <c r="M212" s="332">
        <f>VLOOKUP(B212,'Base de Datos'!$E$7:$Z$303,21,0)</f>
        <v>0.99999999407384577</v>
      </c>
      <c r="N212" s="394" t="str">
        <f t="shared" ca="1" si="26"/>
        <v/>
      </c>
      <c r="O212" s="332">
        <f ca="1">VLOOKUP(B212,'Base de Datos'!$E$7:$Z$303,22,0)</f>
        <v>1</v>
      </c>
      <c r="P212" s="393">
        <f t="shared" ca="1" si="23"/>
        <v>932</v>
      </c>
      <c r="Q212" s="406">
        <f t="shared" ca="1" si="27"/>
        <v>7.7666666666666666</v>
      </c>
      <c r="R212" s="328" t="str">
        <f ca="1">VLOOKUP(B212,'Base de Datos'!E212:AR523,33,0)</f>
        <v>TERMINO</v>
      </c>
      <c r="S212" s="331" t="str">
        <f t="shared" ca="1" si="24"/>
        <v>NO</v>
      </c>
      <c r="T212" s="328" t="str">
        <f t="shared" ca="1" si="25"/>
        <v>Liquidar</v>
      </c>
      <c r="U212" s="328">
        <f>VLOOKUP(B212,'Base de Datos'!$E$7:$AR$401,38,0)</f>
        <v>0</v>
      </c>
    </row>
    <row r="213" spans="1:21" ht="23.25" customHeight="1" thickTop="1" thickBot="1" x14ac:dyDescent="0.3">
      <c r="A213" s="108">
        <v>207</v>
      </c>
      <c r="B213" s="328" t="str">
        <f>+'Base de Datos'!E213</f>
        <v>140216-0-2014</v>
      </c>
      <c r="C213" s="328" t="str">
        <f>+'Base de Datos'!F213</f>
        <v>UNIDAD NACIONAL DE PROTECCIÓN</v>
      </c>
      <c r="D213" s="329">
        <f>+'Base de Datos'!I213</f>
        <v>2447846100</v>
      </c>
      <c r="E213" s="330">
        <f>+'Base de Datos'!M213</f>
        <v>41808</v>
      </c>
      <c r="F213" s="330">
        <f>+'Base de Datos'!N213</f>
        <v>42021</v>
      </c>
      <c r="G213" s="330">
        <f>+'Base de Datos'!T213</f>
        <v>42116</v>
      </c>
      <c r="H213" s="329">
        <f>+'Base de Datos'!U213</f>
        <v>3463454100</v>
      </c>
      <c r="I213" s="331" t="str">
        <f>IF(VLOOKUP(B213,'Base de Datos'!$E$7:$S$303,11,0),"SI","NO")</f>
        <v>SI</v>
      </c>
      <c r="J213" s="332">
        <f t="shared" si="21"/>
        <v>0.4460093896713615</v>
      </c>
      <c r="K213" s="331" t="str">
        <f>IF(VLOOKUP(B213,'Base de Datos'!$E$7:$S$303,11,0),"SI","NO")</f>
        <v>SI</v>
      </c>
      <c r="L213" s="332">
        <f t="shared" si="22"/>
        <v>0.41489863272041488</v>
      </c>
      <c r="M213" s="332">
        <f>VLOOKUP(B213,'Base de Datos'!$E$7:$Z$303,21,0)</f>
        <v>0.95865674385579414</v>
      </c>
      <c r="N213" s="394" t="str">
        <f t="shared" ca="1" si="26"/>
        <v/>
      </c>
      <c r="O213" s="332">
        <f ca="1">VLOOKUP(B213,'Base de Datos'!$E$7:$Z$303,22,0)</f>
        <v>1</v>
      </c>
      <c r="P213" s="393">
        <f t="shared" ca="1" si="23"/>
        <v>1002</v>
      </c>
      <c r="Q213" s="406">
        <f t="shared" ca="1" si="27"/>
        <v>8.35</v>
      </c>
      <c r="R213" s="328" t="str">
        <f ca="1">VLOOKUP(B213,'Base de Datos'!E213:AR524,33,0)</f>
        <v>TERMINO</v>
      </c>
      <c r="S213" s="331" t="str">
        <f t="shared" ca="1" si="24"/>
        <v>NO</v>
      </c>
      <c r="T213" s="328" t="str">
        <f t="shared" ca="1" si="25"/>
        <v>Liquidar</v>
      </c>
      <c r="U213" s="328">
        <f>VLOOKUP(B213,'Base de Datos'!$E$7:$AR$401,38,0)</f>
        <v>0</v>
      </c>
    </row>
    <row r="214" spans="1:21" ht="23.25" customHeight="1" thickTop="1" thickBot="1" x14ac:dyDescent="0.3">
      <c r="A214" s="108">
        <v>208</v>
      </c>
      <c r="B214" s="328" t="str">
        <f>+'Base de Datos'!E214</f>
        <v>140219-0-2014</v>
      </c>
      <c r="C214" s="328" t="str">
        <f>+'Base de Datos'!F214</f>
        <v>MARKETGROUP SAS</v>
      </c>
      <c r="D214" s="329">
        <f>+'Base de Datos'!I214</f>
        <v>330000</v>
      </c>
      <c r="E214" s="330">
        <f>+'Base de Datos'!M214</f>
        <v>41841</v>
      </c>
      <c r="F214" s="330">
        <f>+'Base de Datos'!N214</f>
        <v>41872</v>
      </c>
      <c r="G214" s="330">
        <f>+'Base de Datos'!T214</f>
        <v>41872</v>
      </c>
      <c r="H214" s="329">
        <f>+'Base de Datos'!U214</f>
        <v>330000</v>
      </c>
      <c r="I214" s="331" t="str">
        <f>IF(VLOOKUP(B214,'Base de Datos'!$E$7:$S$303,11,0),"SI","NO")</f>
        <v>NO</v>
      </c>
      <c r="J214" s="332" t="str">
        <f t="shared" si="21"/>
        <v/>
      </c>
      <c r="K214" s="331" t="str">
        <f>IF(VLOOKUP(B214,'Base de Datos'!$E$7:$S$303,11,0),"SI","NO")</f>
        <v>NO</v>
      </c>
      <c r="L214" s="332" t="str">
        <f t="shared" si="22"/>
        <v/>
      </c>
      <c r="M214" s="332">
        <f>VLOOKUP(B214,'Base de Datos'!$E$7:$Z$303,21,0)</f>
        <v>1</v>
      </c>
      <c r="N214" s="394" t="str">
        <f t="shared" ca="1" si="26"/>
        <v/>
      </c>
      <c r="O214" s="332">
        <f ca="1">VLOOKUP(B214,'Base de Datos'!$E$7:$Z$303,22,0)</f>
        <v>1</v>
      </c>
      <c r="P214" s="393">
        <f t="shared" ca="1" si="23"/>
        <v>1246</v>
      </c>
      <c r="Q214" s="406">
        <f t="shared" ca="1" si="27"/>
        <v>10.383333333333333</v>
      </c>
      <c r="R214" s="328" t="str">
        <f ca="1">VLOOKUP(B214,'Base de Datos'!E214:AR525,33,0)</f>
        <v>TERMINO</v>
      </c>
      <c r="S214" s="331" t="str">
        <f t="shared" ca="1" si="24"/>
        <v>NO</v>
      </c>
      <c r="T214" s="328" t="str">
        <f t="shared" ca="1" si="25"/>
        <v>Liquidar</v>
      </c>
      <c r="U214" s="328">
        <f>VLOOKUP(B214,'Base de Datos'!$E$7:$AR$401,38,0)</f>
        <v>42306</v>
      </c>
    </row>
    <row r="215" spans="1:21" ht="23.25" customHeight="1" thickTop="1" thickBot="1" x14ac:dyDescent="0.3">
      <c r="A215" s="108">
        <v>209</v>
      </c>
      <c r="B215" s="328" t="str">
        <f>+'Base de Datos'!E215</f>
        <v>140220-0-2014</v>
      </c>
      <c r="C215" s="328" t="str">
        <f>+'Base de Datos'!F215</f>
        <v>ORGANIZACIÓN TERPEL S.A.</v>
      </c>
      <c r="D215" s="329">
        <f>+'Base de Datos'!I215</f>
        <v>251750000</v>
      </c>
      <c r="E215" s="330">
        <f>+'Base de Datos'!M215</f>
        <v>41806</v>
      </c>
      <c r="F215" s="330">
        <f>+'Base de Datos'!N215</f>
        <v>41959</v>
      </c>
      <c r="G215" s="330">
        <f>+'Base de Datos'!T215</f>
        <v>41959</v>
      </c>
      <c r="H215" s="329">
        <f>+'Base de Datos'!U215</f>
        <v>251750000</v>
      </c>
      <c r="I215" s="331" t="str">
        <f>IF(VLOOKUP(B215,'Base de Datos'!$E$7:$S$303,11,0),"SI","NO")</f>
        <v>NO</v>
      </c>
      <c r="J215" s="332" t="str">
        <f t="shared" si="21"/>
        <v/>
      </c>
      <c r="K215" s="331" t="str">
        <f>IF(VLOOKUP(B215,'Base de Datos'!$E$7:$S$303,11,0),"SI","NO")</f>
        <v>NO</v>
      </c>
      <c r="L215" s="332" t="str">
        <f t="shared" si="22"/>
        <v/>
      </c>
      <c r="M215" s="332">
        <f>VLOOKUP(B215,'Base de Datos'!$E$7:$Z$303,21,0)</f>
        <v>0.71573656802383312</v>
      </c>
      <c r="N215" s="394" t="str">
        <f t="shared" ca="1" si="26"/>
        <v/>
      </c>
      <c r="O215" s="332">
        <f ca="1">VLOOKUP(B215,'Base de Datos'!$E$7:$Z$303,22,0)</f>
        <v>1</v>
      </c>
      <c r="P215" s="393">
        <f t="shared" ca="1" si="23"/>
        <v>1159</v>
      </c>
      <c r="Q215" s="406">
        <f t="shared" ca="1" si="27"/>
        <v>9.6583333333333332</v>
      </c>
      <c r="R215" s="328" t="str">
        <f ca="1">VLOOKUP(B215,'Base de Datos'!E215:AR526,33,0)</f>
        <v>TERMINO</v>
      </c>
      <c r="S215" s="331" t="str">
        <f t="shared" ca="1" si="24"/>
        <v>NO</v>
      </c>
      <c r="T215" s="328" t="str">
        <f t="shared" ca="1" si="25"/>
        <v>Liquidar</v>
      </c>
      <c r="U215" s="328">
        <f>VLOOKUP(B215,'Base de Datos'!$E$7:$AR$401,38,0)</f>
        <v>0</v>
      </c>
    </row>
    <row r="216" spans="1:21" ht="23.25" customHeight="1" thickTop="1" thickBot="1" x14ac:dyDescent="0.3">
      <c r="A216" s="108">
        <v>210</v>
      </c>
      <c r="B216" s="328" t="str">
        <f>+'Base de Datos'!E216</f>
        <v>140221-0-2014</v>
      </c>
      <c r="C216" s="328" t="str">
        <f>+'Base de Datos'!F216</f>
        <v>INGENIERÍA DE BOMBAS Y PLANTAS LIMITADA</v>
      </c>
      <c r="D216" s="329">
        <f>+'Base de Datos'!I216</f>
        <v>6252000</v>
      </c>
      <c r="E216" s="330">
        <f>+'Base de Datos'!M216</f>
        <v>41842</v>
      </c>
      <c r="F216" s="330">
        <f>+'Base de Datos'!N216</f>
        <v>42207</v>
      </c>
      <c r="G216" s="330">
        <f>+'Base de Datos'!T216</f>
        <v>42207</v>
      </c>
      <c r="H216" s="329">
        <f>+'Base de Datos'!U216</f>
        <v>6252000</v>
      </c>
      <c r="I216" s="331" t="str">
        <f>IF(VLOOKUP(B216,'Base de Datos'!$E$7:$S$303,11,0),"SI","NO")</f>
        <v>NO</v>
      </c>
      <c r="J216" s="332" t="str">
        <f t="shared" si="21"/>
        <v/>
      </c>
      <c r="K216" s="331" t="str">
        <f>IF(VLOOKUP(B216,'Base de Datos'!$E$7:$S$303,11,0),"SI","NO")</f>
        <v>NO</v>
      </c>
      <c r="L216" s="332" t="str">
        <f t="shared" si="22"/>
        <v/>
      </c>
      <c r="M216" s="332">
        <f>VLOOKUP(B216,'Base de Datos'!$E$7:$Z$303,21,0)</f>
        <v>0.90614027511196416</v>
      </c>
      <c r="N216" s="394" t="str">
        <f t="shared" ca="1" si="26"/>
        <v/>
      </c>
      <c r="O216" s="332">
        <f ca="1">VLOOKUP(B216,'Base de Datos'!$E$7:$Z$303,22,0)</f>
        <v>1</v>
      </c>
      <c r="P216" s="393">
        <f t="shared" ca="1" si="23"/>
        <v>911</v>
      </c>
      <c r="Q216" s="406">
        <f t="shared" ca="1" si="27"/>
        <v>7.5916666666666668</v>
      </c>
      <c r="R216" s="328" t="str">
        <f ca="1">VLOOKUP(B216,'Base de Datos'!E216:AR527,33,0)</f>
        <v>TERMINO</v>
      </c>
      <c r="S216" s="331" t="str">
        <f t="shared" ca="1" si="24"/>
        <v>NO</v>
      </c>
      <c r="T216" s="328" t="str">
        <f t="shared" ca="1" si="25"/>
        <v>Liquidar</v>
      </c>
      <c r="U216" s="328">
        <f>VLOOKUP(B216,'Base de Datos'!$E$7:$AR$401,38,0)</f>
        <v>0</v>
      </c>
    </row>
    <row r="217" spans="1:21" ht="23.25" customHeight="1" thickTop="1" thickBot="1" x14ac:dyDescent="0.3">
      <c r="A217" s="108">
        <v>211</v>
      </c>
      <c r="B217" s="328" t="str">
        <f>+'Base de Datos'!E217</f>
        <v>140222-0-2014</v>
      </c>
      <c r="C217" s="328" t="str">
        <f>+'Base de Datos'!F217</f>
        <v>JOSÉ SADY SUAVITA ROJAS</v>
      </c>
      <c r="D217" s="329">
        <f>+'Base de Datos'!I217</f>
        <v>2962640</v>
      </c>
      <c r="E217" s="330">
        <f>+'Base de Datos'!M217</f>
        <v>41838</v>
      </c>
      <c r="F217" s="330">
        <f>+'Base de Datos'!N217</f>
        <v>41852</v>
      </c>
      <c r="G217" s="330">
        <f>+'Base de Datos'!T217</f>
        <v>41852</v>
      </c>
      <c r="H217" s="329">
        <f>+'Base de Datos'!U217</f>
        <v>2962640</v>
      </c>
      <c r="I217" s="331" t="str">
        <f>IF(VLOOKUP(B217,'Base de Datos'!$E$7:$S$303,11,0),"SI","NO")</f>
        <v>NO</v>
      </c>
      <c r="J217" s="332" t="str">
        <f t="shared" si="21"/>
        <v/>
      </c>
      <c r="K217" s="331" t="str">
        <f>IF(VLOOKUP(B217,'Base de Datos'!$E$7:$S$303,11,0),"SI","NO")</f>
        <v>NO</v>
      </c>
      <c r="L217" s="332" t="str">
        <f t="shared" si="22"/>
        <v/>
      </c>
      <c r="M217" s="332">
        <f>VLOOKUP(B217,'Base de Datos'!$E$7:$Z$303,21,0)</f>
        <v>1</v>
      </c>
      <c r="N217" s="394" t="str">
        <f t="shared" ca="1" si="26"/>
        <v/>
      </c>
      <c r="O217" s="332">
        <f ca="1">VLOOKUP(B217,'Base de Datos'!$E$7:$Z$303,22,0)</f>
        <v>1</v>
      </c>
      <c r="P217" s="393">
        <f t="shared" ca="1" si="23"/>
        <v>1266</v>
      </c>
      <c r="Q217" s="406">
        <f t="shared" ca="1" si="27"/>
        <v>10.55</v>
      </c>
      <c r="R217" s="328" t="str">
        <f ca="1">VLOOKUP(B217,'Base de Datos'!E217:AR528,33,0)</f>
        <v>TERMINO</v>
      </c>
      <c r="S217" s="331" t="str">
        <f t="shared" ca="1" si="24"/>
        <v>NO</v>
      </c>
      <c r="T217" s="328" t="str">
        <f t="shared" ca="1" si="25"/>
        <v>Liquidar</v>
      </c>
      <c r="U217" s="328">
        <f>VLOOKUP(B217,'Base de Datos'!$E$7:$AR$401,38,0)</f>
        <v>42088</v>
      </c>
    </row>
    <row r="218" spans="1:21" ht="23.25" customHeight="1" thickTop="1" thickBot="1" x14ac:dyDescent="0.3">
      <c r="A218" s="108">
        <v>212</v>
      </c>
      <c r="B218" s="328" t="str">
        <f>+'Base de Datos'!E218</f>
        <v>140228-0-2014</v>
      </c>
      <c r="C218" s="328" t="str">
        <f>+'Base de Datos'!F218</f>
        <v>T Y G MINOLTA</v>
      </c>
      <c r="D218" s="329">
        <f>+'Base de Datos'!I218</f>
        <v>36581760</v>
      </c>
      <c r="E218" s="330">
        <f>+'Base de Datos'!M218</f>
        <v>41821</v>
      </c>
      <c r="F218" s="330">
        <f>+'Base de Datos'!N218</f>
        <v>42093</v>
      </c>
      <c r="G218" s="330">
        <f>+'Base de Datos'!T218</f>
        <v>42186</v>
      </c>
      <c r="H218" s="329">
        <f>+'Base de Datos'!U218</f>
        <v>36581760</v>
      </c>
      <c r="I218" s="331" t="str">
        <f>IF(VLOOKUP(B218,'Base de Datos'!$E$7:$S$303,11,0),"SI","NO")</f>
        <v>NO</v>
      </c>
      <c r="J218" s="332" t="str">
        <f t="shared" si="21"/>
        <v/>
      </c>
      <c r="K218" s="331" t="str">
        <f>IF(VLOOKUP(B218,'Base de Datos'!$E$7:$S$303,11,0),"SI","NO")</f>
        <v>NO</v>
      </c>
      <c r="L218" s="332" t="str">
        <f t="shared" si="22"/>
        <v/>
      </c>
      <c r="M218" s="332">
        <f>VLOOKUP(B218,'Base de Datos'!$E$7:$Z$303,21,0)</f>
        <v>0.93935660832064938</v>
      </c>
      <c r="N218" s="394" t="str">
        <f t="shared" ca="1" si="26"/>
        <v/>
      </c>
      <c r="O218" s="332">
        <f ca="1">VLOOKUP(B218,'Base de Datos'!$E$7:$Z$303,22,0)</f>
        <v>1</v>
      </c>
      <c r="P218" s="393">
        <f t="shared" ca="1" si="23"/>
        <v>932</v>
      </c>
      <c r="Q218" s="406">
        <f t="shared" ca="1" si="27"/>
        <v>7.7666666666666666</v>
      </c>
      <c r="R218" s="328" t="str">
        <f ca="1">VLOOKUP(B218,'Base de Datos'!E218:AR529,33,0)</f>
        <v>TERMINO</v>
      </c>
      <c r="S218" s="331" t="str">
        <f t="shared" ca="1" si="24"/>
        <v>NO</v>
      </c>
      <c r="T218" s="328" t="str">
        <f t="shared" ca="1" si="25"/>
        <v>Liquidar</v>
      </c>
      <c r="U218" s="328">
        <f>VLOOKUP(B218,'Base de Datos'!$E$7:$AR$401,38,0)</f>
        <v>0</v>
      </c>
    </row>
    <row r="219" spans="1:21" ht="23.25" customHeight="1" thickTop="1" thickBot="1" x14ac:dyDescent="0.3">
      <c r="A219" s="108">
        <v>213</v>
      </c>
      <c r="B219" s="328" t="str">
        <f>+'Base de Datos'!E219</f>
        <v>140233-0-2014</v>
      </c>
      <c r="C219" s="328" t="str">
        <f>+'Base de Datos'!F219</f>
        <v>ELKIN MAURICIO DIMAS MONTAYA</v>
      </c>
      <c r="D219" s="329">
        <f>+'Base de Datos'!I219</f>
        <v>16390000</v>
      </c>
      <c r="E219" s="330">
        <f>+'Base de Datos'!M219</f>
        <v>41799</v>
      </c>
      <c r="F219" s="330">
        <f>+'Base de Datos'!N219</f>
        <v>42193</v>
      </c>
      <c r="G219" s="330">
        <f>+'Base de Datos'!T219</f>
        <v>42247</v>
      </c>
      <c r="H219" s="329">
        <f>+'Base de Datos'!U219</f>
        <v>18714400</v>
      </c>
      <c r="I219" s="331" t="str">
        <f>IF(VLOOKUP(B219,'Base de Datos'!$E$7:$S$303,11,0),"SI","NO")</f>
        <v>SI</v>
      </c>
      <c r="J219" s="332">
        <f t="shared" si="21"/>
        <v>0.13705583756345177</v>
      </c>
      <c r="K219" s="331" t="str">
        <f>IF(VLOOKUP(B219,'Base de Datos'!$E$7:$S$303,11,0),"SI","NO")</f>
        <v>SI</v>
      </c>
      <c r="L219" s="332">
        <f t="shared" si="22"/>
        <v>0.14181818181818182</v>
      </c>
      <c r="M219" s="332">
        <f>VLOOKUP(B219,'Base de Datos'!$E$7:$Z$303,21,0)</f>
        <v>1</v>
      </c>
      <c r="N219" s="394" t="str">
        <f t="shared" ca="1" si="26"/>
        <v/>
      </c>
      <c r="O219" s="332">
        <f ca="1">VLOOKUP(B219,'Base de Datos'!$E$7:$Z$303,22,0)</f>
        <v>1</v>
      </c>
      <c r="P219" s="393">
        <f t="shared" ca="1" si="23"/>
        <v>871</v>
      </c>
      <c r="Q219" s="406">
        <f t="shared" ca="1" si="27"/>
        <v>7.2583333333333337</v>
      </c>
      <c r="R219" s="328" t="str">
        <f ca="1">VLOOKUP(B219,'Base de Datos'!E219:AR530,33,0)</f>
        <v>TERMINO</v>
      </c>
      <c r="S219" s="331" t="str">
        <f t="shared" ca="1" si="24"/>
        <v>SI</v>
      </c>
      <c r="T219" s="328" t="str">
        <f t="shared" ca="1" si="25"/>
        <v>Liquidar</v>
      </c>
      <c r="U219" s="328">
        <f>VLOOKUP(B219,'Base de Datos'!$E$7:$AR$401,38,0)</f>
        <v>0</v>
      </c>
    </row>
    <row r="220" spans="1:21" ht="23.25" customHeight="1" thickTop="1" thickBot="1" x14ac:dyDescent="0.3">
      <c r="A220" s="108">
        <v>214</v>
      </c>
      <c r="B220" s="328" t="str">
        <f>+'Base de Datos'!E220</f>
        <v>140234-0-2014</v>
      </c>
      <c r="C220" s="328" t="str">
        <f>+'Base de Datos'!F220</f>
        <v>BUSINESS TECHNOLOGIES COMPANY</v>
      </c>
      <c r="D220" s="329">
        <f>+'Base de Datos'!I220</f>
        <v>683000</v>
      </c>
      <c r="E220" s="330">
        <f>+'Base de Datos'!M220</f>
        <v>41838</v>
      </c>
      <c r="F220" s="330">
        <f>+'Base de Datos'!N220</f>
        <v>42203</v>
      </c>
      <c r="G220" s="330">
        <f>+'Base de Datos'!T220</f>
        <v>42203</v>
      </c>
      <c r="H220" s="329">
        <f>+'Base de Datos'!U220</f>
        <v>683000</v>
      </c>
      <c r="I220" s="331" t="str">
        <f>IF(VLOOKUP(B220,'Base de Datos'!$E$7:$S$303,11,0),"SI","NO")</f>
        <v>NO</v>
      </c>
      <c r="J220" s="332" t="str">
        <f t="shared" si="21"/>
        <v/>
      </c>
      <c r="K220" s="331" t="str">
        <f>IF(VLOOKUP(B220,'Base de Datos'!$E$7:$S$303,11,0),"SI","NO")</f>
        <v>NO</v>
      </c>
      <c r="L220" s="332" t="str">
        <f t="shared" si="22"/>
        <v/>
      </c>
      <c r="M220" s="332">
        <f>VLOOKUP(B220,'Base de Datos'!$E$7:$Z$303,21,0)</f>
        <v>1</v>
      </c>
      <c r="N220" s="394" t="str">
        <f t="shared" ca="1" si="26"/>
        <v/>
      </c>
      <c r="O220" s="332">
        <f ca="1">VLOOKUP(B220,'Base de Datos'!$E$7:$Z$303,22,0)</f>
        <v>1</v>
      </c>
      <c r="P220" s="393">
        <f t="shared" ca="1" si="23"/>
        <v>915</v>
      </c>
      <c r="Q220" s="406">
        <f t="shared" ca="1" si="27"/>
        <v>7.625</v>
      </c>
      <c r="R220" s="328" t="str">
        <f ca="1">VLOOKUP(B220,'Base de Datos'!E220:AR531,33,0)</f>
        <v>TERMINO</v>
      </c>
      <c r="S220" s="331" t="str">
        <f t="shared" ca="1" si="24"/>
        <v>NO</v>
      </c>
      <c r="T220" s="328" t="str">
        <f t="shared" ca="1" si="25"/>
        <v>Liquidar</v>
      </c>
      <c r="U220" s="328">
        <f>VLOOKUP(B220,'Base de Datos'!$E$7:$AR$401,38,0)</f>
        <v>0</v>
      </c>
    </row>
    <row r="221" spans="1:21" ht="23.25" customHeight="1" thickTop="1" thickBot="1" x14ac:dyDescent="0.3">
      <c r="A221" s="108">
        <v>215</v>
      </c>
      <c r="B221" s="328" t="str">
        <f>+'Base de Datos'!E221</f>
        <v>140236-0-2014</v>
      </c>
      <c r="C221" s="328" t="str">
        <f>+'Base de Datos'!F221</f>
        <v>DIVIEXPORT EU</v>
      </c>
      <c r="D221" s="329">
        <f>+'Base de Datos'!I221</f>
        <v>4672000</v>
      </c>
      <c r="E221" s="330">
        <f>+'Base de Datos'!M221</f>
        <v>41835</v>
      </c>
      <c r="F221" s="330">
        <f>+'Base de Datos'!N221</f>
        <v>42050</v>
      </c>
      <c r="G221" s="330">
        <f>+'Base de Datos'!T221</f>
        <v>42050</v>
      </c>
      <c r="H221" s="329">
        <f>+'Base de Datos'!U221</f>
        <v>4672000</v>
      </c>
      <c r="I221" s="331" t="str">
        <f>IF(VLOOKUP(B221,'Base de Datos'!$E$7:$S$303,11,0),"SI","NO")</f>
        <v>NO</v>
      </c>
      <c r="J221" s="332" t="str">
        <f t="shared" si="21"/>
        <v/>
      </c>
      <c r="K221" s="331" t="str">
        <f>IF(VLOOKUP(B221,'Base de Datos'!$E$7:$S$303,11,0),"SI","NO")</f>
        <v>NO</v>
      </c>
      <c r="L221" s="332" t="str">
        <f t="shared" si="22"/>
        <v/>
      </c>
      <c r="M221" s="332">
        <f>VLOOKUP(B221,'Base de Datos'!$E$7:$Z$303,21,0)</f>
        <v>0.38660102739726027</v>
      </c>
      <c r="N221" s="394" t="str">
        <f t="shared" ca="1" si="26"/>
        <v/>
      </c>
      <c r="O221" s="332">
        <f ca="1">VLOOKUP(B221,'Base de Datos'!$E$7:$Z$303,22,0)</f>
        <v>1</v>
      </c>
      <c r="P221" s="393">
        <f t="shared" ca="1" si="23"/>
        <v>1068</v>
      </c>
      <c r="Q221" s="406">
        <f t="shared" ca="1" si="27"/>
        <v>8.9</v>
      </c>
      <c r="R221" s="328" t="str">
        <f ca="1">VLOOKUP(B221,'Base de Datos'!E221:AR532,33,0)</f>
        <v>TERMINO</v>
      </c>
      <c r="S221" s="331" t="str">
        <f t="shared" ca="1" si="24"/>
        <v>NO</v>
      </c>
      <c r="T221" s="328" t="str">
        <f t="shared" ca="1" si="25"/>
        <v>Liquidar</v>
      </c>
      <c r="U221" s="328">
        <f>VLOOKUP(B221,'Base de Datos'!$E$7:$AR$401,38,0)</f>
        <v>42321</v>
      </c>
    </row>
    <row r="222" spans="1:21" ht="23.25" customHeight="1" thickTop="1" thickBot="1" x14ac:dyDescent="0.3">
      <c r="A222" s="108">
        <v>216</v>
      </c>
      <c r="B222" s="328" t="str">
        <f>+'Base de Datos'!E222</f>
        <v>140241-0-2014</v>
      </c>
      <c r="C222" s="328" t="str">
        <f>+'Base de Datos'!F222</f>
        <v>SEGUROS GENERALES SURAMERICANA</v>
      </c>
      <c r="D222" s="329">
        <f>+'Base de Datos'!I222</f>
        <v>3846133</v>
      </c>
      <c r="E222" s="330">
        <f>+'Base de Datos'!M222</f>
        <v>41837</v>
      </c>
      <c r="F222" s="330">
        <f>+'Base de Datos'!N222</f>
        <v>42202</v>
      </c>
      <c r="G222" s="330">
        <f>+'Base de Datos'!T222</f>
        <v>42202</v>
      </c>
      <c r="H222" s="329">
        <f>+'Base de Datos'!U222</f>
        <v>3846133</v>
      </c>
      <c r="I222" s="331" t="str">
        <f>IF(VLOOKUP(B222,'Base de Datos'!$E$7:$S$303,11,0),"SI","NO")</f>
        <v>NO</v>
      </c>
      <c r="J222" s="332" t="str">
        <f t="shared" si="21"/>
        <v/>
      </c>
      <c r="K222" s="331" t="str">
        <f>IF(VLOOKUP(B222,'Base de Datos'!$E$7:$S$303,11,0),"SI","NO")</f>
        <v>NO</v>
      </c>
      <c r="L222" s="332" t="str">
        <f t="shared" si="22"/>
        <v/>
      </c>
      <c r="M222" s="332">
        <f>VLOOKUP(B222,'Base de Datos'!$E$7:$Z$303,21,0)</f>
        <v>0</v>
      </c>
      <c r="N222" s="394" t="str">
        <f t="shared" ca="1" si="26"/>
        <v/>
      </c>
      <c r="O222" s="332">
        <f ca="1">VLOOKUP(B222,'Base de Datos'!$E$7:$Z$303,22,0)</f>
        <v>1</v>
      </c>
      <c r="P222" s="393">
        <f t="shared" ca="1" si="23"/>
        <v>916</v>
      </c>
      <c r="Q222" s="406">
        <f t="shared" ca="1" si="27"/>
        <v>7.6333333333333337</v>
      </c>
      <c r="R222" s="328" t="str">
        <f ca="1">VLOOKUP(B222,'Base de Datos'!E222:AR533,33,0)</f>
        <v>TERMINO</v>
      </c>
      <c r="S222" s="331" t="str">
        <f t="shared" ca="1" si="24"/>
        <v>NO</v>
      </c>
      <c r="T222" s="328" t="str">
        <f t="shared" ca="1" si="25"/>
        <v>Liquidar</v>
      </c>
      <c r="U222" s="328">
        <f>VLOOKUP(B222,'Base de Datos'!$E$7:$AR$401,38,0)</f>
        <v>0</v>
      </c>
    </row>
    <row r="223" spans="1:21" ht="23.25" customHeight="1" thickTop="1" thickBot="1" x14ac:dyDescent="0.3">
      <c r="A223" s="108">
        <v>217</v>
      </c>
      <c r="B223" s="328" t="str">
        <f>+'Base de Datos'!E223</f>
        <v>140184-0-2014</v>
      </c>
      <c r="C223" s="328" t="str">
        <f>+'Base de Datos'!F223</f>
        <v>SODINLEC LTDA</v>
      </c>
      <c r="D223" s="329">
        <f>+'Base de Datos'!I223</f>
        <v>10564000</v>
      </c>
      <c r="E223" s="330">
        <f>+'Base de Datos'!M223</f>
        <v>41793</v>
      </c>
      <c r="F223" s="330">
        <f>+'Base de Datos'!N223</f>
        <v>42096</v>
      </c>
      <c r="G223" s="330">
        <f>+'Base de Datos'!T223</f>
        <v>42096</v>
      </c>
      <c r="H223" s="329">
        <f>+'Base de Datos'!U223</f>
        <v>10564000</v>
      </c>
      <c r="I223" s="331" t="str">
        <f>IF(VLOOKUP(B223,'Base de Datos'!$E$7:$S$303,11,0),"SI","NO")</f>
        <v>NO</v>
      </c>
      <c r="J223" s="332" t="str">
        <f t="shared" si="21"/>
        <v/>
      </c>
      <c r="K223" s="331" t="str">
        <f>IF(VLOOKUP(B223,'Base de Datos'!$E$7:$S$303,11,0),"SI","NO")</f>
        <v>NO</v>
      </c>
      <c r="L223" s="332" t="str">
        <f t="shared" si="22"/>
        <v/>
      </c>
      <c r="M223" s="332">
        <f>VLOOKUP(B223,'Base de Datos'!$E$7:$Z$303,21,0)</f>
        <v>0.95183235516849674</v>
      </c>
      <c r="N223" s="394" t="str">
        <f t="shared" ca="1" si="26"/>
        <v/>
      </c>
      <c r="O223" s="332">
        <f ca="1">VLOOKUP(B223,'Base de Datos'!$E$7:$Z$303,22,0)</f>
        <v>1</v>
      </c>
      <c r="P223" s="393">
        <f t="shared" ca="1" si="23"/>
        <v>1022</v>
      </c>
      <c r="Q223" s="406">
        <f t="shared" ca="1" si="27"/>
        <v>8.5166666666666675</v>
      </c>
      <c r="R223" s="328" t="str">
        <f ca="1">VLOOKUP(B223,'Base de Datos'!E223:AR534,33,0)</f>
        <v>TERMINO</v>
      </c>
      <c r="S223" s="331" t="str">
        <f t="shared" ca="1" si="24"/>
        <v>NO</v>
      </c>
      <c r="T223" s="328" t="str">
        <f t="shared" ca="1" si="25"/>
        <v>Liquidar</v>
      </c>
      <c r="U223" s="328">
        <f>VLOOKUP(B223,'Base de Datos'!$E$7:$AR$401,38,0)</f>
        <v>42376</v>
      </c>
    </row>
    <row r="224" spans="1:21" ht="23.25" customHeight="1" thickTop="1" thickBot="1" x14ac:dyDescent="0.3">
      <c r="A224" s="108">
        <v>218</v>
      </c>
      <c r="B224" s="328" t="str">
        <f>+'Base de Datos'!E224</f>
        <v>140210-0-2014</v>
      </c>
      <c r="C224" s="328" t="str">
        <f>+'Base de Datos'!F224</f>
        <v>H &amp; D OFIMAGEN</v>
      </c>
      <c r="D224" s="329">
        <f>+'Base de Datos'!I224</f>
        <v>249991314</v>
      </c>
      <c r="E224" s="330">
        <f>+'Base de Datos'!M224</f>
        <v>41837</v>
      </c>
      <c r="F224" s="330">
        <f>+'Base de Datos'!N224</f>
        <v>42171</v>
      </c>
      <c r="G224" s="330">
        <f>+'Base de Datos'!T224</f>
        <v>42216</v>
      </c>
      <c r="H224" s="329">
        <f>+'Base de Datos'!U224</f>
        <v>249991314</v>
      </c>
      <c r="I224" s="331" t="str">
        <f>IF(VLOOKUP(B224,'Base de Datos'!$E$7:$S$303,11,0),"SI","NO")</f>
        <v>NO</v>
      </c>
      <c r="J224" s="332" t="str">
        <f t="shared" si="21"/>
        <v/>
      </c>
      <c r="K224" s="331" t="str">
        <f>IF(VLOOKUP(B224,'Base de Datos'!$E$7:$S$303,11,0),"SI","NO")</f>
        <v>NO</v>
      </c>
      <c r="L224" s="332" t="str">
        <f t="shared" si="22"/>
        <v/>
      </c>
      <c r="M224" s="332">
        <f>VLOOKUP(B224,'Base de Datos'!$E$7:$Z$303,21,0)</f>
        <v>0.99313612952168406</v>
      </c>
      <c r="N224" s="394" t="str">
        <f t="shared" ca="1" si="26"/>
        <v/>
      </c>
      <c r="O224" s="332">
        <f ca="1">VLOOKUP(B224,'Base de Datos'!$E$7:$Z$303,22,0)</f>
        <v>1</v>
      </c>
      <c r="P224" s="393">
        <f t="shared" ca="1" si="23"/>
        <v>902</v>
      </c>
      <c r="Q224" s="406">
        <f t="shared" ca="1" si="27"/>
        <v>7.5166666666666666</v>
      </c>
      <c r="R224" s="328" t="str">
        <f ca="1">VLOOKUP(B224,'Base de Datos'!E224:AR535,33,0)</f>
        <v>TERMINO</v>
      </c>
      <c r="S224" s="331" t="str">
        <f t="shared" ca="1" si="24"/>
        <v>NO</v>
      </c>
      <c r="T224" s="328" t="str">
        <f t="shared" ca="1" si="25"/>
        <v>Liquidar</v>
      </c>
      <c r="U224" s="328">
        <f>VLOOKUP(B224,'Base de Datos'!$E$7:$AR$401,38,0)</f>
        <v>0</v>
      </c>
    </row>
    <row r="225" spans="1:21" ht="23.25" customHeight="1" thickTop="1" thickBot="1" x14ac:dyDescent="0.3">
      <c r="A225" s="108">
        <v>219</v>
      </c>
      <c r="B225" s="328" t="str">
        <f>+'Base de Datos'!E225</f>
        <v>140224-0-2014</v>
      </c>
      <c r="C225" s="328" t="str">
        <f>+'Base de Datos'!F225</f>
        <v>SISTEMA Y SEGURIDAD INDUSTRIAL COLOMBIANA E.U.</v>
      </c>
      <c r="D225" s="329">
        <f>+'Base de Datos'!I225</f>
        <v>4136000</v>
      </c>
      <c r="E225" s="330">
        <f>+'Base de Datos'!M225</f>
        <v>41935</v>
      </c>
      <c r="F225" s="330">
        <f>+'Base de Datos'!N225</f>
        <v>42027</v>
      </c>
      <c r="G225" s="330">
        <f>+'Base de Datos'!T225</f>
        <v>42027</v>
      </c>
      <c r="H225" s="329">
        <f>+'Base de Datos'!U225</f>
        <v>4136000</v>
      </c>
      <c r="I225" s="331" t="str">
        <f>IF(VLOOKUP(B225,'Base de Datos'!$E$7:$S$303,11,0),"SI","NO")</f>
        <v>NO</v>
      </c>
      <c r="J225" s="332" t="str">
        <f t="shared" si="21"/>
        <v/>
      </c>
      <c r="K225" s="331" t="str">
        <f>IF(VLOOKUP(B225,'Base de Datos'!$E$7:$S$303,11,0),"SI","NO")</f>
        <v>NO</v>
      </c>
      <c r="L225" s="332" t="str">
        <f t="shared" si="22"/>
        <v/>
      </c>
      <c r="M225" s="332">
        <f>VLOOKUP(B225,'Base de Datos'!$E$7:$Z$303,21,0)</f>
        <v>0.54425701160541584</v>
      </c>
      <c r="N225" s="394" t="str">
        <f t="shared" ca="1" si="26"/>
        <v/>
      </c>
      <c r="O225" s="332">
        <f ca="1">VLOOKUP(B225,'Base de Datos'!$E$7:$Z$303,22,0)</f>
        <v>1</v>
      </c>
      <c r="P225" s="393">
        <f t="shared" ca="1" si="23"/>
        <v>1091</v>
      </c>
      <c r="Q225" s="406">
        <f t="shared" ca="1" si="27"/>
        <v>9.0916666666666668</v>
      </c>
      <c r="R225" s="328" t="str">
        <f ca="1">VLOOKUP(B225,'Base de Datos'!E225:AR536,33,0)</f>
        <v>TERMINO</v>
      </c>
      <c r="S225" s="331" t="str">
        <f t="shared" ca="1" si="24"/>
        <v>NO</v>
      </c>
      <c r="T225" s="328" t="str">
        <f t="shared" ca="1" si="25"/>
        <v>Liquidar</v>
      </c>
      <c r="U225" s="328">
        <f>VLOOKUP(B225,'Base de Datos'!$E$7:$AR$401,38,0)</f>
        <v>0</v>
      </c>
    </row>
    <row r="226" spans="1:21" ht="23.25" customHeight="1" thickTop="1" thickBot="1" x14ac:dyDescent="0.3">
      <c r="A226" s="108">
        <v>220</v>
      </c>
      <c r="B226" s="328" t="str">
        <f>+'Base de Datos'!E226</f>
        <v>140238-0-2014</v>
      </c>
      <c r="C226" s="328" t="str">
        <f>+'Base de Datos'!F226</f>
        <v>COMPENSAR SALONES</v>
      </c>
      <c r="D226" s="329">
        <f>+'Base de Datos'!I226</f>
        <v>65200000</v>
      </c>
      <c r="E226" s="330">
        <f>+'Base de Datos'!M226</f>
        <v>41835</v>
      </c>
      <c r="F226" s="330">
        <f>+'Base de Datos'!N226</f>
        <v>42078</v>
      </c>
      <c r="G226" s="330">
        <f>+'Base de Datos'!T226</f>
        <v>42139</v>
      </c>
      <c r="H226" s="329">
        <f>+'Base de Datos'!U226</f>
        <v>97800000</v>
      </c>
      <c r="I226" s="331" t="str">
        <f>IF(VLOOKUP(B226,'Base de Datos'!$E$7:$S$303,11,0),"SI","NO")</f>
        <v>SI</v>
      </c>
      <c r="J226" s="332">
        <f t="shared" si="21"/>
        <v>0.25102880658436216</v>
      </c>
      <c r="K226" s="331" t="str">
        <f>IF(VLOOKUP(B226,'Base de Datos'!$E$7:$S$303,11,0),"SI","NO")</f>
        <v>SI</v>
      </c>
      <c r="L226" s="332">
        <f t="shared" si="22"/>
        <v>0.5</v>
      </c>
      <c r="M226" s="332">
        <f>VLOOKUP(B226,'Base de Datos'!$E$7:$Z$303,21,0)</f>
        <v>0.99994394683026588</v>
      </c>
      <c r="N226" s="394" t="str">
        <f t="shared" ca="1" si="26"/>
        <v/>
      </c>
      <c r="O226" s="332">
        <f ca="1">VLOOKUP(B226,'Base de Datos'!$E$7:$Z$303,22,0)</f>
        <v>1</v>
      </c>
      <c r="P226" s="393">
        <f t="shared" ca="1" si="23"/>
        <v>979</v>
      </c>
      <c r="Q226" s="406">
        <f t="shared" ca="1" si="27"/>
        <v>8.1583333333333332</v>
      </c>
      <c r="R226" s="328" t="str">
        <f ca="1">VLOOKUP(B226,'Base de Datos'!E226:AR537,33,0)</f>
        <v>TERMINO</v>
      </c>
      <c r="S226" s="331" t="str">
        <f t="shared" ca="1" si="24"/>
        <v>NO</v>
      </c>
      <c r="T226" s="328" t="str">
        <f t="shared" ca="1" si="25"/>
        <v>Liquidar</v>
      </c>
      <c r="U226" s="328">
        <f>VLOOKUP(B226,'Base de Datos'!$E$7:$AR$401,38,0)</f>
        <v>42345</v>
      </c>
    </row>
    <row r="227" spans="1:21" ht="23.25" customHeight="1" thickTop="1" thickBot="1" x14ac:dyDescent="0.3">
      <c r="A227" s="108">
        <v>221</v>
      </c>
      <c r="B227" s="328" t="str">
        <f>+'Base de Datos'!E227</f>
        <v>140243-0-2014</v>
      </c>
      <c r="C227" s="328" t="str">
        <f>+'Base de Datos'!F227</f>
        <v>COTECNA CERTIFICADORA SEVICES LIMITADA</v>
      </c>
      <c r="D227" s="329">
        <f>+'Base de Datos'!I227</f>
        <v>2228070</v>
      </c>
      <c r="E227" s="330">
        <f>+'Base de Datos'!M227</f>
        <v>41842</v>
      </c>
      <c r="F227" s="330">
        <f>+'Base de Datos'!N227</f>
        <v>41965</v>
      </c>
      <c r="G227" s="330">
        <f>+'Base de Datos'!T227</f>
        <v>41965</v>
      </c>
      <c r="H227" s="329">
        <f>+'Base de Datos'!U227</f>
        <v>2228070</v>
      </c>
      <c r="I227" s="331" t="str">
        <f>IF(VLOOKUP(B227,'Base de Datos'!$E$7:$S$303,11,0),"SI","NO")</f>
        <v>NO</v>
      </c>
      <c r="J227" s="332" t="str">
        <f t="shared" si="21"/>
        <v/>
      </c>
      <c r="K227" s="331" t="str">
        <f>IF(VLOOKUP(B227,'Base de Datos'!$E$7:$S$303,11,0),"SI","NO")</f>
        <v>NO</v>
      </c>
      <c r="L227" s="332" t="str">
        <f t="shared" si="22"/>
        <v/>
      </c>
      <c r="M227" s="332">
        <f>VLOOKUP(B227,'Base de Datos'!$E$7:$Z$303,21,0)</f>
        <v>1</v>
      </c>
      <c r="N227" s="394" t="str">
        <f t="shared" ca="1" si="26"/>
        <v/>
      </c>
      <c r="O227" s="332">
        <f ca="1">VLOOKUP(B227,'Base de Datos'!$E$7:$Z$303,22,0)</f>
        <v>1</v>
      </c>
      <c r="P227" s="393">
        <f t="shared" ca="1" si="23"/>
        <v>1153</v>
      </c>
      <c r="Q227" s="406">
        <f t="shared" ca="1" si="27"/>
        <v>9.6083333333333325</v>
      </c>
      <c r="R227" s="328" t="str">
        <f ca="1">VLOOKUP(B227,'Base de Datos'!E227:AR538,33,0)</f>
        <v>TERMINO</v>
      </c>
      <c r="S227" s="331" t="str">
        <f t="shared" ca="1" si="24"/>
        <v>NO</v>
      </c>
      <c r="T227" s="328" t="str">
        <f t="shared" ca="1" si="25"/>
        <v>Liquidar</v>
      </c>
      <c r="U227" s="328">
        <f>VLOOKUP(B227,'Base de Datos'!$E$7:$AR$401,38,0)</f>
        <v>42265</v>
      </c>
    </row>
    <row r="228" spans="1:21" ht="23.25" customHeight="1" thickTop="1" thickBot="1" x14ac:dyDescent="0.3">
      <c r="A228" s="108">
        <v>222</v>
      </c>
      <c r="B228" s="328" t="str">
        <f>+'Base de Datos'!E228</f>
        <v>140244-0-2014</v>
      </c>
      <c r="C228" s="328" t="str">
        <f>+'Base de Datos'!F228</f>
        <v>INDUSTRIAS QUÍMICAS FIQ LTDA</v>
      </c>
      <c r="D228" s="329">
        <f>+'Base de Datos'!I228</f>
        <v>2260000</v>
      </c>
      <c r="E228" s="330">
        <f>+'Base de Datos'!M228</f>
        <v>41862</v>
      </c>
      <c r="F228" s="330">
        <f>+'Base de Datos'!N228</f>
        <v>41923</v>
      </c>
      <c r="G228" s="330">
        <f>+'Base de Datos'!T228</f>
        <v>41923</v>
      </c>
      <c r="H228" s="329">
        <f>+'Base de Datos'!U228</f>
        <v>2260000</v>
      </c>
      <c r="I228" s="331" t="str">
        <f>IF(VLOOKUP(B228,'Base de Datos'!$E$7:$S$303,11,0),"SI","NO")</f>
        <v>NO</v>
      </c>
      <c r="J228" s="332" t="str">
        <f t="shared" si="21"/>
        <v/>
      </c>
      <c r="K228" s="331" t="str">
        <f>IF(VLOOKUP(B228,'Base de Datos'!$E$7:$S$303,11,0),"SI","NO")</f>
        <v>NO</v>
      </c>
      <c r="L228" s="332" t="str">
        <f t="shared" si="22"/>
        <v/>
      </c>
      <c r="M228" s="332">
        <f>VLOOKUP(B228,'Base de Datos'!$E$7:$Z$303,21,0)</f>
        <v>0.70575221238938057</v>
      </c>
      <c r="N228" s="394" t="str">
        <f t="shared" ca="1" si="26"/>
        <v/>
      </c>
      <c r="O228" s="332">
        <f ca="1">VLOOKUP(B228,'Base de Datos'!$E$7:$Z$303,22,0)</f>
        <v>1</v>
      </c>
      <c r="P228" s="393">
        <f t="shared" ca="1" si="23"/>
        <v>1195</v>
      </c>
      <c r="Q228" s="406">
        <f t="shared" ca="1" si="27"/>
        <v>9.9583333333333339</v>
      </c>
      <c r="R228" s="328" t="str">
        <f ca="1">VLOOKUP(B228,'Base de Datos'!E228:AR539,33,0)</f>
        <v>TERMINO</v>
      </c>
      <c r="S228" s="331" t="str">
        <f t="shared" ca="1" si="24"/>
        <v>NO</v>
      </c>
      <c r="T228" s="328" t="str">
        <f t="shared" ca="1" si="25"/>
        <v>Liquidar</v>
      </c>
      <c r="U228" s="328">
        <f>VLOOKUP(B228,'Base de Datos'!$E$7:$AR$401,38,0)</f>
        <v>42150</v>
      </c>
    </row>
    <row r="229" spans="1:21" ht="23.25" customHeight="1" thickTop="1" thickBot="1" x14ac:dyDescent="0.3">
      <c r="A229" s="108">
        <v>223</v>
      </c>
      <c r="B229" s="328" t="str">
        <f>+'Base de Datos'!E229</f>
        <v>140249-0-2014</v>
      </c>
      <c r="C229" s="328" t="str">
        <f>+'Base de Datos'!F229</f>
        <v>INVERSIONES MATAY SAS</v>
      </c>
      <c r="D229" s="329">
        <f>+'Base de Datos'!I229</f>
        <v>202978686</v>
      </c>
      <c r="E229" s="330">
        <f>+'Base de Datos'!M229</f>
        <v>41850</v>
      </c>
      <c r="F229" s="330">
        <f>+'Base de Datos'!N229</f>
        <v>42034</v>
      </c>
      <c r="G229" s="330">
        <f>+'Base de Datos'!T229</f>
        <v>42108</v>
      </c>
      <c r="H229" s="329">
        <f>+'Base de Datos'!U229</f>
        <v>290648563</v>
      </c>
      <c r="I229" s="331" t="str">
        <f>IF(VLOOKUP(B229,'Base de Datos'!$E$7:$S$303,11,0),"SI","NO")</f>
        <v>SI</v>
      </c>
      <c r="J229" s="332">
        <f t="shared" si="21"/>
        <v>0.40217391304347827</v>
      </c>
      <c r="K229" s="331" t="str">
        <f>IF(VLOOKUP(B229,'Base de Datos'!$E$7:$S$303,11,0),"SI","NO")</f>
        <v>SI</v>
      </c>
      <c r="L229" s="332">
        <f t="shared" si="22"/>
        <v>0.43191666439302895</v>
      </c>
      <c r="M229" s="332">
        <f>VLOOKUP(B229,'Base de Datos'!$E$7:$Z$303,21,0)</f>
        <v>1</v>
      </c>
      <c r="N229" s="394" t="str">
        <f t="shared" ca="1" si="26"/>
        <v/>
      </c>
      <c r="O229" s="332">
        <f ca="1">VLOOKUP(B229,'Base de Datos'!$E$7:$Z$303,22,0)</f>
        <v>1</v>
      </c>
      <c r="P229" s="393">
        <f t="shared" ca="1" si="23"/>
        <v>1010</v>
      </c>
      <c r="Q229" s="406">
        <f t="shared" ca="1" si="27"/>
        <v>8.4166666666666661</v>
      </c>
      <c r="R229" s="328" t="str">
        <f ca="1">VLOOKUP(B229,'Base de Datos'!E229:AR540,33,0)</f>
        <v>TERMINO</v>
      </c>
      <c r="S229" s="331" t="str">
        <f t="shared" ca="1" si="24"/>
        <v>NO</v>
      </c>
      <c r="T229" s="328" t="str">
        <f t="shared" ca="1" si="25"/>
        <v>Liquidar</v>
      </c>
      <c r="U229" s="328">
        <f>VLOOKUP(B229,'Base de Datos'!$E$7:$AR$401,38,0)</f>
        <v>42278</v>
      </c>
    </row>
    <row r="230" spans="1:21" ht="23.25" customHeight="1" thickTop="1" thickBot="1" x14ac:dyDescent="0.3">
      <c r="A230" s="108">
        <v>224</v>
      </c>
      <c r="B230" s="328" t="str">
        <f>+'Base de Datos'!E230</f>
        <v>140252-0-2014</v>
      </c>
      <c r="C230" s="328" t="str">
        <f>+'Base de Datos'!F230</f>
        <v>LINALCA INFORMATICA</v>
      </c>
      <c r="D230" s="329">
        <f>+'Base de Datos'!I230</f>
        <v>16592327</v>
      </c>
      <c r="E230" s="330">
        <f>+'Base de Datos'!M230</f>
        <v>41936</v>
      </c>
      <c r="F230" s="330">
        <f>+'Base de Datos'!N230</f>
        <v>42301</v>
      </c>
      <c r="G230" s="330">
        <f>+'Base de Datos'!T230</f>
        <v>42301</v>
      </c>
      <c r="H230" s="329">
        <f>+'Base de Datos'!U230</f>
        <v>16592327</v>
      </c>
      <c r="I230" s="331" t="str">
        <f>IF(VLOOKUP(B230,'Base de Datos'!$E$7:$S$303,11,0),"SI","NO")</f>
        <v>NO</v>
      </c>
      <c r="J230" s="332" t="str">
        <f t="shared" si="21"/>
        <v/>
      </c>
      <c r="K230" s="331" t="str">
        <f>IF(VLOOKUP(B230,'Base de Datos'!$E$7:$S$303,11,0),"SI","NO")</f>
        <v>NO</v>
      </c>
      <c r="L230" s="332" t="str">
        <f t="shared" si="22"/>
        <v/>
      </c>
      <c r="M230" s="332">
        <f>VLOOKUP(B230,'Base de Datos'!$E$7:$Z$303,21,0)</f>
        <v>0.90000004218817531</v>
      </c>
      <c r="N230" s="394" t="str">
        <f t="shared" ca="1" si="26"/>
        <v/>
      </c>
      <c r="O230" s="332">
        <f ca="1">VLOOKUP(B230,'Base de Datos'!$E$7:$Z$303,22,0)</f>
        <v>1</v>
      </c>
      <c r="P230" s="393">
        <f t="shared" ca="1" si="23"/>
        <v>817</v>
      </c>
      <c r="Q230" s="406">
        <f t="shared" ca="1" si="27"/>
        <v>6.8083333333333336</v>
      </c>
      <c r="R230" s="328" t="str">
        <f ca="1">VLOOKUP(B230,'Base de Datos'!E230:AR541,33,0)</f>
        <v>TERMINO</v>
      </c>
      <c r="S230" s="331" t="str">
        <f t="shared" ca="1" si="24"/>
        <v>SI</v>
      </c>
      <c r="T230" s="328" t="str">
        <f t="shared" ca="1" si="25"/>
        <v>Liquidar</v>
      </c>
      <c r="U230" s="328">
        <f>VLOOKUP(B230,'Base de Datos'!$E$7:$AR$401,38,0)</f>
        <v>0</v>
      </c>
    </row>
    <row r="231" spans="1:21" ht="23.25" customHeight="1" thickTop="1" thickBot="1" x14ac:dyDescent="0.3">
      <c r="A231" s="108">
        <v>225</v>
      </c>
      <c r="B231" s="328" t="str">
        <f>+'Base de Datos'!E231</f>
        <v>140274-0-2014</v>
      </c>
      <c r="C231" s="328" t="str">
        <f>+'Base de Datos'!F231</f>
        <v>PUBLICACIONES SEMANA S.A.</v>
      </c>
      <c r="D231" s="329">
        <f>+'Base de Datos'!I231</f>
        <v>807000</v>
      </c>
      <c r="E231" s="330">
        <f>+'Base de Datos'!M231</f>
        <v>41912</v>
      </c>
      <c r="F231" s="330">
        <f>+'Base de Datos'!N231</f>
        <v>42277</v>
      </c>
      <c r="G231" s="330">
        <f>+'Base de Datos'!T231</f>
        <v>42277</v>
      </c>
      <c r="H231" s="329">
        <f>+'Base de Datos'!U231</f>
        <v>807000</v>
      </c>
      <c r="I231" s="331" t="str">
        <f>IF(VLOOKUP(B231,'Base de Datos'!$E$7:$S$303,11,0),"SI","NO")</f>
        <v>NO</v>
      </c>
      <c r="J231" s="332" t="str">
        <f t="shared" si="21"/>
        <v/>
      </c>
      <c r="K231" s="331" t="str">
        <f>IF(VLOOKUP(B231,'Base de Datos'!$E$7:$S$303,11,0),"SI","NO")</f>
        <v>NO</v>
      </c>
      <c r="L231" s="332" t="str">
        <f t="shared" si="22"/>
        <v/>
      </c>
      <c r="M231" s="332">
        <f>VLOOKUP(B231,'Base de Datos'!$E$7:$Z$303,21,0)</f>
        <v>1</v>
      </c>
      <c r="N231" s="394" t="str">
        <f t="shared" ca="1" si="26"/>
        <v/>
      </c>
      <c r="O231" s="332">
        <f ca="1">VLOOKUP(B231,'Base de Datos'!$E$7:$Z$303,22,0)</f>
        <v>1</v>
      </c>
      <c r="P231" s="393">
        <f t="shared" ca="1" si="23"/>
        <v>841</v>
      </c>
      <c r="Q231" s="406">
        <f t="shared" ca="1" si="27"/>
        <v>7.0083333333333337</v>
      </c>
      <c r="R231" s="328" t="str">
        <f ca="1">VLOOKUP(B231,'Base de Datos'!E231:AR542,33,0)</f>
        <v>TERMINO</v>
      </c>
      <c r="S231" s="331" t="str">
        <f t="shared" ca="1" si="24"/>
        <v>SI</v>
      </c>
      <c r="T231" s="328" t="str">
        <f t="shared" ca="1" si="25"/>
        <v>Liquidar</v>
      </c>
      <c r="U231" s="328">
        <f>VLOOKUP(B231,'Base de Datos'!$E$7:$AR$401,38,0)</f>
        <v>0</v>
      </c>
    </row>
    <row r="232" spans="1:21" ht="23.25" customHeight="1" thickTop="1" thickBot="1" x14ac:dyDescent="0.3">
      <c r="A232" s="108">
        <v>226</v>
      </c>
      <c r="B232" s="328" t="str">
        <f>+'Base de Datos'!E232</f>
        <v>140276-0-2014</v>
      </c>
      <c r="C232" s="328" t="str">
        <f>+'Base de Datos'!F232</f>
        <v>COMUNICAN S.A</v>
      </c>
      <c r="D232" s="329">
        <f>+'Base de Datos'!I232</f>
        <v>936000</v>
      </c>
      <c r="E232" s="330">
        <f>+'Base de Datos'!M232</f>
        <v>41893</v>
      </c>
      <c r="F232" s="330">
        <f>+'Base de Datos'!N232</f>
        <v>42258</v>
      </c>
      <c r="G232" s="330">
        <f>+'Base de Datos'!T232</f>
        <v>42258</v>
      </c>
      <c r="H232" s="329">
        <f>+'Base de Datos'!U232</f>
        <v>936000</v>
      </c>
      <c r="I232" s="331" t="str">
        <f>IF(VLOOKUP(B232,'Base de Datos'!$E$7:$S$303,11,0),"SI","NO")</f>
        <v>NO</v>
      </c>
      <c r="J232" s="332" t="str">
        <f t="shared" si="21"/>
        <v/>
      </c>
      <c r="K232" s="331" t="str">
        <f>IF(VLOOKUP(B232,'Base de Datos'!$E$7:$S$303,11,0),"SI","NO")</f>
        <v>NO</v>
      </c>
      <c r="L232" s="332" t="str">
        <f t="shared" si="22"/>
        <v/>
      </c>
      <c r="M232" s="332">
        <f>VLOOKUP(B232,'Base de Datos'!$E$7:$Z$303,21,0)</f>
        <v>1</v>
      </c>
      <c r="N232" s="394" t="str">
        <f t="shared" ca="1" si="26"/>
        <v/>
      </c>
      <c r="O232" s="332">
        <f ca="1">VLOOKUP(B232,'Base de Datos'!$E$7:$Z$303,22,0)</f>
        <v>1</v>
      </c>
      <c r="P232" s="393">
        <f t="shared" ca="1" si="23"/>
        <v>860</v>
      </c>
      <c r="Q232" s="406">
        <f t="shared" ca="1" si="27"/>
        <v>7.166666666666667</v>
      </c>
      <c r="R232" s="328" t="str">
        <f ca="1">VLOOKUP(B232,'Base de Datos'!E232:AR543,33,0)</f>
        <v>TERMINO</v>
      </c>
      <c r="S232" s="331" t="str">
        <f t="shared" ca="1" si="24"/>
        <v>SI</v>
      </c>
      <c r="T232" s="328" t="str">
        <f t="shared" ca="1" si="25"/>
        <v>Liquidar</v>
      </c>
      <c r="U232" s="328">
        <f>VLOOKUP(B232,'Base de Datos'!$E$7:$AR$401,38,0)</f>
        <v>42377</v>
      </c>
    </row>
    <row r="233" spans="1:21" ht="23.25" customHeight="1" thickTop="1" thickBot="1" x14ac:dyDescent="0.3">
      <c r="A233" s="108">
        <v>227</v>
      </c>
      <c r="B233" s="328" t="str">
        <f>+'Base de Datos'!E233</f>
        <v>140279-0-2014</v>
      </c>
      <c r="C233" s="328" t="str">
        <f>+'Base de Datos'!F233</f>
        <v>EDITORIAL LA UNIDAD</v>
      </c>
      <c r="D233" s="329">
        <f>+'Base de Datos'!I233</f>
        <v>855000</v>
      </c>
      <c r="E233" s="330">
        <f>+'Base de Datos'!M233</f>
        <v>41896</v>
      </c>
      <c r="F233" s="330">
        <f>+'Base de Datos'!N233</f>
        <v>42261</v>
      </c>
      <c r="G233" s="330">
        <f>+'Base de Datos'!T233</f>
        <v>42261</v>
      </c>
      <c r="H233" s="329">
        <f>+'Base de Datos'!U233</f>
        <v>855000</v>
      </c>
      <c r="I233" s="331" t="str">
        <f>IF(VLOOKUP(B233,'Base de Datos'!$E$7:$S$303,11,0),"SI","NO")</f>
        <v>NO</v>
      </c>
      <c r="J233" s="332" t="str">
        <f t="shared" si="21"/>
        <v/>
      </c>
      <c r="K233" s="331" t="str">
        <f>IF(VLOOKUP(B233,'Base de Datos'!$E$7:$S$303,11,0),"SI","NO")</f>
        <v>NO</v>
      </c>
      <c r="L233" s="332" t="str">
        <f t="shared" si="22"/>
        <v/>
      </c>
      <c r="M233" s="332">
        <f>VLOOKUP(B233,'Base de Datos'!$E$7:$Z$303,21,0)</f>
        <v>1</v>
      </c>
      <c r="N233" s="394" t="str">
        <f t="shared" ca="1" si="26"/>
        <v/>
      </c>
      <c r="O233" s="332">
        <f ca="1">VLOOKUP(B233,'Base de Datos'!$E$7:$Z$303,22,0)</f>
        <v>1</v>
      </c>
      <c r="P233" s="393">
        <f t="shared" ca="1" si="23"/>
        <v>857</v>
      </c>
      <c r="Q233" s="406">
        <f t="shared" ca="1" si="27"/>
        <v>7.1416666666666666</v>
      </c>
      <c r="R233" s="328" t="str">
        <f ca="1">VLOOKUP(B233,'Base de Datos'!E233:AR544,33,0)</f>
        <v>TERMINO</v>
      </c>
      <c r="S233" s="331" t="str">
        <f t="shared" ca="1" si="24"/>
        <v>SI</v>
      </c>
      <c r="T233" s="328" t="str">
        <f t="shared" ca="1" si="25"/>
        <v>Liquidar</v>
      </c>
      <c r="U233" s="328">
        <f>VLOOKUP(B233,'Base de Datos'!$E$7:$AR$401,38,0)</f>
        <v>42318</v>
      </c>
    </row>
    <row r="234" spans="1:21" ht="23.25" customHeight="1" thickTop="1" thickBot="1" x14ac:dyDescent="0.3">
      <c r="A234" s="108">
        <v>228</v>
      </c>
      <c r="B234" s="328" t="str">
        <f>+'Base de Datos'!E234</f>
        <v>140281-0-2014</v>
      </c>
      <c r="C234" s="328" t="str">
        <f>+'Base de Datos'!F234</f>
        <v>SUPERIOR DE DOTACIONES SAS</v>
      </c>
      <c r="D234" s="329">
        <f>+'Base de Datos'!I234</f>
        <v>19356282</v>
      </c>
      <c r="E234" s="330">
        <f>+'Base de Datos'!M234</f>
        <v>41887</v>
      </c>
      <c r="F234" s="330">
        <f>+'Base de Datos'!N234</f>
        <v>42009</v>
      </c>
      <c r="G234" s="330">
        <f>+'Base de Datos'!T234</f>
        <v>42009</v>
      </c>
      <c r="H234" s="329">
        <f>+'Base de Datos'!U234</f>
        <v>19356282</v>
      </c>
      <c r="I234" s="331" t="str">
        <f>IF(VLOOKUP(B234,'Base de Datos'!$E$7:$S$303,11,0),"SI","NO")</f>
        <v>NO</v>
      </c>
      <c r="J234" s="332" t="str">
        <f t="shared" si="21"/>
        <v/>
      </c>
      <c r="K234" s="331" t="str">
        <f>IF(VLOOKUP(B234,'Base de Datos'!$E$7:$S$303,11,0),"SI","NO")</f>
        <v>NO</v>
      </c>
      <c r="L234" s="332" t="str">
        <f t="shared" si="22"/>
        <v/>
      </c>
      <c r="M234" s="332">
        <f>VLOOKUP(B234,'Base de Datos'!$E$7:$Z$303,21,0)</f>
        <v>1</v>
      </c>
      <c r="N234" s="394" t="str">
        <f t="shared" ca="1" si="26"/>
        <v/>
      </c>
      <c r="O234" s="332">
        <f ca="1">VLOOKUP(B234,'Base de Datos'!$E$7:$Z$303,22,0)</f>
        <v>1</v>
      </c>
      <c r="P234" s="393">
        <f t="shared" ca="1" si="23"/>
        <v>1109</v>
      </c>
      <c r="Q234" s="406">
        <f t="shared" ca="1" si="27"/>
        <v>9.2416666666666671</v>
      </c>
      <c r="R234" s="328" t="str">
        <f ca="1">VLOOKUP(B234,'Base de Datos'!E234:AR545,33,0)</f>
        <v>TERMINO</v>
      </c>
      <c r="S234" s="331" t="str">
        <f t="shared" ca="1" si="24"/>
        <v>NO</v>
      </c>
      <c r="T234" s="328" t="str">
        <f t="shared" ca="1" si="25"/>
        <v>Liquidar</v>
      </c>
      <c r="U234" s="328">
        <f>VLOOKUP(B234,'Base de Datos'!$E$7:$AR$401,38,0)</f>
        <v>0</v>
      </c>
    </row>
    <row r="235" spans="1:21" ht="23.25" customHeight="1" thickTop="1" thickBot="1" x14ac:dyDescent="0.3">
      <c r="A235" s="108">
        <v>229</v>
      </c>
      <c r="B235" s="328" t="str">
        <f>+'Base de Datos'!E235</f>
        <v>140282-0-2014</v>
      </c>
      <c r="C235" s="328" t="str">
        <f>+'Base de Datos'!F235</f>
        <v>GRUPO EDITORIAL EL PERIÓDICO S.A.S</v>
      </c>
      <c r="D235" s="329">
        <f>+'Base de Datos'!I235</f>
        <v>810000</v>
      </c>
      <c r="E235" s="330">
        <f>+'Base de Datos'!M235</f>
        <v>41940</v>
      </c>
      <c r="F235" s="330">
        <f>+'Base de Datos'!N235</f>
        <v>42305</v>
      </c>
      <c r="G235" s="330">
        <f>+'Base de Datos'!T235</f>
        <v>42305</v>
      </c>
      <c r="H235" s="329">
        <f>+'Base de Datos'!U235</f>
        <v>810000</v>
      </c>
      <c r="I235" s="331" t="str">
        <f>IF(VLOOKUP(B235,'Base de Datos'!$E$7:$S$303,11,0),"SI","NO")</f>
        <v>NO</v>
      </c>
      <c r="J235" s="332" t="str">
        <f t="shared" si="21"/>
        <v/>
      </c>
      <c r="K235" s="331" t="str">
        <f>IF(VLOOKUP(B235,'Base de Datos'!$E$7:$S$303,11,0),"SI","NO")</f>
        <v>NO</v>
      </c>
      <c r="L235" s="332" t="str">
        <f t="shared" si="22"/>
        <v/>
      </c>
      <c r="M235" s="332">
        <f>VLOOKUP(B235,'Base de Datos'!$E$7:$Z$303,21,0)</f>
        <v>1</v>
      </c>
      <c r="N235" s="394" t="str">
        <f t="shared" ca="1" si="26"/>
        <v/>
      </c>
      <c r="O235" s="332">
        <f ca="1">VLOOKUP(B235,'Base de Datos'!$E$7:$Z$303,22,0)</f>
        <v>1</v>
      </c>
      <c r="P235" s="393">
        <f t="shared" ca="1" si="23"/>
        <v>813</v>
      </c>
      <c r="Q235" s="406">
        <f t="shared" ca="1" si="27"/>
        <v>6.7750000000000004</v>
      </c>
      <c r="R235" s="328" t="str">
        <f ca="1">VLOOKUP(B235,'Base de Datos'!E235:AR546,33,0)</f>
        <v>TERMINO</v>
      </c>
      <c r="S235" s="331" t="str">
        <f t="shared" ca="1" si="24"/>
        <v>SI</v>
      </c>
      <c r="T235" s="328" t="str">
        <f t="shared" ca="1" si="25"/>
        <v>Liquidar</v>
      </c>
      <c r="U235" s="328">
        <f>VLOOKUP(B235,'Base de Datos'!$E$7:$AR$401,38,0)</f>
        <v>42341</v>
      </c>
    </row>
    <row r="236" spans="1:21" ht="23.25" customHeight="1" thickTop="1" thickBot="1" x14ac:dyDescent="0.3">
      <c r="A236" s="108">
        <v>230</v>
      </c>
      <c r="B236" s="328" t="str">
        <f>+'Base de Datos'!E236</f>
        <v>140288-0-2014</v>
      </c>
      <c r="C236" s="328" t="str">
        <f>+'Base de Datos'!F236</f>
        <v>SGS COLOMBIA S.A.</v>
      </c>
      <c r="D236" s="329">
        <f>+'Base de Datos'!I236</f>
        <v>4621440</v>
      </c>
      <c r="E236" s="330">
        <f>+'Base de Datos'!M236</f>
        <v>41934</v>
      </c>
      <c r="F236" s="330">
        <f>+'Base de Datos'!N236</f>
        <v>42085</v>
      </c>
      <c r="G236" s="330">
        <f>+'Base de Datos'!T236</f>
        <v>42085</v>
      </c>
      <c r="H236" s="329">
        <f>+'Base de Datos'!U236</f>
        <v>4621440</v>
      </c>
      <c r="I236" s="331" t="str">
        <f>IF(VLOOKUP(B236,'Base de Datos'!$E$7:$S$303,11,0),"SI","NO")</f>
        <v>NO</v>
      </c>
      <c r="J236" s="332" t="str">
        <f t="shared" si="21"/>
        <v/>
      </c>
      <c r="K236" s="331" t="str">
        <f>IF(VLOOKUP(B236,'Base de Datos'!$E$7:$S$303,11,0),"SI","NO")</f>
        <v>NO</v>
      </c>
      <c r="L236" s="332" t="str">
        <f t="shared" si="22"/>
        <v/>
      </c>
      <c r="M236" s="332">
        <f>VLOOKUP(B236,'Base de Datos'!$E$7:$Z$303,21,0)</f>
        <v>1</v>
      </c>
      <c r="N236" s="394" t="str">
        <f t="shared" ca="1" si="26"/>
        <v/>
      </c>
      <c r="O236" s="332">
        <f ca="1">VLOOKUP(B236,'Base de Datos'!$E$7:$Z$303,22,0)</f>
        <v>1</v>
      </c>
      <c r="P236" s="393">
        <f t="shared" ca="1" si="23"/>
        <v>1033</v>
      </c>
      <c r="Q236" s="406">
        <f t="shared" ca="1" si="27"/>
        <v>8.6083333333333325</v>
      </c>
      <c r="R236" s="328" t="str">
        <f ca="1">VLOOKUP(B236,'Base de Datos'!E236:AR547,33,0)</f>
        <v>TERMINO</v>
      </c>
      <c r="S236" s="331" t="str">
        <f t="shared" ca="1" si="24"/>
        <v>NO</v>
      </c>
      <c r="T236" s="328" t="str">
        <f t="shared" ca="1" si="25"/>
        <v>Liquidar</v>
      </c>
      <c r="U236" s="328">
        <f>VLOOKUP(B236,'Base de Datos'!$E$7:$AR$401,38,0)</f>
        <v>0</v>
      </c>
    </row>
    <row r="237" spans="1:21" ht="23.25" customHeight="1" thickTop="1" thickBot="1" x14ac:dyDescent="0.3">
      <c r="A237" s="108">
        <v>231</v>
      </c>
      <c r="B237" s="328" t="str">
        <f>+'Base de Datos'!E237</f>
        <v>140290-0-2014</v>
      </c>
      <c r="C237" s="328" t="str">
        <f>+'Base de Datos'!F237</f>
        <v>CENTRO DE DIAGNOSTICO Y TRATAMIENTO CENDIATRA LTDA</v>
      </c>
      <c r="D237" s="329">
        <f>+'Base de Datos'!I237</f>
        <v>41850000</v>
      </c>
      <c r="E237" s="330">
        <f>+'Base de Datos'!M237</f>
        <v>41926</v>
      </c>
      <c r="F237" s="330">
        <f>+'Base de Datos'!N237</f>
        <v>42138</v>
      </c>
      <c r="G237" s="330">
        <f>+'Base de Datos'!T237</f>
        <v>42138</v>
      </c>
      <c r="H237" s="329">
        <f>+'Base de Datos'!U237</f>
        <v>41850000</v>
      </c>
      <c r="I237" s="331" t="str">
        <f>IF(VLOOKUP(B237,'Base de Datos'!$E$7:$S$303,11,0),"SI","NO")</f>
        <v>NO</v>
      </c>
      <c r="J237" s="332" t="str">
        <f t="shared" si="21"/>
        <v/>
      </c>
      <c r="K237" s="331" t="str">
        <f>IF(VLOOKUP(B237,'Base de Datos'!$E$7:$S$303,11,0),"SI","NO")</f>
        <v>NO</v>
      </c>
      <c r="L237" s="332" t="str">
        <f t="shared" si="22"/>
        <v/>
      </c>
      <c r="M237" s="332">
        <f>VLOOKUP(B237,'Base de Datos'!$E$7:$Z$303,21,0)</f>
        <v>0.6299402628434887</v>
      </c>
      <c r="N237" s="394" t="str">
        <f t="shared" ca="1" si="26"/>
        <v/>
      </c>
      <c r="O237" s="332">
        <f ca="1">VLOOKUP(B237,'Base de Datos'!$E$7:$Z$303,22,0)</f>
        <v>1</v>
      </c>
      <c r="P237" s="393">
        <f t="shared" ca="1" si="23"/>
        <v>980</v>
      </c>
      <c r="Q237" s="406">
        <f t="shared" ca="1" si="27"/>
        <v>8.1666666666666661</v>
      </c>
      <c r="R237" s="328" t="str">
        <f ca="1">VLOOKUP(B237,'Base de Datos'!E237:AR548,33,0)</f>
        <v>TERMINO</v>
      </c>
      <c r="S237" s="331" t="str">
        <f t="shared" ca="1" si="24"/>
        <v>NO</v>
      </c>
      <c r="T237" s="328" t="str">
        <f t="shared" ca="1" si="25"/>
        <v>Liquidar</v>
      </c>
      <c r="U237" s="328">
        <f>VLOOKUP(B237,'Base de Datos'!$E$7:$AR$401,38,0)</f>
        <v>0</v>
      </c>
    </row>
    <row r="238" spans="1:21" ht="23.25" customHeight="1" thickTop="1" thickBot="1" x14ac:dyDescent="0.3">
      <c r="A238" s="108">
        <v>232</v>
      </c>
      <c r="B238" s="328" t="str">
        <f>+'Base de Datos'!E238</f>
        <v>140291-0-2014</v>
      </c>
      <c r="C238" s="328" t="str">
        <f>+'Base de Datos'!F238</f>
        <v>NAYIVE CARRASCO PATIÑO</v>
      </c>
      <c r="D238" s="329">
        <f>+'Base de Datos'!I238</f>
        <v>25000000</v>
      </c>
      <c r="E238" s="330">
        <f>+'Base de Datos'!M238</f>
        <v>41891</v>
      </c>
      <c r="F238" s="330">
        <f>+'Base de Datos'!N238</f>
        <v>42013</v>
      </c>
      <c r="G238" s="330">
        <f>+'Base de Datos'!T238</f>
        <v>42013</v>
      </c>
      <c r="H238" s="329">
        <f>+'Base de Datos'!U238</f>
        <v>25000000</v>
      </c>
      <c r="I238" s="331" t="str">
        <f>IF(VLOOKUP(B238,'Base de Datos'!$E$7:$S$303,11,0),"SI","NO")</f>
        <v>NO</v>
      </c>
      <c r="J238" s="332" t="str">
        <f t="shared" si="21"/>
        <v/>
      </c>
      <c r="K238" s="331" t="str">
        <f>IF(VLOOKUP(B238,'Base de Datos'!$E$7:$S$303,11,0),"SI","NO")</f>
        <v>NO</v>
      </c>
      <c r="L238" s="332" t="str">
        <f t="shared" si="22"/>
        <v/>
      </c>
      <c r="M238" s="332">
        <f>VLOOKUP(B238,'Base de Datos'!$E$7:$Z$303,21,0)</f>
        <v>1</v>
      </c>
      <c r="N238" s="394" t="str">
        <f t="shared" ca="1" si="26"/>
        <v/>
      </c>
      <c r="O238" s="332">
        <f ca="1">VLOOKUP(B238,'Base de Datos'!$E$7:$Z$303,22,0)</f>
        <v>1</v>
      </c>
      <c r="P238" s="393">
        <f t="shared" ca="1" si="23"/>
        <v>1105</v>
      </c>
      <c r="Q238" s="406">
        <f t="shared" ca="1" si="27"/>
        <v>9.2083333333333339</v>
      </c>
      <c r="R238" s="328" t="str">
        <f ca="1">VLOOKUP(B238,'Base de Datos'!E238:AR549,33,0)</f>
        <v>TERMINO</v>
      </c>
      <c r="S238" s="331" t="str">
        <f t="shared" ca="1" si="24"/>
        <v>NO</v>
      </c>
      <c r="T238" s="328" t="str">
        <f t="shared" ca="1" si="25"/>
        <v>Liquidar</v>
      </c>
      <c r="U238" s="328">
        <f>VLOOKUP(B238,'Base de Datos'!$E$7:$AR$401,38,0)</f>
        <v>42145</v>
      </c>
    </row>
    <row r="239" spans="1:21" ht="23.25" customHeight="1" thickTop="1" thickBot="1" x14ac:dyDescent="0.3">
      <c r="A239" s="108">
        <v>233</v>
      </c>
      <c r="B239" s="328" t="str">
        <f>+'Base de Datos'!E239</f>
        <v>140292-0-2014</v>
      </c>
      <c r="C239" s="328" t="str">
        <f>+'Base de Datos'!F239</f>
        <v>JUAN SEBASTIÁN RAMÍREZ</v>
      </c>
      <c r="D239" s="329">
        <f>+'Base de Datos'!I239</f>
        <v>25000000</v>
      </c>
      <c r="E239" s="330">
        <f>+'Base de Datos'!M239</f>
        <v>41893</v>
      </c>
      <c r="F239" s="330">
        <f>+'Base de Datos'!N239</f>
        <v>42046</v>
      </c>
      <c r="G239" s="330">
        <f>+'Base de Datos'!T239</f>
        <v>42046</v>
      </c>
      <c r="H239" s="329">
        <f>+'Base de Datos'!U239</f>
        <v>25000000</v>
      </c>
      <c r="I239" s="331" t="str">
        <f>IF(VLOOKUP(B239,'Base de Datos'!$E$7:$S$303,11,0),"SI","NO")</f>
        <v>NO</v>
      </c>
      <c r="J239" s="332" t="str">
        <f t="shared" si="21"/>
        <v/>
      </c>
      <c r="K239" s="331" t="str">
        <f>IF(VLOOKUP(B239,'Base de Datos'!$E$7:$S$303,11,0),"SI","NO")</f>
        <v>NO</v>
      </c>
      <c r="L239" s="332" t="str">
        <f t="shared" si="22"/>
        <v/>
      </c>
      <c r="M239" s="332">
        <f>VLOOKUP(B239,'Base de Datos'!$E$7:$Z$303,21,0)</f>
        <v>1</v>
      </c>
      <c r="N239" s="394" t="str">
        <f t="shared" ca="1" si="26"/>
        <v/>
      </c>
      <c r="O239" s="332">
        <f ca="1">VLOOKUP(B239,'Base de Datos'!$E$7:$Z$303,22,0)</f>
        <v>1</v>
      </c>
      <c r="P239" s="393">
        <f t="shared" ca="1" si="23"/>
        <v>1072</v>
      </c>
      <c r="Q239" s="406">
        <f t="shared" ca="1" si="27"/>
        <v>8.9333333333333336</v>
      </c>
      <c r="R239" s="328" t="str">
        <f ca="1">VLOOKUP(B239,'Base de Datos'!E239:AR550,33,0)</f>
        <v>TERMINO</v>
      </c>
      <c r="S239" s="331" t="str">
        <f t="shared" ca="1" si="24"/>
        <v>NO</v>
      </c>
      <c r="T239" s="328" t="str">
        <f t="shared" ca="1" si="25"/>
        <v>Liquidar</v>
      </c>
      <c r="U239" s="328">
        <f>VLOOKUP(B239,'Base de Datos'!$E$7:$AR$401,38,0)</f>
        <v>42254</v>
      </c>
    </row>
    <row r="240" spans="1:21" ht="23.25" customHeight="1" thickTop="1" thickBot="1" x14ac:dyDescent="0.3">
      <c r="A240" s="108">
        <v>234</v>
      </c>
      <c r="B240" s="328" t="str">
        <f>+'Base de Datos'!E240</f>
        <v>140296-0-2014</v>
      </c>
      <c r="C240" s="328" t="str">
        <f>+'Base de Datos'!F240</f>
        <v>INGEAL S.A.</v>
      </c>
      <c r="D240" s="329">
        <f>+'Base de Datos'!I240</f>
        <v>311460000</v>
      </c>
      <c r="E240" s="330">
        <f>+'Base de Datos'!M240</f>
        <v>41907</v>
      </c>
      <c r="F240" s="330">
        <f>+'Base de Datos'!N240</f>
        <v>41996</v>
      </c>
      <c r="G240" s="330">
        <f>+'Base de Datos'!T240</f>
        <v>41996</v>
      </c>
      <c r="H240" s="329">
        <f>+'Base de Datos'!U240</f>
        <v>311460000</v>
      </c>
      <c r="I240" s="331" t="str">
        <f>IF(VLOOKUP(B240,'Base de Datos'!$E$7:$S$303,11,0),"SI","NO")</f>
        <v>NO</v>
      </c>
      <c r="J240" s="332" t="str">
        <f t="shared" si="21"/>
        <v/>
      </c>
      <c r="K240" s="331" t="str">
        <f>IF(VLOOKUP(B240,'Base de Datos'!$E$7:$S$303,11,0),"SI","NO")</f>
        <v>NO</v>
      </c>
      <c r="L240" s="332" t="str">
        <f t="shared" si="22"/>
        <v/>
      </c>
      <c r="M240" s="332">
        <f>VLOOKUP(B240,'Base de Datos'!$E$7:$Z$303,21,0)</f>
        <v>0.3</v>
      </c>
      <c r="N240" s="394" t="str">
        <f t="shared" ca="1" si="26"/>
        <v/>
      </c>
      <c r="O240" s="332">
        <f ca="1">VLOOKUP(B240,'Base de Datos'!$E$7:$Z$303,22,0)</f>
        <v>1</v>
      </c>
      <c r="P240" s="393">
        <f t="shared" ca="1" si="23"/>
        <v>1122</v>
      </c>
      <c r="Q240" s="406">
        <f t="shared" ca="1" si="27"/>
        <v>9.35</v>
      </c>
      <c r="R240" s="328" t="str">
        <f ca="1">VLOOKUP(B240,'Base de Datos'!E240:AR551,33,0)</f>
        <v>TERMINO</v>
      </c>
      <c r="S240" s="331" t="str">
        <f t="shared" ca="1" si="24"/>
        <v>NO</v>
      </c>
      <c r="T240" s="328" t="str">
        <f t="shared" ca="1" si="25"/>
        <v>Liquidar</v>
      </c>
      <c r="U240" s="328">
        <f>VLOOKUP(B240,'Base de Datos'!$E$7:$AR$401,38,0)</f>
        <v>42298</v>
      </c>
    </row>
    <row r="241" spans="1:21" ht="23.25" customHeight="1" thickTop="1" thickBot="1" x14ac:dyDescent="0.3">
      <c r="A241" s="108">
        <v>235</v>
      </c>
      <c r="B241" s="328" t="str">
        <f>+'Base de Datos'!E241</f>
        <v>140299-0-2014</v>
      </c>
      <c r="C241" s="328" t="str">
        <f>+'Base de Datos'!F241</f>
        <v>LIZETH  GONZÁLEZ VARGAS</v>
      </c>
      <c r="D241" s="329">
        <f>+'Base de Datos'!I241</f>
        <v>17500000</v>
      </c>
      <c r="E241" s="330">
        <f>+'Base de Datos'!M241</f>
        <v>41900</v>
      </c>
      <c r="F241" s="330">
        <f>+'Base de Datos'!N241</f>
        <v>42053</v>
      </c>
      <c r="G241" s="330">
        <f>+'Base de Datos'!T241</f>
        <v>42053</v>
      </c>
      <c r="H241" s="329">
        <f>+'Base de Datos'!U241</f>
        <v>17500000</v>
      </c>
      <c r="I241" s="331" t="str">
        <f>IF(VLOOKUP(B241,'Base de Datos'!$E$7:$S$303,11,0),"SI","NO")</f>
        <v>NO</v>
      </c>
      <c r="J241" s="332" t="str">
        <f t="shared" si="21"/>
        <v/>
      </c>
      <c r="K241" s="331" t="str">
        <f>IF(VLOOKUP(B241,'Base de Datos'!$E$7:$S$303,11,0),"SI","NO")</f>
        <v>NO</v>
      </c>
      <c r="L241" s="332" t="str">
        <f t="shared" si="22"/>
        <v/>
      </c>
      <c r="M241" s="332">
        <f>VLOOKUP(B241,'Base de Datos'!$E$7:$Z$303,21,0)</f>
        <v>1</v>
      </c>
      <c r="N241" s="394" t="str">
        <f t="shared" ca="1" si="26"/>
        <v/>
      </c>
      <c r="O241" s="332">
        <f ca="1">VLOOKUP(B241,'Base de Datos'!$E$7:$Z$303,22,0)</f>
        <v>1</v>
      </c>
      <c r="P241" s="393">
        <f t="shared" ca="1" si="23"/>
        <v>1065</v>
      </c>
      <c r="Q241" s="406">
        <f t="shared" ca="1" si="27"/>
        <v>8.875</v>
      </c>
      <c r="R241" s="328" t="str">
        <f ca="1">VLOOKUP(B241,'Base de Datos'!E241:AR552,33,0)</f>
        <v>TERMINO</v>
      </c>
      <c r="S241" s="331" t="str">
        <f t="shared" ca="1" si="24"/>
        <v>NO</v>
      </c>
      <c r="T241" s="328" t="str">
        <f t="shared" ca="1" si="25"/>
        <v>Liquidar</v>
      </c>
      <c r="U241" s="328">
        <f>VLOOKUP(B241,'Base de Datos'!$E$7:$AR$401,38,0)</f>
        <v>42187</v>
      </c>
    </row>
    <row r="242" spans="1:21" ht="23.25" customHeight="1" thickTop="1" thickBot="1" x14ac:dyDescent="0.3">
      <c r="A242" s="108">
        <v>236</v>
      </c>
      <c r="B242" s="328" t="str">
        <f>+'Base de Datos'!E242</f>
        <v>140306-0-2014</v>
      </c>
      <c r="C242" s="328" t="str">
        <f>+'Base de Datos'!F242</f>
        <v>I3NET  S.A.S</v>
      </c>
      <c r="D242" s="329">
        <f>+'Base de Datos'!I242</f>
        <v>14153603</v>
      </c>
      <c r="E242" s="330">
        <f>+'Base de Datos'!M242</f>
        <v>41929</v>
      </c>
      <c r="F242" s="330">
        <f>+'Base de Datos'!N242</f>
        <v>42021</v>
      </c>
      <c r="G242" s="330">
        <f>+'Base de Datos'!T242</f>
        <v>42021</v>
      </c>
      <c r="H242" s="329">
        <f>+'Base de Datos'!U242</f>
        <v>14153603</v>
      </c>
      <c r="I242" s="331" t="str">
        <f>IF(VLOOKUP(B242,'Base de Datos'!$E$7:$S$303,11,0),"SI","NO")</f>
        <v>NO</v>
      </c>
      <c r="J242" s="332" t="str">
        <f t="shared" si="21"/>
        <v/>
      </c>
      <c r="K242" s="331" t="str">
        <f>IF(VLOOKUP(B242,'Base de Datos'!$E$7:$S$303,11,0),"SI","NO")</f>
        <v>NO</v>
      </c>
      <c r="L242" s="332" t="str">
        <f t="shared" si="22"/>
        <v/>
      </c>
      <c r="M242" s="332">
        <f>VLOOKUP(B242,'Base de Datos'!$E$7:$Z$303,21,0)</f>
        <v>1</v>
      </c>
      <c r="N242" s="394" t="str">
        <f t="shared" ca="1" si="26"/>
        <v/>
      </c>
      <c r="O242" s="332">
        <f ca="1">VLOOKUP(B242,'Base de Datos'!$E$7:$Z$303,22,0)</f>
        <v>1</v>
      </c>
      <c r="P242" s="393">
        <f t="shared" ca="1" si="23"/>
        <v>1097</v>
      </c>
      <c r="Q242" s="406">
        <f t="shared" ca="1" si="27"/>
        <v>9.1416666666666675</v>
      </c>
      <c r="R242" s="328" t="str">
        <f ca="1">VLOOKUP(B242,'Base de Datos'!E242:AR553,33,0)</f>
        <v>TERMINO</v>
      </c>
      <c r="S242" s="331" t="str">
        <f t="shared" ca="1" si="24"/>
        <v>NO</v>
      </c>
      <c r="T242" s="328" t="str">
        <f t="shared" ca="1" si="25"/>
        <v>Liquidar</v>
      </c>
      <c r="U242" s="328">
        <f>VLOOKUP(B242,'Base de Datos'!$E$7:$AR$401,38,0)</f>
        <v>42145</v>
      </c>
    </row>
    <row r="243" spans="1:21" ht="23.25" customHeight="1" thickTop="1" thickBot="1" x14ac:dyDescent="0.3">
      <c r="A243" s="108">
        <v>237</v>
      </c>
      <c r="B243" s="328" t="str">
        <f>+'Base de Datos'!E243</f>
        <v>140312-0-2014</v>
      </c>
      <c r="C243" s="328" t="str">
        <f>+'Base de Datos'!F243</f>
        <v>CRISTIAN DAVID PARDO MARTINEZ</v>
      </c>
      <c r="D243" s="329">
        <f>+'Base de Datos'!I243</f>
        <v>10000000</v>
      </c>
      <c r="E243" s="330">
        <f>+'Base de Datos'!M243</f>
        <v>41911</v>
      </c>
      <c r="F243" s="330">
        <f>+'Base de Datos'!N243</f>
        <v>42033</v>
      </c>
      <c r="G243" s="330">
        <f>+'Base de Datos'!T243</f>
        <v>42033</v>
      </c>
      <c r="H243" s="329">
        <f>+'Base de Datos'!U243</f>
        <v>10000000</v>
      </c>
      <c r="I243" s="331" t="str">
        <f>IF(VLOOKUP(B243,'Base de Datos'!$E$7:$S$303,11,0),"SI","NO")</f>
        <v>NO</v>
      </c>
      <c r="J243" s="332" t="str">
        <f t="shared" si="21"/>
        <v/>
      </c>
      <c r="K243" s="331" t="str">
        <f>IF(VLOOKUP(B243,'Base de Datos'!$E$7:$S$303,11,0),"SI","NO")</f>
        <v>NO</v>
      </c>
      <c r="L243" s="332" t="str">
        <f t="shared" si="22"/>
        <v/>
      </c>
      <c r="M243" s="332">
        <f>VLOOKUP(B243,'Base de Datos'!$E$7:$Z$303,21,0)</f>
        <v>1</v>
      </c>
      <c r="N243" s="394" t="str">
        <f t="shared" ca="1" si="26"/>
        <v/>
      </c>
      <c r="O243" s="332">
        <f ca="1">VLOOKUP(B243,'Base de Datos'!$E$7:$Z$303,22,0)</f>
        <v>1</v>
      </c>
      <c r="P243" s="393">
        <f t="shared" ca="1" si="23"/>
        <v>1085</v>
      </c>
      <c r="Q243" s="406">
        <f t="shared" ca="1" si="27"/>
        <v>9.0416666666666661</v>
      </c>
      <c r="R243" s="328" t="str">
        <f ca="1">VLOOKUP(B243,'Base de Datos'!E243:AR554,33,0)</f>
        <v>TERMINO</v>
      </c>
      <c r="S243" s="331" t="str">
        <f t="shared" ca="1" si="24"/>
        <v>NO</v>
      </c>
      <c r="T243" s="328" t="str">
        <f t="shared" ca="1" si="25"/>
        <v>Liquidar</v>
      </c>
      <c r="U243" s="328">
        <f>VLOOKUP(B243,'Base de Datos'!$E$7:$AR$401,38,0)</f>
        <v>42152</v>
      </c>
    </row>
    <row r="244" spans="1:21" ht="23.25" customHeight="1" thickTop="1" thickBot="1" x14ac:dyDescent="0.3">
      <c r="A244" s="108">
        <v>238</v>
      </c>
      <c r="B244" s="328" t="str">
        <f>+'Base de Datos'!E244</f>
        <v xml:space="preserve">140316-0-2014 </v>
      </c>
      <c r="C244" s="328" t="str">
        <f>+'Base de Datos'!F244</f>
        <v>SOLUCIONES EN INGENIERIA Y SOFTWARE SAS</v>
      </c>
      <c r="D244" s="329">
        <f>+'Base de Datos'!I244</f>
        <v>812500</v>
      </c>
      <c r="E244" s="330">
        <f>+'Base de Datos'!M244</f>
        <v>41928</v>
      </c>
      <c r="F244" s="330">
        <f>+'Base de Datos'!N244</f>
        <v>42004</v>
      </c>
      <c r="G244" s="330">
        <f>+'Base de Datos'!T244</f>
        <v>42004</v>
      </c>
      <c r="H244" s="329">
        <f>+'Base de Datos'!U244</f>
        <v>812500</v>
      </c>
      <c r="I244" s="331" t="str">
        <f>IF(VLOOKUP(B244,'Base de Datos'!$E$7:$S$303,11,0),"SI","NO")</f>
        <v>NO</v>
      </c>
      <c r="J244" s="332" t="str">
        <f t="shared" si="21"/>
        <v/>
      </c>
      <c r="K244" s="331" t="str">
        <f>IF(VLOOKUP(B244,'Base de Datos'!$E$7:$S$303,11,0),"SI","NO")</f>
        <v>NO</v>
      </c>
      <c r="L244" s="332" t="str">
        <f t="shared" si="22"/>
        <v/>
      </c>
      <c r="M244" s="332">
        <f>VLOOKUP(B244,'Base de Datos'!$E$7:$Z$303,21,0)</f>
        <v>1</v>
      </c>
      <c r="N244" s="394" t="str">
        <f t="shared" ca="1" si="26"/>
        <v/>
      </c>
      <c r="O244" s="332">
        <f ca="1">VLOOKUP(B244,'Base de Datos'!$E$7:$Z$303,22,0)</f>
        <v>1</v>
      </c>
      <c r="P244" s="393">
        <f t="shared" ca="1" si="23"/>
        <v>1114</v>
      </c>
      <c r="Q244" s="406">
        <f t="shared" ca="1" si="27"/>
        <v>9.2833333333333332</v>
      </c>
      <c r="R244" s="328" t="str">
        <f ca="1">VLOOKUP(B244,'Base de Datos'!E244:AR555,33,0)</f>
        <v>TERMINO</v>
      </c>
      <c r="S244" s="331" t="str">
        <f t="shared" ca="1" si="24"/>
        <v>NO</v>
      </c>
      <c r="T244" s="328" t="str">
        <f t="shared" ca="1" si="25"/>
        <v>Liquidar</v>
      </c>
      <c r="U244" s="328">
        <f>VLOOKUP(B244,'Base de Datos'!$E$7:$AR$401,38,0)</f>
        <v>0</v>
      </c>
    </row>
    <row r="245" spans="1:21" ht="23.25" customHeight="1" thickTop="1" thickBot="1" x14ac:dyDescent="0.3">
      <c r="A245" s="108">
        <v>239</v>
      </c>
      <c r="B245" s="328" t="str">
        <f>+'Base de Datos'!E245</f>
        <v>140317-0-2014</v>
      </c>
      <c r="C245" s="328" t="str">
        <f>+'Base de Datos'!F245</f>
        <v>FACTOR VISUAL EAT</v>
      </c>
      <c r="D245" s="329">
        <f>+'Base de Datos'!I245</f>
        <v>44544000</v>
      </c>
      <c r="E245" s="330">
        <f>+'Base de Datos'!M245</f>
        <v>41929</v>
      </c>
      <c r="F245" s="330">
        <f>+'Base de Datos'!N245</f>
        <v>42294</v>
      </c>
      <c r="G245" s="330">
        <f>+'Base de Datos'!T245</f>
        <v>42477</v>
      </c>
      <c r="H245" s="329">
        <f>+'Base de Datos'!U245</f>
        <v>66816000</v>
      </c>
      <c r="I245" s="331" t="str">
        <f>IF(VLOOKUP(B245,'Base de Datos'!$E$7:$S$303,11,0),"SI","NO")</f>
        <v>SI</v>
      </c>
      <c r="J245" s="332">
        <f t="shared" si="21"/>
        <v>0.50136986301369868</v>
      </c>
      <c r="K245" s="331" t="str">
        <f>IF(VLOOKUP(B245,'Base de Datos'!$E$7:$S$303,11,0),"SI","NO")</f>
        <v>SI</v>
      </c>
      <c r="L245" s="332">
        <f t="shared" si="22"/>
        <v>0.5</v>
      </c>
      <c r="M245" s="332">
        <f>VLOOKUP(B245,'Base de Datos'!$E$7:$Z$303,21,0)</f>
        <v>1</v>
      </c>
      <c r="N245" s="394" t="str">
        <f t="shared" ca="1" si="26"/>
        <v/>
      </c>
      <c r="O245" s="332">
        <f ca="1">VLOOKUP(B245,'Base de Datos'!$E$7:$Z$303,22,0)</f>
        <v>1</v>
      </c>
      <c r="P245" s="393">
        <f t="shared" ca="1" si="23"/>
        <v>641</v>
      </c>
      <c r="Q245" s="406">
        <f t="shared" ca="1" si="27"/>
        <v>5.3416666666666668</v>
      </c>
      <c r="R245" s="328" t="str">
        <f ca="1">VLOOKUP(B245,'Base de Datos'!E245:AR556,33,0)</f>
        <v>TERMINO</v>
      </c>
      <c r="S245" s="331" t="str">
        <f t="shared" ca="1" si="24"/>
        <v>SI</v>
      </c>
      <c r="T245" s="328" t="str">
        <f t="shared" ca="1" si="25"/>
        <v>Liquidar</v>
      </c>
      <c r="U245" s="328">
        <f>VLOOKUP(B245,'Base de Datos'!$E$7:$AR$401,38,0)</f>
        <v>0</v>
      </c>
    </row>
    <row r="246" spans="1:21" ht="23.25" customHeight="1" thickTop="1" thickBot="1" x14ac:dyDescent="0.3">
      <c r="A246" s="108">
        <v>240</v>
      </c>
      <c r="B246" s="328" t="str">
        <f>+'Base de Datos'!E246</f>
        <v>140319-0-2014</v>
      </c>
      <c r="C246" s="328" t="str">
        <f>+'Base de Datos'!F246</f>
        <v>CANAL REGIONAL DE TELEVISION TEVEANDINA LTDA - TEVEANDINA LTDA</v>
      </c>
      <c r="D246" s="329">
        <f>+'Base de Datos'!I246</f>
        <v>818527824</v>
      </c>
      <c r="E246" s="330">
        <f>+'Base de Datos'!M246</f>
        <v>41921</v>
      </c>
      <c r="F246" s="330">
        <f>+'Base de Datos'!N246</f>
        <v>42102</v>
      </c>
      <c r="G246" s="330">
        <f>+'Base de Datos'!T246</f>
        <v>42116</v>
      </c>
      <c r="H246" s="329">
        <f>+'Base de Datos'!U246</f>
        <v>818527824</v>
      </c>
      <c r="I246" s="331" t="str">
        <f>IF(VLOOKUP(B246,'Base de Datos'!$E$7:$S$303,11,0),"SI","NO")</f>
        <v>NO</v>
      </c>
      <c r="J246" s="332" t="str">
        <f t="shared" si="21"/>
        <v/>
      </c>
      <c r="K246" s="331" t="str">
        <f>IF(VLOOKUP(B246,'Base de Datos'!$E$7:$S$303,11,0),"SI","NO")</f>
        <v>NO</v>
      </c>
      <c r="L246" s="332" t="str">
        <f t="shared" si="22"/>
        <v/>
      </c>
      <c r="M246" s="332">
        <f>VLOOKUP(B246,'Base de Datos'!$E$7:$Z$303,21,0)</f>
        <v>0.97833046662565259</v>
      </c>
      <c r="N246" s="394" t="str">
        <f t="shared" ca="1" si="26"/>
        <v/>
      </c>
      <c r="O246" s="332">
        <f ca="1">VLOOKUP(B246,'Base de Datos'!$E$7:$Z$303,22,0)</f>
        <v>1</v>
      </c>
      <c r="P246" s="393">
        <f t="shared" ca="1" si="23"/>
        <v>1002</v>
      </c>
      <c r="Q246" s="406">
        <f t="shared" ca="1" si="27"/>
        <v>8.35</v>
      </c>
      <c r="R246" s="328" t="str">
        <f ca="1">VLOOKUP(B246,'Base de Datos'!E246:AR557,33,0)</f>
        <v>TERMINO</v>
      </c>
      <c r="S246" s="331" t="str">
        <f t="shared" ca="1" si="24"/>
        <v>NO</v>
      </c>
      <c r="T246" s="328" t="str">
        <f t="shared" ca="1" si="25"/>
        <v>Liquidar</v>
      </c>
      <c r="U246" s="328">
        <f>VLOOKUP(B246,'Base de Datos'!$E$7:$AR$401,38,0)</f>
        <v>0</v>
      </c>
    </row>
    <row r="247" spans="1:21" ht="23.25" customHeight="1" thickTop="1" thickBot="1" x14ac:dyDescent="0.3">
      <c r="A247" s="108">
        <v>241</v>
      </c>
      <c r="B247" s="328" t="str">
        <f>+'Base de Datos'!E247</f>
        <v>140322-0-2014</v>
      </c>
      <c r="C247" s="328" t="str">
        <f>+'Base de Datos'!F247</f>
        <v>SUMIMAS SAS</v>
      </c>
      <c r="D247" s="329">
        <f>+'Base de Datos'!I247</f>
        <v>75520000</v>
      </c>
      <c r="E247" s="330">
        <f>+'Base de Datos'!M247</f>
        <v>41929</v>
      </c>
      <c r="F247" s="330">
        <f>+'Base de Datos'!N247</f>
        <v>42294</v>
      </c>
      <c r="G247" s="330">
        <f>+'Base de Datos'!T247</f>
        <v>42369</v>
      </c>
      <c r="H247" s="329">
        <f>+'Base de Datos'!U247</f>
        <v>75520000</v>
      </c>
      <c r="I247" s="331" t="str">
        <f>IF(VLOOKUP(B247,'Base de Datos'!$E$7:$S$303,11,0),"SI","NO")</f>
        <v>NO</v>
      </c>
      <c r="J247" s="332" t="str">
        <f t="shared" si="21"/>
        <v/>
      </c>
      <c r="K247" s="331" t="str">
        <f>IF(VLOOKUP(B247,'Base de Datos'!$E$7:$S$303,11,0),"SI","NO")</f>
        <v>NO</v>
      </c>
      <c r="L247" s="332" t="str">
        <f t="shared" si="22"/>
        <v/>
      </c>
      <c r="M247" s="332">
        <f>VLOOKUP(B247,'Base de Datos'!$E$7:$Z$303,21,0)</f>
        <v>0.99999998675847457</v>
      </c>
      <c r="N247" s="394" t="str">
        <f t="shared" ca="1" si="26"/>
        <v/>
      </c>
      <c r="O247" s="332">
        <f ca="1">VLOOKUP(B247,'Base de Datos'!$E$7:$Z$303,22,0)</f>
        <v>1</v>
      </c>
      <c r="P247" s="393">
        <f t="shared" ca="1" si="23"/>
        <v>749</v>
      </c>
      <c r="Q247" s="406">
        <f t="shared" ca="1" si="27"/>
        <v>6.2416666666666663</v>
      </c>
      <c r="R247" s="328" t="str">
        <f ca="1">VLOOKUP(B247,'Base de Datos'!E247:AR558,33,0)</f>
        <v>TERMINO</v>
      </c>
      <c r="S247" s="331" t="str">
        <f t="shared" ca="1" si="24"/>
        <v>SI</v>
      </c>
      <c r="T247" s="328" t="str">
        <f t="shared" ca="1" si="25"/>
        <v>Liquidar</v>
      </c>
      <c r="U247" s="328">
        <f>VLOOKUP(B247,'Base de Datos'!$E$7:$AR$401,38,0)</f>
        <v>0</v>
      </c>
    </row>
    <row r="248" spans="1:21" ht="23.25" customHeight="1" thickTop="1" thickBot="1" x14ac:dyDescent="0.3">
      <c r="A248" s="108">
        <v>242</v>
      </c>
      <c r="B248" s="328" t="str">
        <f>+'Base de Datos'!E248</f>
        <v>140330-0-2014</v>
      </c>
      <c r="C248" s="328" t="str">
        <f>+'Base de Datos'!F248</f>
        <v>SOLUCIONES INTEGRALES DE OFICINAS      SAS</v>
      </c>
      <c r="D248" s="329">
        <f>+'Base de Datos'!I248</f>
        <v>324800</v>
      </c>
      <c r="E248" s="330">
        <f>+'Base de Datos'!M248</f>
        <v>41939</v>
      </c>
      <c r="F248" s="330">
        <f>+'Base de Datos'!N248</f>
        <v>41970</v>
      </c>
      <c r="G248" s="330">
        <f>+'Base de Datos'!T248</f>
        <v>41970</v>
      </c>
      <c r="H248" s="329">
        <f>+'Base de Datos'!U248</f>
        <v>324800</v>
      </c>
      <c r="I248" s="331" t="str">
        <f>IF(VLOOKUP(B248,'Base de Datos'!$E$7:$S$303,11,0),"SI","NO")</f>
        <v>NO</v>
      </c>
      <c r="J248" s="332" t="str">
        <f t="shared" si="21"/>
        <v/>
      </c>
      <c r="K248" s="331" t="str">
        <f>IF(VLOOKUP(B248,'Base de Datos'!$E$7:$S$303,11,0),"SI","NO")</f>
        <v>NO</v>
      </c>
      <c r="L248" s="332" t="str">
        <f t="shared" si="22"/>
        <v/>
      </c>
      <c r="M248" s="332">
        <f>VLOOKUP(B248,'Base de Datos'!$E$7:$Z$303,21,0)</f>
        <v>1</v>
      </c>
      <c r="N248" s="394" t="str">
        <f t="shared" ca="1" si="26"/>
        <v/>
      </c>
      <c r="O248" s="332">
        <f ca="1">VLOOKUP(B248,'Base de Datos'!$E$7:$Z$303,22,0)</f>
        <v>1</v>
      </c>
      <c r="P248" s="393">
        <f t="shared" ca="1" si="23"/>
        <v>1148</v>
      </c>
      <c r="Q248" s="406">
        <f t="shared" ca="1" si="27"/>
        <v>9.5666666666666664</v>
      </c>
      <c r="R248" s="328" t="str">
        <f ca="1">VLOOKUP(B248,'Base de Datos'!E248:AR559,33,0)</f>
        <v>TERMINO</v>
      </c>
      <c r="S248" s="331" t="str">
        <f t="shared" ca="1" si="24"/>
        <v>NO</v>
      </c>
      <c r="T248" s="328" t="str">
        <f t="shared" ca="1" si="25"/>
        <v>Liquidar</v>
      </c>
      <c r="U248" s="328">
        <f>VLOOKUP(B248,'Base de Datos'!$E$7:$AR$401,38,0)</f>
        <v>42145</v>
      </c>
    </row>
    <row r="249" spans="1:21" ht="23.25" customHeight="1" thickTop="1" thickBot="1" x14ac:dyDescent="0.3">
      <c r="A249" s="108">
        <v>243</v>
      </c>
      <c r="B249" s="328" t="str">
        <f>+'Base de Datos'!E249</f>
        <v>140342-0-2014</v>
      </c>
      <c r="C249" s="328" t="str">
        <f>+'Base de Datos'!F249</f>
        <v>EDITORES CONARTE SAS</v>
      </c>
      <c r="D249" s="329">
        <f>+'Base de Datos'!I249</f>
        <v>1659960</v>
      </c>
      <c r="E249" s="330">
        <f>+'Base de Datos'!M249</f>
        <v>41968</v>
      </c>
      <c r="F249" s="330">
        <f>+'Base de Datos'!N249</f>
        <v>42241</v>
      </c>
      <c r="G249" s="330">
        <f>+'Base de Datos'!T249</f>
        <v>42241</v>
      </c>
      <c r="H249" s="329">
        <f>+'Base de Datos'!U249</f>
        <v>2459960</v>
      </c>
      <c r="I249" s="331" t="str">
        <f>IF(VLOOKUP(B249,'Base de Datos'!$E$7:$S$303,11,0),"SI","NO")</f>
        <v>SI</v>
      </c>
      <c r="J249" s="332">
        <f t="shared" si="21"/>
        <v>0</v>
      </c>
      <c r="K249" s="331" t="str">
        <f>IF(VLOOKUP(B249,'Base de Datos'!$E$7:$S$303,11,0),"SI","NO")</f>
        <v>SI</v>
      </c>
      <c r="L249" s="332">
        <f t="shared" si="22"/>
        <v>0.48193932383912863</v>
      </c>
      <c r="M249" s="332">
        <f>VLOOKUP(B249,'Base de Datos'!$E$7:$Z$303,21,0)</f>
        <v>0.99915608383876164</v>
      </c>
      <c r="N249" s="394" t="str">
        <f t="shared" ca="1" si="26"/>
        <v/>
      </c>
      <c r="O249" s="332">
        <f ca="1">VLOOKUP(B249,'Base de Datos'!$E$7:$Z$303,22,0)</f>
        <v>1</v>
      </c>
      <c r="P249" s="393">
        <f t="shared" ca="1" si="23"/>
        <v>877</v>
      </c>
      <c r="Q249" s="406">
        <f t="shared" ca="1" si="27"/>
        <v>7.3083333333333336</v>
      </c>
      <c r="R249" s="328" t="str">
        <f ca="1">VLOOKUP(B249,'Base de Datos'!E249:AR560,33,0)</f>
        <v>TERMINO</v>
      </c>
      <c r="S249" s="331" t="str">
        <f t="shared" ca="1" si="24"/>
        <v>SI</v>
      </c>
      <c r="T249" s="328" t="str">
        <f t="shared" ca="1" si="25"/>
        <v>Liquidar</v>
      </c>
      <c r="U249" s="328">
        <f>VLOOKUP(B249,'Base de Datos'!$E$7:$AR$401,38,0)</f>
        <v>42368</v>
      </c>
    </row>
    <row r="250" spans="1:21" ht="23.25" customHeight="1" thickTop="1" thickBot="1" x14ac:dyDescent="0.3">
      <c r="A250" s="108">
        <v>244</v>
      </c>
      <c r="B250" s="328" t="str">
        <f>+'Base de Datos'!E250</f>
        <v>140344-0-2014</v>
      </c>
      <c r="C250" s="328" t="str">
        <f>+'Base de Datos'!F250</f>
        <v>GUSTAVO ADOLFO BARRETO CASANOVA</v>
      </c>
      <c r="D250" s="329">
        <f>+'Base de Datos'!I250</f>
        <v>20188000</v>
      </c>
      <c r="E250" s="330">
        <f>+'Base de Datos'!M250</f>
        <v>41957</v>
      </c>
      <c r="F250" s="330">
        <f>+'Base de Datos'!N250</f>
        <v>42077</v>
      </c>
      <c r="G250" s="330">
        <f>+'Base de Datos'!T250</f>
        <v>42077</v>
      </c>
      <c r="H250" s="329">
        <f>+'Base de Datos'!U250</f>
        <v>20188000</v>
      </c>
      <c r="I250" s="331" t="str">
        <f>IF(VLOOKUP(B250,'Base de Datos'!$E$7:$S$303,11,0),"SI","NO")</f>
        <v>NO</v>
      </c>
      <c r="J250" s="332" t="str">
        <f t="shared" si="21"/>
        <v/>
      </c>
      <c r="K250" s="331" t="str">
        <f>IF(VLOOKUP(B250,'Base de Datos'!$E$7:$S$303,11,0),"SI","NO")</f>
        <v>NO</v>
      </c>
      <c r="L250" s="332" t="str">
        <f t="shared" si="22"/>
        <v/>
      </c>
      <c r="M250" s="332">
        <f>VLOOKUP(B250,'Base de Datos'!$E$7:$Z$303,21,0)</f>
        <v>1</v>
      </c>
      <c r="N250" s="394" t="str">
        <f t="shared" ca="1" si="26"/>
        <v/>
      </c>
      <c r="O250" s="332">
        <f ca="1">VLOOKUP(B250,'Base de Datos'!$E$7:$Z$303,22,0)</f>
        <v>1</v>
      </c>
      <c r="P250" s="393">
        <f t="shared" ca="1" si="23"/>
        <v>1041</v>
      </c>
      <c r="Q250" s="406">
        <f t="shared" ca="1" si="27"/>
        <v>8.6750000000000007</v>
      </c>
      <c r="R250" s="328" t="str">
        <f ca="1">VLOOKUP(B250,'Base de Datos'!E250:AR561,33,0)</f>
        <v>TERMINO</v>
      </c>
      <c r="S250" s="331" t="str">
        <f t="shared" ca="1" si="24"/>
        <v>NO</v>
      </c>
      <c r="T250" s="328" t="str">
        <f t="shared" ca="1" si="25"/>
        <v>Liquidar</v>
      </c>
      <c r="U250" s="328">
        <f>VLOOKUP(B250,'Base de Datos'!$E$7:$AR$401,38,0)</f>
        <v>42251</v>
      </c>
    </row>
    <row r="251" spans="1:21" ht="23.25" customHeight="1" thickTop="1" thickBot="1" x14ac:dyDescent="0.3">
      <c r="A251" s="108">
        <v>245</v>
      </c>
      <c r="B251" s="328" t="str">
        <f>+'Base de Datos'!E251</f>
        <v>140315-0-2014</v>
      </c>
      <c r="C251" s="328" t="str">
        <f>+'Base de Datos'!F251</f>
        <v>PROSEGUR TECNOLOGÍA S.A.S.</v>
      </c>
      <c r="D251" s="329">
        <f>+'Base de Datos'!I251</f>
        <v>59383678</v>
      </c>
      <c r="E251" s="330">
        <f>+'Base de Datos'!M251</f>
        <v>41941</v>
      </c>
      <c r="F251" s="330">
        <f>+'Base de Datos'!N251</f>
        <v>42033</v>
      </c>
      <c r="G251" s="330">
        <f>+'Base de Datos'!T251</f>
        <v>42184</v>
      </c>
      <c r="H251" s="329">
        <f>+'Base de Datos'!U251</f>
        <v>59383678</v>
      </c>
      <c r="I251" s="331" t="str">
        <f>IF(VLOOKUP(B251,'Base de Datos'!$E$7:$S$303,11,0),"SI","NO")</f>
        <v>NO</v>
      </c>
      <c r="J251" s="332" t="str">
        <f t="shared" si="21"/>
        <v/>
      </c>
      <c r="K251" s="331" t="str">
        <f>IF(VLOOKUP(B251,'Base de Datos'!$E$7:$S$303,11,0),"SI","NO")</f>
        <v>NO</v>
      </c>
      <c r="L251" s="332" t="str">
        <f t="shared" si="22"/>
        <v/>
      </c>
      <c r="M251" s="332">
        <f>VLOOKUP(B251,'Base de Datos'!$E$7:$Z$303,21,0)</f>
        <v>0.46763947494124564</v>
      </c>
      <c r="N251" s="394" t="str">
        <f t="shared" ca="1" si="26"/>
        <v/>
      </c>
      <c r="O251" s="332">
        <f ca="1">VLOOKUP(B251,'Base de Datos'!$E$7:$Z$303,22,0)</f>
        <v>1</v>
      </c>
      <c r="P251" s="393">
        <f t="shared" ca="1" si="23"/>
        <v>934</v>
      </c>
      <c r="Q251" s="406">
        <f t="shared" ca="1" si="27"/>
        <v>7.7833333333333332</v>
      </c>
      <c r="R251" s="328" t="str">
        <f ca="1">VLOOKUP(B251,'Base de Datos'!E251:AR562,33,0)</f>
        <v>TERMINO</v>
      </c>
      <c r="S251" s="331" t="str">
        <f t="shared" ca="1" si="24"/>
        <v>NO</v>
      </c>
      <c r="T251" s="328" t="str">
        <f t="shared" ca="1" si="25"/>
        <v>Liquidar</v>
      </c>
      <c r="U251" s="328">
        <f>VLOOKUP(B251,'Base de Datos'!$E$7:$AR$401,38,0)</f>
        <v>0</v>
      </c>
    </row>
    <row r="252" spans="1:21" ht="23.25" customHeight="1" thickTop="1" thickBot="1" x14ac:dyDescent="0.3">
      <c r="A252" s="108">
        <v>246</v>
      </c>
      <c r="B252" s="328" t="str">
        <f>+'Base de Datos'!E252</f>
        <v>140334-0-2014</v>
      </c>
      <c r="C252" s="328" t="str">
        <f>+'Base de Datos'!F252</f>
        <v>EDITORIAL EL GLOBO S.A</v>
      </c>
      <c r="D252" s="329">
        <f>+'Base de Datos'!I252</f>
        <v>764100</v>
      </c>
      <c r="E252" s="330">
        <f>+'Base de Datos'!M252</f>
        <v>41970</v>
      </c>
      <c r="F252" s="330">
        <f>+'Base de Datos'!N252</f>
        <v>42335</v>
      </c>
      <c r="G252" s="330">
        <f>+'Base de Datos'!T252</f>
        <v>42335</v>
      </c>
      <c r="H252" s="329">
        <f>+'Base de Datos'!U252</f>
        <v>764100</v>
      </c>
      <c r="I252" s="331" t="str">
        <f>IF(VLOOKUP(B252,'Base de Datos'!$E$7:$S$303,11,0),"SI","NO")</f>
        <v>NO</v>
      </c>
      <c r="J252" s="332" t="str">
        <f t="shared" si="21"/>
        <v/>
      </c>
      <c r="K252" s="331" t="str">
        <f>IF(VLOOKUP(B252,'Base de Datos'!$E$7:$S$303,11,0),"SI","NO")</f>
        <v>NO</v>
      </c>
      <c r="L252" s="332" t="str">
        <f t="shared" si="22"/>
        <v/>
      </c>
      <c r="M252" s="332">
        <f>VLOOKUP(B252,'Base de Datos'!$E$7:$Z$303,21,0)</f>
        <v>1</v>
      </c>
      <c r="N252" s="394" t="str">
        <f t="shared" ca="1" si="26"/>
        <v/>
      </c>
      <c r="O252" s="332">
        <f ca="1">VLOOKUP(B252,'Base de Datos'!$E$7:$Z$303,22,0)</f>
        <v>1</v>
      </c>
      <c r="P252" s="393">
        <f t="shared" ca="1" si="23"/>
        <v>783</v>
      </c>
      <c r="Q252" s="406">
        <f t="shared" ca="1" si="27"/>
        <v>6.5250000000000004</v>
      </c>
      <c r="R252" s="328" t="str">
        <f ca="1">VLOOKUP(B252,'Base de Datos'!E252:AR563,33,0)</f>
        <v>TERMINO</v>
      </c>
      <c r="S252" s="331" t="str">
        <f t="shared" ca="1" si="24"/>
        <v>SI</v>
      </c>
      <c r="T252" s="328" t="str">
        <f t="shared" ca="1" si="25"/>
        <v>Liquidar</v>
      </c>
      <c r="U252" s="328">
        <f>VLOOKUP(B252,'Base de Datos'!$E$7:$AR$401,38,0)</f>
        <v>0</v>
      </c>
    </row>
    <row r="253" spans="1:21" ht="23.25" customHeight="1" thickTop="1" thickBot="1" x14ac:dyDescent="0.3">
      <c r="A253" s="108">
        <v>247</v>
      </c>
      <c r="B253" s="328" t="str">
        <f>+'Base de Datos'!E253</f>
        <v>140310-0-2014</v>
      </c>
      <c r="C253" s="328" t="str">
        <f>+'Base de Datos'!F253</f>
        <v>TECOLSOF SAS</v>
      </c>
      <c r="D253" s="329">
        <f>+'Base de Datos'!I253</f>
        <v>108570688</v>
      </c>
      <c r="E253" s="330">
        <f>+'Base de Datos'!M253</f>
        <v>41935</v>
      </c>
      <c r="F253" s="330">
        <f>+'Base de Datos'!N253</f>
        <v>42117</v>
      </c>
      <c r="G253" s="330">
        <f>+'Base de Datos'!T253</f>
        <v>42208</v>
      </c>
      <c r="H253" s="329">
        <f>+'Base de Datos'!U253</f>
        <v>162856033</v>
      </c>
      <c r="I253" s="331" t="str">
        <f>IF(VLOOKUP(B253,'Base de Datos'!$E$7:$S$303,11,0),"SI","NO")</f>
        <v>SI</v>
      </c>
      <c r="J253" s="332">
        <f t="shared" si="21"/>
        <v>0.5</v>
      </c>
      <c r="K253" s="331" t="str">
        <f>IF(VLOOKUP(B253,'Base de Datos'!$E$7:$S$303,11,0),"SI","NO")</f>
        <v>SI</v>
      </c>
      <c r="L253" s="332">
        <f t="shared" si="22"/>
        <v>0.50000000921058918</v>
      </c>
      <c r="M253" s="332">
        <f>VLOOKUP(B253,'Base de Datos'!$E$7:$Z$303,21,0)</f>
        <v>0.12771428615113078</v>
      </c>
      <c r="N253" s="394" t="str">
        <f t="shared" ca="1" si="26"/>
        <v/>
      </c>
      <c r="O253" s="332">
        <f ca="1">VLOOKUP(B253,'Base de Datos'!$E$7:$Z$303,22,0)</f>
        <v>1</v>
      </c>
      <c r="P253" s="393">
        <f t="shared" ca="1" si="23"/>
        <v>910</v>
      </c>
      <c r="Q253" s="406">
        <f t="shared" ca="1" si="27"/>
        <v>7.583333333333333</v>
      </c>
      <c r="R253" s="328" t="str">
        <f ca="1">VLOOKUP(B253,'Base de Datos'!E253:AR564,33,0)</f>
        <v>TERMINO</v>
      </c>
      <c r="S253" s="331" t="str">
        <f t="shared" ca="1" si="24"/>
        <v>NO</v>
      </c>
      <c r="T253" s="328" t="str">
        <f t="shared" ca="1" si="25"/>
        <v>Liquidar</v>
      </c>
      <c r="U253" s="328">
        <f>VLOOKUP(B253,'Base de Datos'!$E$7:$AR$401,38,0)</f>
        <v>0</v>
      </c>
    </row>
    <row r="254" spans="1:21" ht="23.25" customHeight="1" thickTop="1" thickBot="1" x14ac:dyDescent="0.3">
      <c r="A254" s="108">
        <v>248</v>
      </c>
      <c r="B254" s="328" t="str">
        <f>+'Base de Datos'!E254</f>
        <v>140313-0-2014</v>
      </c>
      <c r="C254" s="328" t="str">
        <f>+'Base de Datos'!F254</f>
        <v>M@ICROTEL LTDA</v>
      </c>
      <c r="D254" s="329">
        <f>+'Base de Datos'!I254</f>
        <v>27235640</v>
      </c>
      <c r="E254" s="330">
        <f>+'Base de Datos'!M254</f>
        <v>41969</v>
      </c>
      <c r="F254" s="330">
        <f>+'Base de Datos'!N254</f>
        <v>42334</v>
      </c>
      <c r="G254" s="330">
        <f>+'Base de Datos'!T254</f>
        <v>42334</v>
      </c>
      <c r="H254" s="329">
        <f>+'Base de Datos'!U254</f>
        <v>27235640</v>
      </c>
      <c r="I254" s="331" t="str">
        <f>IF(VLOOKUP(B254,'Base de Datos'!$E$7:$S$303,11,0),"SI","NO")</f>
        <v>NO</v>
      </c>
      <c r="J254" s="332" t="str">
        <f t="shared" si="21"/>
        <v/>
      </c>
      <c r="K254" s="331" t="str">
        <f>IF(VLOOKUP(B254,'Base de Datos'!$E$7:$S$303,11,0),"SI","NO")</f>
        <v>NO</v>
      </c>
      <c r="L254" s="332" t="str">
        <f t="shared" si="22"/>
        <v/>
      </c>
      <c r="M254" s="332">
        <f>VLOOKUP(B254,'Base de Datos'!$E$7:$Z$303,21,0)</f>
        <v>0.63776140380765789</v>
      </c>
      <c r="N254" s="394" t="str">
        <f t="shared" ca="1" si="26"/>
        <v/>
      </c>
      <c r="O254" s="332">
        <f ca="1">VLOOKUP(B254,'Base de Datos'!$E$7:$Z$303,22,0)</f>
        <v>1</v>
      </c>
      <c r="P254" s="393">
        <f t="shared" ca="1" si="23"/>
        <v>784</v>
      </c>
      <c r="Q254" s="406">
        <f t="shared" ca="1" si="27"/>
        <v>6.5333333333333332</v>
      </c>
      <c r="R254" s="328" t="str">
        <f ca="1">VLOOKUP(B254,'Base de Datos'!E254:AR565,33,0)</f>
        <v>TERMINO</v>
      </c>
      <c r="S254" s="331" t="str">
        <f t="shared" ca="1" si="24"/>
        <v>SI</v>
      </c>
      <c r="T254" s="328" t="str">
        <f t="shared" ca="1" si="25"/>
        <v>Liquidar</v>
      </c>
      <c r="U254" s="328">
        <f>VLOOKUP(B254,'Base de Datos'!$E$7:$AR$401,38,0)</f>
        <v>0</v>
      </c>
    </row>
    <row r="255" spans="1:21" ht="23.25" customHeight="1" thickTop="1" thickBot="1" x14ac:dyDescent="0.3">
      <c r="A255" s="108">
        <v>249</v>
      </c>
      <c r="B255" s="328" t="str">
        <f>+'Base de Datos'!E255</f>
        <v>140332-0-2014</v>
      </c>
      <c r="C255" s="328" t="str">
        <f>+'Base de Datos'!F255</f>
        <v>CARLOS ALBERTO CASTELLANOS MEDINA</v>
      </c>
      <c r="D255" s="329">
        <f>+'Base de Datos'!I255</f>
        <v>39999999</v>
      </c>
      <c r="E255" s="330">
        <f>+'Base de Datos'!M255</f>
        <v>41957</v>
      </c>
      <c r="F255" s="330">
        <f>+'Base de Datos'!N255</f>
        <v>42504</v>
      </c>
      <c r="G255" s="330">
        <f>+'Base de Datos'!T255</f>
        <v>42504</v>
      </c>
      <c r="H255" s="329">
        <f>+'Base de Datos'!U255</f>
        <v>39999999</v>
      </c>
      <c r="I255" s="331" t="str">
        <f>IF(VLOOKUP(B255,'Base de Datos'!$E$7:$S$303,11,0),"SI","NO")</f>
        <v>NO</v>
      </c>
      <c r="J255" s="332" t="str">
        <f t="shared" si="21"/>
        <v/>
      </c>
      <c r="K255" s="331" t="str">
        <f>IF(VLOOKUP(B255,'Base de Datos'!$E$7:$S$303,11,0),"SI","NO")</f>
        <v>NO</v>
      </c>
      <c r="L255" s="332" t="str">
        <f t="shared" si="22"/>
        <v/>
      </c>
      <c r="M255" s="332">
        <f>VLOOKUP(B255,'Base de Datos'!$E$7:$Z$303,21,0)</f>
        <v>0.99999997499999937</v>
      </c>
      <c r="N255" s="394" t="str">
        <f t="shared" ca="1" si="26"/>
        <v/>
      </c>
      <c r="O255" s="332">
        <f ca="1">VLOOKUP(B255,'Base de Datos'!$E$7:$Z$303,22,0)</f>
        <v>1</v>
      </c>
      <c r="P255" s="393">
        <f t="shared" ca="1" si="23"/>
        <v>614</v>
      </c>
      <c r="Q255" s="406">
        <f t="shared" ca="1" si="27"/>
        <v>5.1166666666666663</v>
      </c>
      <c r="R255" s="328" t="str">
        <f ca="1">VLOOKUP(B255,'Base de Datos'!E255:AR566,33,0)</f>
        <v>TERMINO</v>
      </c>
      <c r="S255" s="331" t="str">
        <f t="shared" ca="1" si="24"/>
        <v>SI</v>
      </c>
      <c r="T255" s="328" t="str">
        <f t="shared" ca="1" si="25"/>
        <v>Liquidar</v>
      </c>
      <c r="U255" s="328">
        <f>VLOOKUP(B255,'Base de Datos'!$E$7:$AR$401,38,0)</f>
        <v>0</v>
      </c>
    </row>
    <row r="256" spans="1:21" ht="23.25" customHeight="1" thickTop="1" thickBot="1" x14ac:dyDescent="0.3">
      <c r="A256" s="108">
        <v>250</v>
      </c>
      <c r="B256" s="328" t="str">
        <f>+'Base de Datos'!E256</f>
        <v>140345-0-2014</v>
      </c>
      <c r="C256" s="328" t="str">
        <f>+'Base de Datos'!F256</f>
        <v>JOHN KENNEDY LEON CASTIBLANCO</v>
      </c>
      <c r="D256" s="329">
        <f>+'Base de Datos'!I256</f>
        <v>17664500</v>
      </c>
      <c r="E256" s="330">
        <f>+'Base de Datos'!M256</f>
        <v>41956</v>
      </c>
      <c r="F256" s="330">
        <f>+'Base de Datos'!N256</f>
        <v>42063</v>
      </c>
      <c r="G256" s="330">
        <f>+'Base de Datos'!T256</f>
        <v>42063</v>
      </c>
      <c r="H256" s="329">
        <f>+'Base de Datos'!U256</f>
        <v>17664500</v>
      </c>
      <c r="I256" s="331" t="str">
        <f>IF(VLOOKUP(B256,'Base de Datos'!$E$7:$S$303,11,0),"SI","NO")</f>
        <v>NO</v>
      </c>
      <c r="J256" s="332" t="str">
        <f t="shared" si="21"/>
        <v/>
      </c>
      <c r="K256" s="331" t="str">
        <f>IF(VLOOKUP(B256,'Base de Datos'!$E$7:$S$303,11,0),"SI","NO")</f>
        <v>NO</v>
      </c>
      <c r="L256" s="332" t="str">
        <f t="shared" si="22"/>
        <v/>
      </c>
      <c r="M256" s="332">
        <f>VLOOKUP(B256,'Base de Datos'!$E$7:$Z$303,21,0)</f>
        <v>1</v>
      </c>
      <c r="N256" s="394" t="str">
        <f t="shared" ca="1" si="26"/>
        <v/>
      </c>
      <c r="O256" s="332">
        <f ca="1">VLOOKUP(B256,'Base de Datos'!$E$7:$Z$303,22,0)</f>
        <v>1</v>
      </c>
      <c r="P256" s="393">
        <f t="shared" ca="1" si="23"/>
        <v>1055</v>
      </c>
      <c r="Q256" s="406">
        <f t="shared" ca="1" si="27"/>
        <v>8.7916666666666661</v>
      </c>
      <c r="R256" s="328" t="str">
        <f ca="1">VLOOKUP(B256,'Base de Datos'!E256:AR567,33,0)</f>
        <v>TERMINO</v>
      </c>
      <c r="S256" s="331" t="str">
        <f t="shared" ca="1" si="24"/>
        <v>NO</v>
      </c>
      <c r="T256" s="328" t="str">
        <f t="shared" ca="1" si="25"/>
        <v>Liquidar</v>
      </c>
      <c r="U256" s="328">
        <f>VLOOKUP(B256,'Base de Datos'!$E$7:$AR$401,38,0)</f>
        <v>42265</v>
      </c>
    </row>
    <row r="257" spans="1:21" ht="23.25" customHeight="1" thickTop="1" thickBot="1" x14ac:dyDescent="0.3">
      <c r="A257" s="108">
        <v>251</v>
      </c>
      <c r="B257" s="328" t="str">
        <f>+'Base de Datos'!E257</f>
        <v>140356-0-2014</v>
      </c>
      <c r="C257" s="328" t="str">
        <f>+'Base de Datos'!F257</f>
        <v>S.O.S. SOLUCIONES DE OFICINA &amp; SUMINISTROS S.A.S.</v>
      </c>
      <c r="D257" s="329">
        <f>+'Base de Datos'!I257</f>
        <v>4750000</v>
      </c>
      <c r="E257" s="330">
        <f>+'Base de Datos'!M257</f>
        <v>41968</v>
      </c>
      <c r="F257" s="330">
        <f>+'Base de Datos'!N257</f>
        <v>42060</v>
      </c>
      <c r="G257" s="330">
        <f>+'Base de Datos'!T257</f>
        <v>42060</v>
      </c>
      <c r="H257" s="329">
        <f>+'Base de Datos'!U257</f>
        <v>4750000</v>
      </c>
      <c r="I257" s="331" t="str">
        <f>IF(VLOOKUP(B257,'Base de Datos'!$E$7:$S$303,11,0),"SI","NO")</f>
        <v>NO</v>
      </c>
      <c r="J257" s="332" t="str">
        <f t="shared" si="21"/>
        <v/>
      </c>
      <c r="K257" s="331" t="str">
        <f>IF(VLOOKUP(B257,'Base de Datos'!$E$7:$S$303,11,0),"SI","NO")</f>
        <v>NO</v>
      </c>
      <c r="L257" s="332" t="str">
        <f t="shared" si="22"/>
        <v/>
      </c>
      <c r="M257" s="332">
        <f>VLOOKUP(B257,'Base de Datos'!$E$7:$Z$303,21,0)</f>
        <v>0.83761768421052629</v>
      </c>
      <c r="N257" s="394" t="str">
        <f t="shared" ca="1" si="26"/>
        <v/>
      </c>
      <c r="O257" s="332">
        <f ca="1">VLOOKUP(B257,'Base de Datos'!$E$7:$Z$303,22,0)</f>
        <v>1</v>
      </c>
      <c r="P257" s="393">
        <f t="shared" ca="1" si="23"/>
        <v>1058</v>
      </c>
      <c r="Q257" s="406">
        <f t="shared" ca="1" si="27"/>
        <v>8.8166666666666664</v>
      </c>
      <c r="R257" s="328" t="str">
        <f ca="1">VLOOKUP(B257,'Base de Datos'!E257:AR568,33,0)</f>
        <v>TERMINO</v>
      </c>
      <c r="S257" s="331" t="str">
        <f t="shared" ca="1" si="24"/>
        <v>NO</v>
      </c>
      <c r="T257" s="328" t="str">
        <f t="shared" ca="1" si="25"/>
        <v>Liquidar</v>
      </c>
      <c r="U257" s="328">
        <f>VLOOKUP(B257,'Base de Datos'!$E$7:$AR$401,38,0)</f>
        <v>0</v>
      </c>
    </row>
    <row r="258" spans="1:21" ht="23.25" customHeight="1" thickTop="1" thickBot="1" x14ac:dyDescent="0.3">
      <c r="A258" s="108">
        <v>252</v>
      </c>
      <c r="B258" s="328" t="str">
        <f>+'Base de Datos'!E258</f>
        <v>140351-0-2014</v>
      </c>
      <c r="C258" s="328" t="str">
        <f>+'Base de Datos'!F258</f>
        <v>J.A. ZABALA &amp; CONSULTORES ASOCIADOS LTDA.</v>
      </c>
      <c r="D258" s="329">
        <f>+'Base de Datos'!I258</f>
        <v>506601000</v>
      </c>
      <c r="E258" s="330">
        <f>+'Base de Datos'!M258</f>
        <v>41963</v>
      </c>
      <c r="F258" s="330">
        <f>+'Base de Datos'!N258</f>
        <v>42205</v>
      </c>
      <c r="G258" s="330">
        <f>+'Base de Datos'!T258</f>
        <v>42205</v>
      </c>
      <c r="H258" s="329">
        <f>+'Base de Datos'!U258</f>
        <v>668707669</v>
      </c>
      <c r="I258" s="331" t="str">
        <f>IF(VLOOKUP(B258,'Base de Datos'!$E$7:$S$303,11,0),"SI","NO")</f>
        <v>SI</v>
      </c>
      <c r="J258" s="332">
        <f t="shared" si="21"/>
        <v>0</v>
      </c>
      <c r="K258" s="331" t="str">
        <f>IF(VLOOKUP(B258,'Base de Datos'!$E$7:$S$303,11,0),"SI","NO")</f>
        <v>SI</v>
      </c>
      <c r="L258" s="332">
        <f t="shared" si="22"/>
        <v>0.31998884526481391</v>
      </c>
      <c r="M258" s="332">
        <f>VLOOKUP(B258,'Base de Datos'!$E$7:$Z$303,21,0)</f>
        <v>0.99496066942818329</v>
      </c>
      <c r="N258" s="394" t="str">
        <f t="shared" ca="1" si="26"/>
        <v/>
      </c>
      <c r="O258" s="332">
        <f ca="1">VLOOKUP(B258,'Base de Datos'!$E$7:$Z$303,22,0)</f>
        <v>1</v>
      </c>
      <c r="P258" s="393">
        <f t="shared" ca="1" si="23"/>
        <v>913</v>
      </c>
      <c r="Q258" s="406">
        <f t="shared" ca="1" si="27"/>
        <v>7.6083333333333334</v>
      </c>
      <c r="R258" s="328" t="str">
        <f ca="1">VLOOKUP(B258,'Base de Datos'!E258:AR569,33,0)</f>
        <v>TERMINO</v>
      </c>
      <c r="S258" s="331" t="str">
        <f t="shared" ca="1" si="24"/>
        <v>NO</v>
      </c>
      <c r="T258" s="328" t="str">
        <f t="shared" ca="1" si="25"/>
        <v>Liquidar</v>
      </c>
      <c r="U258" s="328">
        <f>VLOOKUP(B258,'Base de Datos'!$E$7:$AR$401,38,0)</f>
        <v>0</v>
      </c>
    </row>
    <row r="259" spans="1:21" ht="23.25" customHeight="1" thickTop="1" thickBot="1" x14ac:dyDescent="0.3">
      <c r="A259" s="108">
        <v>253</v>
      </c>
      <c r="B259" s="328" t="str">
        <f>+'Base de Datos'!E259</f>
        <v>140367-0-2014</v>
      </c>
      <c r="C259" s="328" t="str">
        <f>+'Base de Datos'!F259</f>
        <v>CENTRO DE RECURSOS EDUCATIVOS PARA LA COMPETITIVIDAD EMPRESARIAL LTDA - CRECE</v>
      </c>
      <c r="D259" s="329">
        <f>+'Base de Datos'!I259</f>
        <v>401058400</v>
      </c>
      <c r="E259" s="330">
        <f>+'Base de Datos'!M259</f>
        <v>42031</v>
      </c>
      <c r="F259" s="330">
        <f>+'Base de Datos'!N259</f>
        <v>42274</v>
      </c>
      <c r="G259" s="330">
        <f>+'Base de Datos'!T259</f>
        <v>42335</v>
      </c>
      <c r="H259" s="329">
        <f>+'Base de Datos'!U259</f>
        <v>401058400</v>
      </c>
      <c r="I259" s="331" t="str">
        <f>IF(VLOOKUP(B259,'Base de Datos'!$E$7:$S$303,11,0),"SI","NO")</f>
        <v>NO</v>
      </c>
      <c r="J259" s="332" t="str">
        <f t="shared" si="21"/>
        <v/>
      </c>
      <c r="K259" s="331" t="str">
        <f>IF(VLOOKUP(B259,'Base de Datos'!$E$7:$S$303,11,0),"SI","NO")</f>
        <v>NO</v>
      </c>
      <c r="L259" s="332" t="str">
        <f t="shared" si="22"/>
        <v/>
      </c>
      <c r="M259" s="332">
        <f>VLOOKUP(B259,'Base de Datos'!$E$7:$Z$303,21,0)</f>
        <v>1</v>
      </c>
      <c r="N259" s="394" t="str">
        <f t="shared" ca="1" si="26"/>
        <v/>
      </c>
      <c r="O259" s="332">
        <f ca="1">VLOOKUP(B259,'Base de Datos'!$E$7:$Z$303,22,0)</f>
        <v>1</v>
      </c>
      <c r="P259" s="393">
        <f t="shared" ca="1" si="23"/>
        <v>783</v>
      </c>
      <c r="Q259" s="406">
        <f t="shared" ca="1" si="27"/>
        <v>6.5250000000000004</v>
      </c>
      <c r="R259" s="328" t="str">
        <f ca="1">VLOOKUP(B259,'Base de Datos'!E259:AR570,33,0)</f>
        <v>TERMINO</v>
      </c>
      <c r="S259" s="331" t="str">
        <f t="shared" ca="1" si="24"/>
        <v>SI</v>
      </c>
      <c r="T259" s="328" t="str">
        <f t="shared" ca="1" si="25"/>
        <v>Liquidar</v>
      </c>
      <c r="U259" s="328">
        <f>VLOOKUP(B259,'Base de Datos'!$E$7:$AR$401,38,0)</f>
        <v>0</v>
      </c>
    </row>
    <row r="260" spans="1:21" ht="23.25" customHeight="1" thickTop="1" thickBot="1" x14ac:dyDescent="0.3">
      <c r="A260" s="108">
        <v>254</v>
      </c>
      <c r="B260" s="328" t="str">
        <f>+'Base de Datos'!E260</f>
        <v>140358-0-2014</v>
      </c>
      <c r="C260" s="328" t="str">
        <f>+'Base de Datos'!F260</f>
        <v>ORGANIZACIÓN TERPEL S.A.</v>
      </c>
      <c r="D260" s="329">
        <f>+'Base de Datos'!I260</f>
        <v>171253333</v>
      </c>
      <c r="E260" s="330">
        <f>+'Base de Datos'!M260</f>
        <v>41961</v>
      </c>
      <c r="F260" s="330">
        <f>+'Base de Datos'!N260</f>
        <v>42063</v>
      </c>
      <c r="G260" s="330">
        <f>+'Base de Datos'!T260</f>
        <v>42063</v>
      </c>
      <c r="H260" s="329">
        <f>+'Base de Datos'!U260</f>
        <v>171253333</v>
      </c>
      <c r="I260" s="331" t="str">
        <f>IF(VLOOKUP(B260,'Base de Datos'!$E$7:$S$303,11,0),"SI","NO")</f>
        <v>NO</v>
      </c>
      <c r="J260" s="332" t="str">
        <f t="shared" si="21"/>
        <v/>
      </c>
      <c r="K260" s="331" t="str">
        <f>IF(VLOOKUP(B260,'Base de Datos'!$E$7:$S$303,11,0),"SI","NO")</f>
        <v>NO</v>
      </c>
      <c r="L260" s="332" t="str">
        <f t="shared" si="22"/>
        <v/>
      </c>
      <c r="M260" s="332">
        <f>VLOOKUP(B260,'Base de Datos'!$E$7:$Z$303,21,0)</f>
        <v>0.72137053823063402</v>
      </c>
      <c r="N260" s="394" t="str">
        <f t="shared" ca="1" si="26"/>
        <v/>
      </c>
      <c r="O260" s="332">
        <f ca="1">VLOOKUP(B260,'Base de Datos'!$E$7:$Z$303,22,0)</f>
        <v>1</v>
      </c>
      <c r="P260" s="393">
        <f t="shared" ca="1" si="23"/>
        <v>1055</v>
      </c>
      <c r="Q260" s="406">
        <f t="shared" ca="1" si="27"/>
        <v>8.7916666666666661</v>
      </c>
      <c r="R260" s="328" t="str">
        <f ca="1">VLOOKUP(B260,'Base de Datos'!E260:AR571,33,0)</f>
        <v>TERMINO</v>
      </c>
      <c r="S260" s="331" t="str">
        <f t="shared" ca="1" si="24"/>
        <v>NO</v>
      </c>
      <c r="T260" s="328" t="str">
        <f t="shared" ca="1" si="25"/>
        <v>Liquidar</v>
      </c>
      <c r="U260" s="328">
        <f>VLOOKUP(B260,'Base de Datos'!$E$7:$AR$401,38,0)</f>
        <v>0</v>
      </c>
    </row>
    <row r="261" spans="1:21" ht="23.25" customHeight="1" thickTop="1" thickBot="1" x14ac:dyDescent="0.3">
      <c r="A261" s="108">
        <v>255</v>
      </c>
      <c r="B261" s="328" t="str">
        <f>+'Base de Datos'!E261</f>
        <v>140370-0-2014</v>
      </c>
      <c r="C261" s="328" t="str">
        <f>+'Base de Datos'!F261</f>
        <v>RIGOBERTO GÓMEZ JAIMES</v>
      </c>
      <c r="D261" s="329">
        <f>+'Base de Datos'!I261</f>
        <v>12700000</v>
      </c>
      <c r="E261" s="330">
        <f>+'Base de Datos'!M261</f>
        <v>41982</v>
      </c>
      <c r="F261" s="330">
        <f>+'Base de Datos'!N261</f>
        <v>42044</v>
      </c>
      <c r="G261" s="330">
        <f>+'Base de Datos'!T261</f>
        <v>42044</v>
      </c>
      <c r="H261" s="329">
        <f>+'Base de Datos'!U261</f>
        <v>12700000</v>
      </c>
      <c r="I261" s="331" t="str">
        <f>IF(VLOOKUP(B261,'Base de Datos'!$E$7:$S$303,11,0),"SI","NO")</f>
        <v>NO</v>
      </c>
      <c r="J261" s="332" t="str">
        <f t="shared" si="21"/>
        <v/>
      </c>
      <c r="K261" s="331" t="str">
        <f>IF(VLOOKUP(B261,'Base de Datos'!$E$7:$S$303,11,0),"SI","NO")</f>
        <v>NO</v>
      </c>
      <c r="L261" s="332" t="str">
        <f t="shared" si="22"/>
        <v/>
      </c>
      <c r="M261" s="332">
        <f>VLOOKUP(B261,'Base de Datos'!$E$7:$Z$303,21,0)</f>
        <v>0.98097637795275594</v>
      </c>
      <c r="N261" s="394" t="str">
        <f t="shared" ca="1" si="26"/>
        <v/>
      </c>
      <c r="O261" s="332">
        <f ca="1">VLOOKUP(B261,'Base de Datos'!$E$7:$Z$303,22,0)</f>
        <v>1</v>
      </c>
      <c r="P261" s="393">
        <f t="shared" ca="1" si="23"/>
        <v>1074</v>
      </c>
      <c r="Q261" s="406">
        <f t="shared" ca="1" si="27"/>
        <v>8.9499999999999993</v>
      </c>
      <c r="R261" s="328" t="str">
        <f ca="1">VLOOKUP(B261,'Base de Datos'!E261:AR572,33,0)</f>
        <v>TERMINO</v>
      </c>
      <c r="S261" s="331" t="str">
        <f t="shared" ca="1" si="24"/>
        <v>NO</v>
      </c>
      <c r="T261" s="328" t="str">
        <f t="shared" ca="1" si="25"/>
        <v>Liquidar</v>
      </c>
      <c r="U261" s="328">
        <f>VLOOKUP(B261,'Base de Datos'!$E$7:$AR$401,38,0)</f>
        <v>42272</v>
      </c>
    </row>
    <row r="262" spans="1:21" ht="23.25" customHeight="1" thickTop="1" thickBot="1" x14ac:dyDescent="0.3">
      <c r="A262" s="108">
        <v>256</v>
      </c>
      <c r="B262" s="328" t="str">
        <f>+'Base de Datos'!E262</f>
        <v>140372-0-2014</v>
      </c>
      <c r="C262" s="328" t="str">
        <f>+'Base de Datos'!F262</f>
        <v>CAJA COLOMBIANA DE SUBSIDIO FAMILIAR – COLSUBSIDIO</v>
      </c>
      <c r="D262" s="329">
        <f>+'Base de Datos'!I262</f>
        <v>39424000</v>
      </c>
      <c r="E262" s="330">
        <f>+'Base de Datos'!M262</f>
        <v>41982</v>
      </c>
      <c r="F262" s="330">
        <f>+'Base de Datos'!N262</f>
        <v>42013</v>
      </c>
      <c r="G262" s="330">
        <f>+'Base de Datos'!T262</f>
        <v>42013</v>
      </c>
      <c r="H262" s="329">
        <f>+'Base de Datos'!U262</f>
        <v>39424000</v>
      </c>
      <c r="I262" s="331" t="str">
        <f>IF(VLOOKUP(B262,'Base de Datos'!$E$7:$S$303,11,0),"SI","NO")</f>
        <v>NO</v>
      </c>
      <c r="J262" s="332" t="str">
        <f t="shared" si="21"/>
        <v/>
      </c>
      <c r="K262" s="331" t="str">
        <f>IF(VLOOKUP(B262,'Base de Datos'!$E$7:$S$303,11,0),"SI","NO")</f>
        <v>NO</v>
      </c>
      <c r="L262" s="332" t="str">
        <f t="shared" si="22"/>
        <v/>
      </c>
      <c r="M262" s="332">
        <f>VLOOKUP(B262,'Base de Datos'!$E$7:$Z$303,21,0)</f>
        <v>1</v>
      </c>
      <c r="N262" s="394" t="str">
        <f t="shared" ca="1" si="26"/>
        <v/>
      </c>
      <c r="O262" s="332">
        <f ca="1">VLOOKUP(B262,'Base de Datos'!$E$7:$Z$303,22,0)</f>
        <v>1</v>
      </c>
      <c r="P262" s="393">
        <f t="shared" ca="1" si="23"/>
        <v>1105</v>
      </c>
      <c r="Q262" s="406">
        <f t="shared" ca="1" si="27"/>
        <v>9.2083333333333339</v>
      </c>
      <c r="R262" s="328" t="str">
        <f ca="1">VLOOKUP(B262,'Base de Datos'!E262:AR573,33,0)</f>
        <v>TERMINO</v>
      </c>
      <c r="S262" s="331" t="str">
        <f t="shared" ca="1" si="24"/>
        <v>NO</v>
      </c>
      <c r="T262" s="328" t="str">
        <f t="shared" ca="1" si="25"/>
        <v>Liquidar</v>
      </c>
      <c r="U262" s="328">
        <f>VLOOKUP(B262,'Base de Datos'!$E$7:$AR$401,38,0)</f>
        <v>42278</v>
      </c>
    </row>
    <row r="263" spans="1:21" ht="23.25" customHeight="1" thickTop="1" thickBot="1" x14ac:dyDescent="0.3">
      <c r="A263" s="108">
        <v>257</v>
      </c>
      <c r="B263" s="328" t="str">
        <f>+'Base de Datos'!E263</f>
        <v>140377-0-2014</v>
      </c>
      <c r="C263" s="328" t="str">
        <f>+'Base de Datos'!F263</f>
        <v>GAMMA INGENIEROS S A</v>
      </c>
      <c r="D263" s="329">
        <f>+'Base de Datos'!I263</f>
        <v>187940000</v>
      </c>
      <c r="E263" s="330">
        <f>+'Base de Datos'!M263</f>
        <v>42023</v>
      </c>
      <c r="F263" s="330">
        <f>+'Base de Datos'!N263</f>
        <v>42102</v>
      </c>
      <c r="G263" s="330">
        <f>+'Base de Datos'!T263</f>
        <v>42102</v>
      </c>
      <c r="H263" s="329">
        <f>+'Base de Datos'!U263</f>
        <v>187940000</v>
      </c>
      <c r="I263" s="331" t="str">
        <f>IF(VLOOKUP(B263,'Base de Datos'!$E$7:$S$303,11,0),"SI","NO")</f>
        <v>NO</v>
      </c>
      <c r="J263" s="332" t="str">
        <f t="shared" ref="J263:J311" si="28">IF(I263=$AB$7,((G263-F263)*100%)/(F263-E263),"")</f>
        <v/>
      </c>
      <c r="K263" s="331" t="str">
        <f>IF(VLOOKUP(B263,'Base de Datos'!$E$7:$S$303,11,0),"SI","NO")</f>
        <v>NO</v>
      </c>
      <c r="L263" s="332" t="str">
        <f t="shared" ref="L263:L311" si="29">IF(K263=$AB$7,((H263-D263)*100%)/(D263),"")</f>
        <v/>
      </c>
      <c r="M263" s="332">
        <f>VLOOKUP(B263,'Base de Datos'!$E$7:$Z$303,21,0)</f>
        <v>1</v>
      </c>
      <c r="N263" s="394" t="str">
        <f t="shared" ca="1" si="26"/>
        <v/>
      </c>
      <c r="O263" s="332">
        <f ca="1">VLOOKUP(B263,'Base de Datos'!$E$7:$Z$303,22,0)</f>
        <v>1</v>
      </c>
      <c r="P263" s="393">
        <f t="shared" ref="P263:P311" ca="1" si="30">IF(R263=$AC$7,"",IFERROR(IF(R263=$AC$8,"",($C$5-G263)),""))</f>
        <v>1016</v>
      </c>
      <c r="Q263" s="406">
        <f t="shared" ca="1" si="27"/>
        <v>8.4666666666666668</v>
      </c>
      <c r="R263" s="328" t="str">
        <f ca="1">VLOOKUP(B263,'Base de Datos'!E263:AR574,33,0)</f>
        <v>TERMINO</v>
      </c>
      <c r="S263" s="331" t="str">
        <f t="shared" ref="S263:S311" ca="1" si="31">IF((TODAY()-G263&lt;900),"SI","NO")</f>
        <v>NO</v>
      </c>
      <c r="T263" s="328" t="str">
        <f t="shared" ref="T263:T311" ca="1" si="32">IF(R263=$AC$8,"",IF(O263=100%,"Liquidar",IF(R263=$AC$7,"Supervisar","")))</f>
        <v>Liquidar</v>
      </c>
      <c r="U263" s="328">
        <f>VLOOKUP(B263,'Base de Datos'!$E$7:$AR$401,38,0)</f>
        <v>0</v>
      </c>
    </row>
    <row r="264" spans="1:21" ht="23.25" customHeight="1" thickTop="1" thickBot="1" x14ac:dyDescent="0.3">
      <c r="A264" s="108">
        <v>258</v>
      </c>
      <c r="B264" s="328" t="str">
        <f>+'Base de Datos'!E264</f>
        <v>140382-0-2014</v>
      </c>
      <c r="C264" s="328" t="str">
        <f>+'Base de Datos'!F264</f>
        <v>VIGILANCIA ACOSTA LIMITADA</v>
      </c>
      <c r="D264" s="329">
        <f>+'Base de Datos'!I264</f>
        <v>300000000</v>
      </c>
      <c r="E264" s="330">
        <f>+'Base de Datos'!M264</f>
        <v>41989</v>
      </c>
      <c r="F264" s="330">
        <f>+'Base de Datos'!N264</f>
        <v>42140</v>
      </c>
      <c r="G264" s="330">
        <f>+'Base de Datos'!T264</f>
        <v>42140</v>
      </c>
      <c r="H264" s="329">
        <f>+'Base de Datos'!U264</f>
        <v>300000000</v>
      </c>
      <c r="I264" s="331" t="str">
        <f>IF(VLOOKUP(B264,'Base de Datos'!$E$7:$S$303,11,0),"SI","NO")</f>
        <v>NO</v>
      </c>
      <c r="J264" s="332" t="str">
        <f t="shared" si="28"/>
        <v/>
      </c>
      <c r="K264" s="331" t="str">
        <f>IF(VLOOKUP(B264,'Base de Datos'!$E$7:$S$303,11,0),"SI","NO")</f>
        <v>NO</v>
      </c>
      <c r="L264" s="332" t="str">
        <f t="shared" si="29"/>
        <v/>
      </c>
      <c r="M264" s="332">
        <f>VLOOKUP(B264,'Base de Datos'!$E$7:$Z$303,21,0)</f>
        <v>0.79542161333333339</v>
      </c>
      <c r="N264" s="394" t="str">
        <f t="shared" ref="N264:N311" ca="1" si="33">IF(G264&lt;TODAY(),"",G264-TODAY())</f>
        <v/>
      </c>
      <c r="O264" s="332">
        <f ca="1">VLOOKUP(B264,'Base de Datos'!$E$7:$Z$303,22,0)</f>
        <v>1</v>
      </c>
      <c r="P264" s="393">
        <f t="shared" ca="1" si="30"/>
        <v>978</v>
      </c>
      <c r="Q264" s="406">
        <f t="shared" ref="Q264:Q311" ca="1" si="34">IF(P264=0,"",(P264*100%)/120)</f>
        <v>8.15</v>
      </c>
      <c r="R264" s="328" t="str">
        <f ca="1">VLOOKUP(B264,'Base de Datos'!E264:AR575,33,0)</f>
        <v>TERMINO</v>
      </c>
      <c r="S264" s="331" t="str">
        <f t="shared" ca="1" si="31"/>
        <v>NO</v>
      </c>
      <c r="T264" s="328" t="str">
        <f t="shared" ca="1" si="32"/>
        <v>Liquidar</v>
      </c>
      <c r="U264" s="328">
        <f>VLOOKUP(B264,'Base de Datos'!$E$7:$AR$401,38,0)</f>
        <v>0</v>
      </c>
    </row>
    <row r="265" spans="1:21" ht="23.25" customHeight="1" thickTop="1" thickBot="1" x14ac:dyDescent="0.3">
      <c r="A265" s="108">
        <v>259</v>
      </c>
      <c r="B265" s="328" t="str">
        <f>+'Base de Datos'!E265</f>
        <v>140385-0-2014</v>
      </c>
      <c r="C265" s="328" t="str">
        <f>+'Base de Datos'!F265</f>
        <v>S.O.S. SOLUCIONES DE OFICINA &amp; SUMINISTROS S.A.S.</v>
      </c>
      <c r="D265" s="329">
        <f>+'Base de Datos'!I265</f>
        <v>29997466</v>
      </c>
      <c r="E265" s="330">
        <f>+'Base de Datos'!M265</f>
        <v>41988</v>
      </c>
      <c r="F265" s="330">
        <f>+'Base de Datos'!N265</f>
        <v>42109</v>
      </c>
      <c r="G265" s="330">
        <f>+'Base de Datos'!T265</f>
        <v>42109</v>
      </c>
      <c r="H265" s="329">
        <f>+'Base de Datos'!U265</f>
        <v>29997466</v>
      </c>
      <c r="I265" s="331" t="str">
        <f>IF(VLOOKUP(B265,'Base de Datos'!$E$7:$S$303,11,0),"SI","NO")</f>
        <v>NO</v>
      </c>
      <c r="J265" s="332" t="str">
        <f t="shared" si="28"/>
        <v/>
      </c>
      <c r="K265" s="331" t="str">
        <f>IF(VLOOKUP(B265,'Base de Datos'!$E$7:$S$303,11,0),"SI","NO")</f>
        <v>NO</v>
      </c>
      <c r="L265" s="332" t="str">
        <f t="shared" si="29"/>
        <v/>
      </c>
      <c r="M265" s="332">
        <f>VLOOKUP(B265,'Base de Datos'!$E$7:$Z$303,21,0)</f>
        <v>1</v>
      </c>
      <c r="N265" s="394" t="str">
        <f t="shared" ca="1" si="33"/>
        <v/>
      </c>
      <c r="O265" s="332">
        <f ca="1">VLOOKUP(B265,'Base de Datos'!$E$7:$Z$303,22,0)</f>
        <v>1</v>
      </c>
      <c r="P265" s="393">
        <f t="shared" ca="1" si="30"/>
        <v>1009</v>
      </c>
      <c r="Q265" s="406">
        <f t="shared" ca="1" si="34"/>
        <v>8.4083333333333332</v>
      </c>
      <c r="R265" s="328" t="str">
        <f ca="1">VLOOKUP(B265,'Base de Datos'!E265:AR576,33,0)</f>
        <v>TERMINO</v>
      </c>
      <c r="S265" s="331" t="str">
        <f t="shared" ca="1" si="31"/>
        <v>NO</v>
      </c>
      <c r="T265" s="328" t="str">
        <f t="shared" ca="1" si="32"/>
        <v>Liquidar</v>
      </c>
      <c r="U265" s="328">
        <f>VLOOKUP(B265,'Base de Datos'!$E$7:$AR$401,38,0)</f>
        <v>0</v>
      </c>
    </row>
    <row r="266" spans="1:21" ht="23.25" customHeight="1" thickTop="1" thickBot="1" x14ac:dyDescent="0.3">
      <c r="A266" s="108">
        <v>260</v>
      </c>
      <c r="B266" s="328" t="str">
        <f>+'Base de Datos'!E266</f>
        <v>140387-0-2014</v>
      </c>
      <c r="C266" s="328" t="str">
        <f>+'Base de Datos'!F266</f>
        <v>SERVIMETERS SA</v>
      </c>
      <c r="D266" s="329">
        <f>+'Base de Datos'!I266</f>
        <v>1624000</v>
      </c>
      <c r="E266" s="330">
        <f>+'Base de Datos'!M266</f>
        <v>42037</v>
      </c>
      <c r="F266" s="330">
        <f>+'Base de Datos'!N266</f>
        <v>42279</v>
      </c>
      <c r="G266" s="330">
        <f>+'Base de Datos'!T266</f>
        <v>42279</v>
      </c>
      <c r="H266" s="329">
        <f>+'Base de Datos'!U266</f>
        <v>1624000</v>
      </c>
      <c r="I266" s="331" t="str">
        <f>IF(VLOOKUP(B266,'Base de Datos'!$E$7:$S$303,11,0),"SI","NO")</f>
        <v>NO</v>
      </c>
      <c r="J266" s="332" t="str">
        <f t="shared" si="28"/>
        <v/>
      </c>
      <c r="K266" s="331" t="str">
        <f>IF(VLOOKUP(B266,'Base de Datos'!$E$7:$S$303,11,0),"SI","NO")</f>
        <v>NO</v>
      </c>
      <c r="L266" s="332" t="str">
        <f t="shared" si="29"/>
        <v/>
      </c>
      <c r="M266" s="332">
        <f>VLOOKUP(B266,'Base de Datos'!$E$7:$Z$303,21,0)</f>
        <v>0</v>
      </c>
      <c r="N266" s="394" t="str">
        <f t="shared" ca="1" si="33"/>
        <v/>
      </c>
      <c r="O266" s="332">
        <f ca="1">VLOOKUP(B266,'Base de Datos'!$E$7:$Z$303,22,0)</f>
        <v>1</v>
      </c>
      <c r="P266" s="393">
        <f t="shared" ca="1" si="30"/>
        <v>839</v>
      </c>
      <c r="Q266" s="406">
        <f t="shared" ca="1" si="34"/>
        <v>6.9916666666666663</v>
      </c>
      <c r="R266" s="328" t="str">
        <f ca="1">VLOOKUP(B266,'Base de Datos'!E266:AR577,33,0)</f>
        <v>TERMINO</v>
      </c>
      <c r="S266" s="331" t="str">
        <f t="shared" ca="1" si="31"/>
        <v>SI</v>
      </c>
      <c r="T266" s="328" t="str">
        <f t="shared" ca="1" si="32"/>
        <v>Liquidar</v>
      </c>
      <c r="U266" s="328">
        <f>VLOOKUP(B266,'Base de Datos'!$E$7:$AR$401,38,0)</f>
        <v>0</v>
      </c>
    </row>
    <row r="267" spans="1:21" ht="23.25" customHeight="1" thickTop="1" thickBot="1" x14ac:dyDescent="0.3">
      <c r="A267" s="108">
        <v>261</v>
      </c>
      <c r="B267" s="328" t="str">
        <f>+'Base de Datos'!E267</f>
        <v>140396-0-2014</v>
      </c>
      <c r="C267" s="328" t="str">
        <f>+'Base de Datos'!F267</f>
        <v>KAWAK SAS</v>
      </c>
      <c r="D267" s="329">
        <f>+'Base de Datos'!I267</f>
        <v>64621280</v>
      </c>
      <c r="E267" s="330">
        <f>+'Base de Datos'!M267</f>
        <v>42045</v>
      </c>
      <c r="F267" s="330">
        <f>+'Base de Datos'!N267</f>
        <v>42165</v>
      </c>
      <c r="G267" s="330">
        <f>+'Base de Datos'!T267</f>
        <v>42348</v>
      </c>
      <c r="H267" s="329">
        <f>+'Base de Datos'!U267</f>
        <v>64621280</v>
      </c>
      <c r="I267" s="331" t="str">
        <f>IF(VLOOKUP(B267,'Base de Datos'!$E$7:$S$303,11,0),"SI","NO")</f>
        <v>NO</v>
      </c>
      <c r="J267" s="332" t="str">
        <f t="shared" si="28"/>
        <v/>
      </c>
      <c r="K267" s="331" t="str">
        <f>IF(VLOOKUP(B267,'Base de Datos'!$E$7:$S$303,11,0),"SI","NO")</f>
        <v>NO</v>
      </c>
      <c r="L267" s="332" t="str">
        <f t="shared" si="29"/>
        <v/>
      </c>
      <c r="M267" s="332">
        <f>VLOOKUP(B267,'Base de Datos'!$E$7:$Z$303,21,0)</f>
        <v>1</v>
      </c>
      <c r="N267" s="394" t="str">
        <f t="shared" ca="1" si="33"/>
        <v/>
      </c>
      <c r="O267" s="332">
        <f ca="1">VLOOKUP(B267,'Base de Datos'!$E$7:$Z$303,22,0)</f>
        <v>1</v>
      </c>
      <c r="P267" s="393">
        <f t="shared" ca="1" si="30"/>
        <v>770</v>
      </c>
      <c r="Q267" s="406">
        <f t="shared" ca="1" si="34"/>
        <v>6.416666666666667</v>
      </c>
      <c r="R267" s="328" t="str">
        <f ca="1">VLOOKUP(B267,'Base de Datos'!E267:AR578,33,0)</f>
        <v>TERMINO</v>
      </c>
      <c r="S267" s="331" t="str">
        <f t="shared" ca="1" si="31"/>
        <v>SI</v>
      </c>
      <c r="T267" s="328" t="str">
        <f t="shared" ca="1" si="32"/>
        <v>Liquidar</v>
      </c>
      <c r="U267" s="328">
        <f>VLOOKUP(B267,'Base de Datos'!$E$7:$AR$401,38,0)</f>
        <v>0</v>
      </c>
    </row>
    <row r="268" spans="1:21" ht="23.25" customHeight="1" thickTop="1" thickBot="1" x14ac:dyDescent="0.3">
      <c r="A268" s="108">
        <v>262</v>
      </c>
      <c r="B268" s="328" t="str">
        <f>+'Base de Datos'!E268</f>
        <v>140422-0-2014</v>
      </c>
      <c r="C268" s="328" t="str">
        <f>+'Base de Datos'!F268</f>
        <v>ICETEX</v>
      </c>
      <c r="D268" s="329">
        <f>+'Base de Datos'!I268</f>
        <v>300000000</v>
      </c>
      <c r="E268" s="330">
        <f>+'Base de Datos'!M268</f>
        <v>42002</v>
      </c>
      <c r="F268" s="330">
        <f>+'Base de Datos'!N268</f>
        <v>43828</v>
      </c>
      <c r="G268" s="330">
        <f>+'Base de Datos'!T268</f>
        <v>43828</v>
      </c>
      <c r="H268" s="329">
        <f>+'Base de Datos'!U268</f>
        <v>600000000</v>
      </c>
      <c r="I268" s="331" t="str">
        <f>IF(VLOOKUP(B268,'Base de Datos'!$E$7:$S$303,11,0),"SI","NO")</f>
        <v>SI</v>
      </c>
      <c r="J268" s="332">
        <f t="shared" si="28"/>
        <v>0</v>
      </c>
      <c r="K268" s="331" t="str">
        <f>IF(VLOOKUP(B268,'Base de Datos'!$E$7:$S$303,11,0),"SI","NO")</f>
        <v>SI</v>
      </c>
      <c r="L268" s="332">
        <f t="shared" si="29"/>
        <v>1</v>
      </c>
      <c r="M268" s="332">
        <f>VLOOKUP(B268,'Base de Datos'!$E$7:$Z$303,21,0)</f>
        <v>0.5</v>
      </c>
      <c r="N268" s="394">
        <f t="shared" ca="1" si="33"/>
        <v>710</v>
      </c>
      <c r="O268" s="332">
        <f ca="1">VLOOKUP(B268,'Base de Datos'!$E$7:$Z$303,22,0)</f>
        <v>0.61117196056955092</v>
      </c>
      <c r="P268" s="393" t="str">
        <f t="shared" ca="1" si="30"/>
        <v/>
      </c>
      <c r="Q268" s="406" t="e">
        <f t="shared" ca="1" si="34"/>
        <v>#VALUE!</v>
      </c>
      <c r="R268" s="328" t="str">
        <f ca="1">VLOOKUP(B268,'Base de Datos'!E268:AR579,33,0)</f>
        <v>EN EJECUCIÓN</v>
      </c>
      <c r="S268" s="331" t="str">
        <f t="shared" ca="1" si="31"/>
        <v>SI</v>
      </c>
      <c r="T268" s="328" t="str">
        <f t="shared" ca="1" si="32"/>
        <v>Supervisar</v>
      </c>
      <c r="U268" s="328">
        <f>VLOOKUP(B268,'Base de Datos'!$E$7:$AR$401,38,0)</f>
        <v>0</v>
      </c>
    </row>
    <row r="269" spans="1:21" ht="23.25" customHeight="1" thickTop="1" thickBot="1" x14ac:dyDescent="0.3">
      <c r="A269" s="108">
        <v>263</v>
      </c>
      <c r="B269" s="328" t="str">
        <f>+'Base de Datos'!E269</f>
        <v>140392-0-2014</v>
      </c>
      <c r="C269" s="328" t="str">
        <f>+'Base de Datos'!F269</f>
        <v>M@ICROTEL LTDA</v>
      </c>
      <c r="D269" s="329">
        <f>+'Base de Datos'!I269</f>
        <v>137450000</v>
      </c>
      <c r="E269" s="330">
        <f>+'Base de Datos'!M269</f>
        <v>42018</v>
      </c>
      <c r="F269" s="330">
        <f>+'Base de Datos'!N269</f>
        <v>42383</v>
      </c>
      <c r="G269" s="330">
        <f>+'Base de Datos'!T269</f>
        <v>42383</v>
      </c>
      <c r="H269" s="329">
        <f>+'Base de Datos'!U269</f>
        <v>137450000</v>
      </c>
      <c r="I269" s="331" t="str">
        <f>IF(VLOOKUP(B269,'Base de Datos'!$E$7:$S$303,11,0),"SI","NO")</f>
        <v>NO</v>
      </c>
      <c r="J269" s="332" t="str">
        <f t="shared" si="28"/>
        <v/>
      </c>
      <c r="K269" s="331" t="str">
        <f>IF(VLOOKUP(B269,'Base de Datos'!$E$7:$S$303,11,0),"SI","NO")</f>
        <v>NO</v>
      </c>
      <c r="L269" s="332" t="str">
        <f t="shared" si="29"/>
        <v/>
      </c>
      <c r="M269" s="332">
        <f>VLOOKUP(B269,'Base de Datos'!$E$7:$Z$303,21,0)</f>
        <v>0.99999999272462714</v>
      </c>
      <c r="N269" s="394" t="str">
        <f t="shared" ca="1" si="33"/>
        <v/>
      </c>
      <c r="O269" s="332">
        <f ca="1">VLOOKUP(B269,'Base de Datos'!$E$7:$Z$303,22,0)</f>
        <v>1</v>
      </c>
      <c r="P269" s="393">
        <f t="shared" ca="1" si="30"/>
        <v>735</v>
      </c>
      <c r="Q269" s="406">
        <f t="shared" ca="1" si="34"/>
        <v>6.125</v>
      </c>
      <c r="R269" s="328" t="str">
        <f ca="1">VLOOKUP(B269,'Base de Datos'!E269:AR580,33,0)</f>
        <v>TERMINO</v>
      </c>
      <c r="S269" s="331" t="str">
        <f t="shared" ca="1" si="31"/>
        <v>SI</v>
      </c>
      <c r="T269" s="328" t="str">
        <f t="shared" ca="1" si="32"/>
        <v>Liquidar</v>
      </c>
      <c r="U269" s="328">
        <f>VLOOKUP(B269,'Base de Datos'!$E$7:$AR$401,38,0)</f>
        <v>0</v>
      </c>
    </row>
    <row r="270" spans="1:21" ht="23.25" customHeight="1" thickTop="1" thickBot="1" x14ac:dyDescent="0.3">
      <c r="A270" s="108">
        <v>264</v>
      </c>
      <c r="B270" s="328" t="str">
        <f>+'Base de Datos'!E270</f>
        <v>140418-0-2014</v>
      </c>
      <c r="C270" s="328" t="str">
        <f>+'Base de Datos'!F270</f>
        <v>CENTURY MEDIA SAS</v>
      </c>
      <c r="D270" s="329">
        <f>+'Base de Datos'!I270</f>
        <v>249210000</v>
      </c>
      <c r="E270" s="330">
        <f>+'Base de Datos'!M270</f>
        <v>42017</v>
      </c>
      <c r="F270" s="330">
        <f>+'Base de Datos'!N270</f>
        <v>42198</v>
      </c>
      <c r="G270" s="330">
        <f>+'Base de Datos'!T270</f>
        <v>42338</v>
      </c>
      <c r="H270" s="329">
        <f>+'Base de Datos'!U270</f>
        <v>309210000</v>
      </c>
      <c r="I270" s="331" t="str">
        <f>IF(VLOOKUP(B270,'Base de Datos'!$E$7:$S$303,11,0),"SI","NO")</f>
        <v>SI</v>
      </c>
      <c r="J270" s="332">
        <f t="shared" si="28"/>
        <v>0.77348066298342544</v>
      </c>
      <c r="K270" s="331" t="str">
        <f>IF(VLOOKUP(B270,'Base de Datos'!$E$7:$S$303,11,0),"SI","NO")</f>
        <v>SI</v>
      </c>
      <c r="L270" s="332">
        <f t="shared" si="29"/>
        <v>0.24076080414108583</v>
      </c>
      <c r="M270" s="332">
        <f>VLOOKUP(B270,'Base de Datos'!$E$7:$Z$303,21,0)</f>
        <v>1</v>
      </c>
      <c r="N270" s="394" t="str">
        <f t="shared" ca="1" si="33"/>
        <v/>
      </c>
      <c r="O270" s="332">
        <f ca="1">VLOOKUP(B270,'Base de Datos'!$E$7:$Z$303,22,0)</f>
        <v>1</v>
      </c>
      <c r="P270" s="393">
        <f t="shared" ca="1" si="30"/>
        <v>780</v>
      </c>
      <c r="Q270" s="406">
        <f t="shared" ca="1" si="34"/>
        <v>6.5</v>
      </c>
      <c r="R270" s="328" t="str">
        <f ca="1">VLOOKUP(B270,'Base de Datos'!E270:AR581,33,0)</f>
        <v>TERMINO</v>
      </c>
      <c r="S270" s="331" t="str">
        <f t="shared" ca="1" si="31"/>
        <v>SI</v>
      </c>
      <c r="T270" s="328" t="str">
        <f t="shared" ca="1" si="32"/>
        <v>Liquidar</v>
      </c>
      <c r="U270" s="328">
        <f>VLOOKUP(B270,'Base de Datos'!$E$7:$AR$401,38,0)</f>
        <v>0</v>
      </c>
    </row>
    <row r="271" spans="1:21" ht="23.25" customHeight="1" thickTop="1" thickBot="1" x14ac:dyDescent="0.3">
      <c r="A271" s="108">
        <v>265</v>
      </c>
      <c r="B271" s="328" t="str">
        <f>+'Base de Datos'!E271</f>
        <v>150028-0-2015</v>
      </c>
      <c r="C271" s="328" t="str">
        <f>+'Base de Datos'!F271</f>
        <v>RICARDO ROJAS SANABRIA (Cesionario) / Antes: NAYIVE CARRASCO PATIÑO</v>
      </c>
      <c r="D271" s="329">
        <f>+'Base de Datos'!I271</f>
        <v>84000000</v>
      </c>
      <c r="E271" s="330">
        <f>+'Base de Datos'!M271</f>
        <v>42031</v>
      </c>
      <c r="F271" s="330">
        <f>+'Base de Datos'!N271</f>
        <v>42396</v>
      </c>
      <c r="G271" s="330">
        <f>+'Base de Datos'!T271</f>
        <v>42396</v>
      </c>
      <c r="H271" s="329">
        <f>+'Base de Datos'!U271</f>
        <v>84000000</v>
      </c>
      <c r="I271" s="331" t="str">
        <f>IF(VLOOKUP(B271,'Base de Datos'!$E$7:$S$303,11,0),"SI","NO")</f>
        <v>NO</v>
      </c>
      <c r="J271" s="332" t="str">
        <f t="shared" si="28"/>
        <v/>
      </c>
      <c r="K271" s="331" t="str">
        <f>IF(VLOOKUP(B271,'Base de Datos'!$E$7:$S$303,11,0),"SI","NO")</f>
        <v>NO</v>
      </c>
      <c r="L271" s="332" t="str">
        <f t="shared" si="29"/>
        <v/>
      </c>
      <c r="M271" s="332">
        <f>VLOOKUP(B271,'Base de Datos'!$E$7:$Z$303,21,0)</f>
        <v>1</v>
      </c>
      <c r="N271" s="394" t="str">
        <f t="shared" ca="1" si="33"/>
        <v/>
      </c>
      <c r="O271" s="332">
        <f ca="1">VLOOKUP(B271,'Base de Datos'!$E$7:$Z$303,22,0)</f>
        <v>1</v>
      </c>
      <c r="P271" s="393">
        <f t="shared" ca="1" si="30"/>
        <v>722</v>
      </c>
      <c r="Q271" s="406">
        <f t="shared" ca="1" si="34"/>
        <v>6.0166666666666666</v>
      </c>
      <c r="R271" s="328" t="str">
        <f ca="1">VLOOKUP(B271,'Base de Datos'!E271:AR582,33,0)</f>
        <v>TERMINO</v>
      </c>
      <c r="S271" s="331" t="str">
        <f t="shared" ca="1" si="31"/>
        <v>SI</v>
      </c>
      <c r="T271" s="328" t="str">
        <f t="shared" ca="1" si="32"/>
        <v>Liquidar</v>
      </c>
      <c r="U271" s="328">
        <f>VLOOKUP(B271,'Base de Datos'!$E$7:$AR$401,38,0)</f>
        <v>0</v>
      </c>
    </row>
    <row r="272" spans="1:21" ht="23.25" customHeight="1" thickTop="1" thickBot="1" x14ac:dyDescent="0.3">
      <c r="A272" s="108">
        <v>266</v>
      </c>
      <c r="B272" s="328" t="str">
        <f>+'Base de Datos'!E272</f>
        <v>140369-0-2014</v>
      </c>
      <c r="C272" s="328" t="str">
        <f>+'Base de Datos'!F272</f>
        <v>INSTITUTO COLOMBIANO DE NORMAS TÉCNICAS Y CERTIFICACIÓN ICONTEC</v>
      </c>
      <c r="D272" s="329">
        <f>+'Base de Datos'!I272</f>
        <v>4961088</v>
      </c>
      <c r="E272" s="330">
        <f>+'Base de Datos'!M272</f>
        <v>42178</v>
      </c>
      <c r="F272" s="330">
        <f>+'Base de Datos'!N272</f>
        <v>42423</v>
      </c>
      <c r="G272" s="330">
        <f>+'Base de Datos'!T272</f>
        <v>42423</v>
      </c>
      <c r="H272" s="329">
        <f>+'Base de Datos'!U272</f>
        <v>4961088</v>
      </c>
      <c r="I272" s="331" t="str">
        <f>IF(VLOOKUP(B272,'Base de Datos'!$E$7:$S$303,11,0),"SI","NO")</f>
        <v>NO</v>
      </c>
      <c r="J272" s="332" t="str">
        <f t="shared" si="28"/>
        <v/>
      </c>
      <c r="K272" s="331" t="str">
        <f>IF(VLOOKUP(B272,'Base de Datos'!$E$7:$S$303,11,0),"SI","NO")</f>
        <v>NO</v>
      </c>
      <c r="L272" s="332" t="str">
        <f t="shared" si="29"/>
        <v/>
      </c>
      <c r="M272" s="332">
        <f>VLOOKUP(B272,'Base de Datos'!$E$7:$Z$303,21,0)</f>
        <v>1</v>
      </c>
      <c r="N272" s="394" t="str">
        <f t="shared" ca="1" si="33"/>
        <v/>
      </c>
      <c r="O272" s="332">
        <f ca="1">VLOOKUP(B272,'Base de Datos'!$E$7:$Z$303,22,0)</f>
        <v>1</v>
      </c>
      <c r="P272" s="393">
        <f t="shared" ca="1" si="30"/>
        <v>695</v>
      </c>
      <c r="Q272" s="406">
        <f t="shared" ca="1" si="34"/>
        <v>5.791666666666667</v>
      </c>
      <c r="R272" s="328" t="str">
        <f ca="1">VLOOKUP(B272,'Base de Datos'!E272:AR583,33,0)</f>
        <v>TERMINO</v>
      </c>
      <c r="S272" s="331" t="str">
        <f t="shared" ca="1" si="31"/>
        <v>SI</v>
      </c>
      <c r="T272" s="328" t="str">
        <f t="shared" ca="1" si="32"/>
        <v>Liquidar</v>
      </c>
      <c r="U272" s="328">
        <f>VLOOKUP(B272,'Base de Datos'!$E$7:$AR$401,38,0)</f>
        <v>0</v>
      </c>
    </row>
    <row r="273" spans="1:21" ht="23.25" customHeight="1" thickTop="1" thickBot="1" x14ac:dyDescent="0.3">
      <c r="A273" s="108">
        <v>267</v>
      </c>
      <c r="B273" s="328" t="str">
        <f>+'Base de Datos'!E273</f>
        <v>140390-0-2014</v>
      </c>
      <c r="C273" s="328" t="str">
        <f>+'Base de Datos'!F273</f>
        <v>UNIÓN TEMPORAL SICVEL HACIENDA 2014</v>
      </c>
      <c r="D273" s="329">
        <f>+'Base de Datos'!I273</f>
        <v>10075000</v>
      </c>
      <c r="E273" s="330">
        <f>+'Base de Datos'!M273</f>
        <v>42020</v>
      </c>
      <c r="F273" s="330">
        <f>+'Base de Datos'!N273</f>
        <v>42079</v>
      </c>
      <c r="G273" s="330">
        <f>+'Base de Datos'!T273</f>
        <v>42079</v>
      </c>
      <c r="H273" s="329">
        <f>+'Base de Datos'!U273</f>
        <v>10075000</v>
      </c>
      <c r="I273" s="331" t="str">
        <f>IF(VLOOKUP(B273,'Base de Datos'!$E$7:$S$303,11,0),"SI","NO")</f>
        <v>NO</v>
      </c>
      <c r="J273" s="332" t="str">
        <f t="shared" si="28"/>
        <v/>
      </c>
      <c r="K273" s="331" t="str">
        <f>IF(VLOOKUP(B273,'Base de Datos'!$E$7:$S$303,11,0),"SI","NO")</f>
        <v>NO</v>
      </c>
      <c r="L273" s="332" t="str">
        <f t="shared" si="29"/>
        <v/>
      </c>
      <c r="M273" s="332">
        <f>VLOOKUP(B273,'Base de Datos'!$E$7:$Z$303,21,0)</f>
        <v>1</v>
      </c>
      <c r="N273" s="394" t="str">
        <f t="shared" ca="1" si="33"/>
        <v/>
      </c>
      <c r="O273" s="332">
        <f ca="1">VLOOKUP(B273,'Base de Datos'!$E$7:$Z$303,22,0)</f>
        <v>1</v>
      </c>
      <c r="P273" s="393">
        <f t="shared" ca="1" si="30"/>
        <v>1039</v>
      </c>
      <c r="Q273" s="406">
        <f t="shared" ca="1" si="34"/>
        <v>8.6583333333333332</v>
      </c>
      <c r="R273" s="328" t="str">
        <f ca="1">VLOOKUP(B273,'Base de Datos'!E273:AR584,33,0)</f>
        <v>TERMINO</v>
      </c>
      <c r="S273" s="331" t="str">
        <f t="shared" ca="1" si="31"/>
        <v>NO</v>
      </c>
      <c r="T273" s="328" t="str">
        <f t="shared" ca="1" si="32"/>
        <v>Liquidar</v>
      </c>
      <c r="U273" s="328">
        <f>VLOOKUP(B273,'Base de Datos'!$E$7:$AR$401,38,0)</f>
        <v>0</v>
      </c>
    </row>
    <row r="274" spans="1:21" ht="23.25" customHeight="1" thickTop="1" thickBot="1" x14ac:dyDescent="0.3">
      <c r="A274" s="108">
        <v>268</v>
      </c>
      <c r="B274" s="328" t="str">
        <f>+'Base de Datos'!E274</f>
        <v>150035-0-2015</v>
      </c>
      <c r="C274" s="328" t="str">
        <f>+'Base de Datos'!F274</f>
        <v>EDGAR EULICES GONZÁLEZ</v>
      </c>
      <c r="D274" s="329">
        <f>+'Base de Datos'!I274</f>
        <v>46068000</v>
      </c>
      <c r="E274" s="330">
        <f>+'Base de Datos'!M274</f>
        <v>42037</v>
      </c>
      <c r="F274" s="330">
        <f>+'Base de Datos'!N274</f>
        <v>42402</v>
      </c>
      <c r="G274" s="330">
        <f>+'Base de Datos'!T274</f>
        <v>42402</v>
      </c>
      <c r="H274" s="329">
        <f>+'Base de Datos'!U274</f>
        <v>46068000</v>
      </c>
      <c r="I274" s="331" t="str">
        <f>IF(VLOOKUP(B274,'Base de Datos'!$E$7:$S$303,11,0),"SI","NO")</f>
        <v>NO</v>
      </c>
      <c r="J274" s="332" t="str">
        <f t="shared" si="28"/>
        <v/>
      </c>
      <c r="K274" s="331" t="str">
        <f>IF(VLOOKUP(B274,'Base de Datos'!$E$7:$S$303,11,0),"SI","NO")</f>
        <v>NO</v>
      </c>
      <c r="L274" s="332" t="str">
        <f t="shared" si="29"/>
        <v/>
      </c>
      <c r="M274" s="332">
        <f>VLOOKUP(B274,'Base de Datos'!$E$7:$Z$303,21,0)</f>
        <v>1</v>
      </c>
      <c r="N274" s="394" t="str">
        <f t="shared" ca="1" si="33"/>
        <v/>
      </c>
      <c r="O274" s="332">
        <f ca="1">VLOOKUP(B274,'Base de Datos'!$E$7:$Z$303,22,0)</f>
        <v>1</v>
      </c>
      <c r="P274" s="393">
        <f t="shared" ca="1" si="30"/>
        <v>716</v>
      </c>
      <c r="Q274" s="406">
        <f t="shared" ca="1" si="34"/>
        <v>5.9666666666666668</v>
      </c>
      <c r="R274" s="328" t="str">
        <f ca="1">VLOOKUP(B274,'Base de Datos'!E274:AR585,33,0)</f>
        <v>TERMINO</v>
      </c>
      <c r="S274" s="331" t="str">
        <f t="shared" ca="1" si="31"/>
        <v>SI</v>
      </c>
      <c r="T274" s="328" t="str">
        <f t="shared" ca="1" si="32"/>
        <v>Liquidar</v>
      </c>
      <c r="U274" s="328">
        <f>VLOOKUP(B274,'Base de Datos'!$E$7:$AR$401,38,0)</f>
        <v>0</v>
      </c>
    </row>
    <row r="275" spans="1:21" ht="23.25" customHeight="1" thickTop="1" thickBot="1" x14ac:dyDescent="0.3">
      <c r="A275" s="108">
        <v>269</v>
      </c>
      <c r="B275" s="328" t="str">
        <f>+'Base de Datos'!E275</f>
        <v>140381-0-2014</v>
      </c>
      <c r="C275" s="328" t="str">
        <f>+'Base de Datos'!F275</f>
        <v>INSTITUTO DISTRITAL DEL PATRIMONIO CULTURAL - IDPC</v>
      </c>
      <c r="D275" s="329">
        <f>+'Base de Datos'!I275</f>
        <v>0</v>
      </c>
      <c r="E275" s="330">
        <f>+'Base de Datos'!M275</f>
        <v>41984</v>
      </c>
      <c r="F275" s="330">
        <f>+'Base de Datos'!N275</f>
        <v>42046</v>
      </c>
      <c r="G275" s="330">
        <f>+'Base de Datos'!T275</f>
        <v>42046</v>
      </c>
      <c r="H275" s="329">
        <f>+'Base de Datos'!U275</f>
        <v>0</v>
      </c>
      <c r="I275" s="331" t="str">
        <f>IF(VLOOKUP(B275,'Base de Datos'!$E$7:$S$303,11,0),"SI","NO")</f>
        <v>NO</v>
      </c>
      <c r="J275" s="332" t="str">
        <f t="shared" si="28"/>
        <v/>
      </c>
      <c r="K275" s="331" t="str">
        <f>IF(VLOOKUP(B275,'Base de Datos'!$E$7:$S$303,11,0),"SI","NO")</f>
        <v>NO</v>
      </c>
      <c r="L275" s="332" t="str">
        <f t="shared" si="29"/>
        <v/>
      </c>
      <c r="M275" s="332" t="e">
        <f>VLOOKUP(B275,'Base de Datos'!$E$7:$Z$303,21,0)</f>
        <v>#DIV/0!</v>
      </c>
      <c r="N275" s="394" t="str">
        <f t="shared" ca="1" si="33"/>
        <v/>
      </c>
      <c r="O275" s="332">
        <f ca="1">VLOOKUP(B275,'Base de Datos'!$E$7:$Z$303,22,0)</f>
        <v>1</v>
      </c>
      <c r="P275" s="393">
        <f t="shared" ca="1" si="30"/>
        <v>1072</v>
      </c>
      <c r="Q275" s="406">
        <f t="shared" ca="1" si="34"/>
        <v>8.9333333333333336</v>
      </c>
      <c r="R275" s="328" t="str">
        <f ca="1">VLOOKUP(B275,'Base de Datos'!E275:AR586,33,0)</f>
        <v>TERMINO</v>
      </c>
      <c r="S275" s="331" t="str">
        <f t="shared" ca="1" si="31"/>
        <v>NO</v>
      </c>
      <c r="T275" s="328" t="str">
        <f t="shared" ca="1" si="32"/>
        <v>Liquidar</v>
      </c>
      <c r="U275" s="328">
        <f>VLOOKUP(B275,'Base de Datos'!$E$7:$AR$401,38,0)</f>
        <v>0</v>
      </c>
    </row>
    <row r="276" spans="1:21" ht="23.25" customHeight="1" thickTop="1" thickBot="1" x14ac:dyDescent="0.3">
      <c r="A276" s="108">
        <v>270</v>
      </c>
      <c r="B276" s="328" t="str">
        <f>+'Base de Datos'!E276</f>
        <v>150049-0-2015</v>
      </c>
      <c r="C276" s="328" t="str">
        <f>+'Base de Datos'!F276</f>
        <v>ROSA ENRIQUELINA GÓMEZ CORREDOR</v>
      </c>
      <c r="D276" s="329">
        <f>+'Base de Datos'!I276</f>
        <v>60000000</v>
      </c>
      <c r="E276" s="330">
        <f>+'Base de Datos'!M276</f>
        <v>42045</v>
      </c>
      <c r="F276" s="330">
        <f>+'Base de Datos'!N276</f>
        <v>42410</v>
      </c>
      <c r="G276" s="330">
        <f>+'Base de Datos'!T276</f>
        <v>42410</v>
      </c>
      <c r="H276" s="329">
        <f>+'Base de Datos'!U276</f>
        <v>60000000</v>
      </c>
      <c r="I276" s="331" t="str">
        <f>IF(VLOOKUP(B276,'Base de Datos'!$E$7:$S$303,11,0),"SI","NO")</f>
        <v>NO</v>
      </c>
      <c r="J276" s="332" t="str">
        <f t="shared" si="28"/>
        <v/>
      </c>
      <c r="K276" s="331" t="str">
        <f>IF(VLOOKUP(B276,'Base de Datos'!$E$7:$S$303,11,0),"SI","NO")</f>
        <v>NO</v>
      </c>
      <c r="L276" s="332" t="str">
        <f t="shared" si="29"/>
        <v/>
      </c>
      <c r="M276" s="332">
        <f>VLOOKUP(B276,'Base de Datos'!$E$7:$Z$303,21,0)</f>
        <v>1</v>
      </c>
      <c r="N276" s="394" t="str">
        <f t="shared" ca="1" si="33"/>
        <v/>
      </c>
      <c r="O276" s="332">
        <f ca="1">VLOOKUP(B276,'Base de Datos'!$E$7:$Z$303,22,0)</f>
        <v>1</v>
      </c>
      <c r="P276" s="393">
        <f t="shared" ca="1" si="30"/>
        <v>708</v>
      </c>
      <c r="Q276" s="406">
        <f t="shared" ca="1" si="34"/>
        <v>5.9</v>
      </c>
      <c r="R276" s="328" t="str">
        <f ca="1">VLOOKUP(B276,'Base de Datos'!E276:AR587,33,0)</f>
        <v>TERMINO</v>
      </c>
      <c r="S276" s="331" t="str">
        <f t="shared" ca="1" si="31"/>
        <v>SI</v>
      </c>
      <c r="T276" s="328" t="str">
        <f t="shared" ca="1" si="32"/>
        <v>Liquidar</v>
      </c>
      <c r="U276" s="328">
        <f>VLOOKUP(B276,'Base de Datos'!$E$7:$AR$401,38,0)</f>
        <v>0</v>
      </c>
    </row>
    <row r="277" spans="1:21" ht="23.25" customHeight="1" thickTop="1" thickBot="1" x14ac:dyDescent="0.3">
      <c r="A277" s="108">
        <v>271</v>
      </c>
      <c r="B277" s="328" t="str">
        <f>+'Base de Datos'!E277</f>
        <v>150053-0-2015</v>
      </c>
      <c r="C277" s="328" t="str">
        <f>+'Base de Datos'!F277</f>
        <v xml:space="preserve">ADRIANA MARGARITA PAYARES (Cesionaria) / Antes: JEAN PAUL RUBIO MARTIN </v>
      </c>
      <c r="D277" s="329">
        <f>+'Base de Datos'!I277</f>
        <v>63654000</v>
      </c>
      <c r="E277" s="330">
        <f>+'Base de Datos'!M277</f>
        <v>42045</v>
      </c>
      <c r="F277" s="330">
        <f>+'Base de Datos'!N277</f>
        <v>42379</v>
      </c>
      <c r="G277" s="330">
        <f>+'Base de Datos'!T277</f>
        <v>42410</v>
      </c>
      <c r="H277" s="329">
        <f>+'Base de Datos'!U277</f>
        <v>63654000</v>
      </c>
      <c r="I277" s="331" t="str">
        <f>IF(VLOOKUP(B277,'Base de Datos'!$E$7:$S$303,11,0),"SI","NO")</f>
        <v>NO</v>
      </c>
      <c r="J277" s="332" t="str">
        <f t="shared" si="28"/>
        <v/>
      </c>
      <c r="K277" s="331" t="str">
        <f>IF(VLOOKUP(B277,'Base de Datos'!$E$7:$S$303,11,0),"SI","NO")</f>
        <v>NO</v>
      </c>
      <c r="L277" s="332" t="str">
        <f t="shared" si="29"/>
        <v/>
      </c>
      <c r="M277" s="332">
        <f>VLOOKUP(B277,'Base de Datos'!$E$7:$Z$303,21,0)</f>
        <v>0.47499978006095456</v>
      </c>
      <c r="N277" s="394" t="str">
        <f t="shared" ca="1" si="33"/>
        <v/>
      </c>
      <c r="O277" s="332">
        <f ca="1">VLOOKUP(B277,'Base de Datos'!$E$7:$Z$303,22,0)</f>
        <v>1</v>
      </c>
      <c r="P277" s="393">
        <f t="shared" ca="1" si="30"/>
        <v>708</v>
      </c>
      <c r="Q277" s="406">
        <f t="shared" ca="1" si="34"/>
        <v>5.9</v>
      </c>
      <c r="R277" s="328" t="str">
        <f ca="1">VLOOKUP(B277,'Base de Datos'!E277:AR588,33,0)</f>
        <v>TERMINO</v>
      </c>
      <c r="S277" s="331" t="str">
        <f t="shared" ca="1" si="31"/>
        <v>SI</v>
      </c>
      <c r="T277" s="328" t="str">
        <f t="shared" ca="1" si="32"/>
        <v>Liquidar</v>
      </c>
      <c r="U277" s="328">
        <f>VLOOKUP(B277,'Base de Datos'!$E$7:$AR$401,38,0)</f>
        <v>0</v>
      </c>
    </row>
    <row r="278" spans="1:21" ht="23.25" customHeight="1" thickTop="1" thickBot="1" x14ac:dyDescent="0.3">
      <c r="A278" s="108">
        <v>272</v>
      </c>
      <c r="B278" s="328" t="str">
        <f>+'Base de Datos'!E278</f>
        <v>150067-0-2015</v>
      </c>
      <c r="C278" s="328" t="str">
        <f>+'Base de Datos'!F278</f>
        <v>WIESNER FABIÁN ROBAYO SALCEDO</v>
      </c>
      <c r="D278" s="329">
        <f>+'Base de Datos'!I278</f>
        <v>48000000</v>
      </c>
      <c r="E278" s="330">
        <f>+'Base de Datos'!M278</f>
        <v>42053</v>
      </c>
      <c r="F278" s="330">
        <f>+'Base de Datos'!N278</f>
        <v>42418</v>
      </c>
      <c r="G278" s="330">
        <f>+'Base de Datos'!T278</f>
        <v>42418</v>
      </c>
      <c r="H278" s="329">
        <f>+'Base de Datos'!U278</f>
        <v>48000000</v>
      </c>
      <c r="I278" s="331" t="str">
        <f>IF(VLOOKUP(B278,'Base de Datos'!$E$7:$S$303,11,0),"SI","NO")</f>
        <v>NO</v>
      </c>
      <c r="J278" s="332" t="str">
        <f t="shared" si="28"/>
        <v/>
      </c>
      <c r="K278" s="331" t="str">
        <f>IF(VLOOKUP(B278,'Base de Datos'!$E$7:$S$303,11,0),"SI","NO")</f>
        <v>NO</v>
      </c>
      <c r="L278" s="332" t="str">
        <f t="shared" si="29"/>
        <v/>
      </c>
      <c r="M278" s="332">
        <f>VLOOKUP(B278,'Base de Datos'!$E$7:$Z$303,21,0)</f>
        <v>1</v>
      </c>
      <c r="N278" s="394" t="str">
        <f t="shared" ca="1" si="33"/>
        <v/>
      </c>
      <c r="O278" s="332">
        <f ca="1">VLOOKUP(B278,'Base de Datos'!$E$7:$Z$303,22,0)</f>
        <v>1</v>
      </c>
      <c r="P278" s="393">
        <f t="shared" ca="1" si="30"/>
        <v>700</v>
      </c>
      <c r="Q278" s="406">
        <f t="shared" ca="1" si="34"/>
        <v>5.833333333333333</v>
      </c>
      <c r="R278" s="328" t="str">
        <f ca="1">VLOOKUP(B278,'Base de Datos'!E278:AR589,33,0)</f>
        <v>TERMINO</v>
      </c>
      <c r="S278" s="331" t="str">
        <f t="shared" ca="1" si="31"/>
        <v>SI</v>
      </c>
      <c r="T278" s="328" t="str">
        <f t="shared" ca="1" si="32"/>
        <v>Liquidar</v>
      </c>
      <c r="U278" s="328">
        <f>VLOOKUP(B278,'Base de Datos'!$E$7:$AR$401,38,0)</f>
        <v>0</v>
      </c>
    </row>
    <row r="279" spans="1:21" ht="23.25" customHeight="1" thickTop="1" thickBot="1" x14ac:dyDescent="0.3">
      <c r="A279" s="108">
        <v>273</v>
      </c>
      <c r="B279" s="328" t="str">
        <f>+'Base de Datos'!E279</f>
        <v>150076-0-2015</v>
      </c>
      <c r="C279" s="328" t="str">
        <f>+'Base de Datos'!F279</f>
        <v>JUDITH HERNÁNDEZ VILLALBA</v>
      </c>
      <c r="D279" s="329">
        <f>+'Base de Datos'!I279</f>
        <v>63654000</v>
      </c>
      <c r="E279" s="330">
        <f>+'Base de Datos'!M279</f>
        <v>42054</v>
      </c>
      <c r="F279" s="330">
        <f>+'Base de Datos'!N279</f>
        <v>42419</v>
      </c>
      <c r="G279" s="330">
        <f>+'Base de Datos'!T279</f>
        <v>42419</v>
      </c>
      <c r="H279" s="329">
        <f>+'Base de Datos'!U279</f>
        <v>63654000</v>
      </c>
      <c r="I279" s="331" t="str">
        <f>IF(VLOOKUP(B279,'Base de Datos'!$E$7:$S$303,11,0),"SI","NO")</f>
        <v>NO</v>
      </c>
      <c r="J279" s="332" t="str">
        <f t="shared" si="28"/>
        <v/>
      </c>
      <c r="K279" s="331" t="str">
        <f>IF(VLOOKUP(B279,'Base de Datos'!$E$7:$S$303,11,0),"SI","NO")</f>
        <v>NO</v>
      </c>
      <c r="L279" s="332" t="str">
        <f t="shared" si="29"/>
        <v/>
      </c>
      <c r="M279" s="332">
        <f>VLOOKUP(B279,'Base de Datos'!$E$7:$Z$303,21,0)</f>
        <v>1</v>
      </c>
      <c r="N279" s="394" t="str">
        <f t="shared" ca="1" si="33"/>
        <v/>
      </c>
      <c r="O279" s="332">
        <f ca="1">VLOOKUP(B279,'Base de Datos'!$E$7:$Z$303,22,0)</f>
        <v>1</v>
      </c>
      <c r="P279" s="393">
        <f t="shared" ca="1" si="30"/>
        <v>699</v>
      </c>
      <c r="Q279" s="406">
        <f t="shared" ca="1" si="34"/>
        <v>5.8250000000000002</v>
      </c>
      <c r="R279" s="328" t="str">
        <f ca="1">VLOOKUP(B279,'Base de Datos'!E279:AR590,33,0)</f>
        <v>TERMINO</v>
      </c>
      <c r="S279" s="331" t="str">
        <f t="shared" ca="1" si="31"/>
        <v>SI</v>
      </c>
      <c r="T279" s="328" t="str">
        <f t="shared" ca="1" si="32"/>
        <v>Liquidar</v>
      </c>
      <c r="U279" s="328">
        <f>VLOOKUP(B279,'Base de Datos'!$E$7:$AR$401,38,0)</f>
        <v>0</v>
      </c>
    </row>
    <row r="280" spans="1:21" ht="23.25" customHeight="1" thickTop="1" thickBot="1" x14ac:dyDescent="0.3">
      <c r="A280" s="108">
        <v>274</v>
      </c>
      <c r="B280" s="328" t="str">
        <f>+'Base de Datos'!E280</f>
        <v>150073-0-2015</v>
      </c>
      <c r="C280" s="328" t="str">
        <f>+'Base de Datos'!F280</f>
        <v>ELVIN ALEXANDER AVEBDAÑO FONSECA (Cesionario) / JAVIER ANDRÉS VIDAL MELO (Antes)</v>
      </c>
      <c r="D280" s="329">
        <f>+'Base de Datos'!I280</f>
        <v>60000000</v>
      </c>
      <c r="E280" s="330">
        <f>+'Base de Datos'!M280</f>
        <v>42054</v>
      </c>
      <c r="F280" s="330">
        <f>+'Base de Datos'!N280</f>
        <v>42419</v>
      </c>
      <c r="G280" s="330">
        <f>+'Base de Datos'!T280</f>
        <v>42419</v>
      </c>
      <c r="H280" s="329">
        <f>+'Base de Datos'!U280</f>
        <v>60000000</v>
      </c>
      <c r="I280" s="331" t="str">
        <f>IF(VLOOKUP(B280,'Base de Datos'!$E$7:$S$303,11,0),"SI","NO")</f>
        <v>NO</v>
      </c>
      <c r="J280" s="332" t="str">
        <f t="shared" si="28"/>
        <v/>
      </c>
      <c r="K280" s="331" t="str">
        <f>IF(VLOOKUP(B280,'Base de Datos'!$E$7:$S$303,11,0),"SI","NO")</f>
        <v>NO</v>
      </c>
      <c r="L280" s="332" t="str">
        <f t="shared" si="29"/>
        <v/>
      </c>
      <c r="M280" s="332">
        <f>VLOOKUP(B280,'Base de Datos'!$E$7:$Z$303,21,0)</f>
        <v>1</v>
      </c>
      <c r="N280" s="394" t="str">
        <f t="shared" ca="1" si="33"/>
        <v/>
      </c>
      <c r="O280" s="332">
        <f ca="1">VLOOKUP(B280,'Base de Datos'!$E$7:$Z$303,22,0)</f>
        <v>1</v>
      </c>
      <c r="P280" s="393">
        <f t="shared" ca="1" si="30"/>
        <v>699</v>
      </c>
      <c r="Q280" s="406">
        <f t="shared" ca="1" si="34"/>
        <v>5.8250000000000002</v>
      </c>
      <c r="R280" s="328" t="str">
        <f ca="1">VLOOKUP(B280,'Base de Datos'!E280:AR591,33,0)</f>
        <v>TERMINO</v>
      </c>
      <c r="S280" s="331" t="str">
        <f t="shared" ca="1" si="31"/>
        <v>SI</v>
      </c>
      <c r="T280" s="328" t="str">
        <f t="shared" ca="1" si="32"/>
        <v>Liquidar</v>
      </c>
      <c r="U280" s="328">
        <f>VLOOKUP(B280,'Base de Datos'!$E$7:$AR$401,38,0)</f>
        <v>0</v>
      </c>
    </row>
    <row r="281" spans="1:21" ht="23.25" customHeight="1" thickTop="1" thickBot="1" x14ac:dyDescent="0.3">
      <c r="A281" s="108">
        <v>275</v>
      </c>
      <c r="B281" s="328" t="str">
        <f>+'Base de Datos'!E281</f>
        <v>150080-0-2015</v>
      </c>
      <c r="C281" s="328" t="str">
        <f>+'Base de Datos'!F281</f>
        <v>LIZETH  GONZÁLEZ VARGAS</v>
      </c>
      <c r="D281" s="329">
        <f>+'Base de Datos'!I281</f>
        <v>43260000</v>
      </c>
      <c r="E281" s="330">
        <f>+'Base de Datos'!M281</f>
        <v>42060</v>
      </c>
      <c r="F281" s="330">
        <f>+'Base de Datos'!N281</f>
        <v>42425</v>
      </c>
      <c r="G281" s="330">
        <f>+'Base de Datos'!T281</f>
        <v>42425</v>
      </c>
      <c r="H281" s="329">
        <f>+'Base de Datos'!U281</f>
        <v>43260000</v>
      </c>
      <c r="I281" s="331" t="str">
        <f>IF(VLOOKUP(B281,'Base de Datos'!$E$7:$S$303,11,0),"SI","NO")</f>
        <v>NO</v>
      </c>
      <c r="J281" s="332" t="str">
        <f t="shared" si="28"/>
        <v/>
      </c>
      <c r="K281" s="331" t="str">
        <f>IF(VLOOKUP(B281,'Base de Datos'!$E$7:$S$303,11,0),"SI","NO")</f>
        <v>NO</v>
      </c>
      <c r="L281" s="332" t="str">
        <f t="shared" si="29"/>
        <v/>
      </c>
      <c r="M281" s="332">
        <f>VLOOKUP(B281,'Base de Datos'!$E$7:$Z$303,21,0)</f>
        <v>1</v>
      </c>
      <c r="N281" s="394" t="str">
        <f t="shared" ca="1" si="33"/>
        <v/>
      </c>
      <c r="O281" s="332">
        <f ca="1">VLOOKUP(B281,'Base de Datos'!$E$7:$Z$303,22,0)</f>
        <v>1</v>
      </c>
      <c r="P281" s="393">
        <f t="shared" ca="1" si="30"/>
        <v>693</v>
      </c>
      <c r="Q281" s="406">
        <f t="shared" ca="1" si="34"/>
        <v>5.7750000000000004</v>
      </c>
      <c r="R281" s="328" t="str">
        <f ca="1">VLOOKUP(B281,'Base de Datos'!E281:AR592,33,0)</f>
        <v>TERMINO</v>
      </c>
      <c r="S281" s="331" t="str">
        <f t="shared" ca="1" si="31"/>
        <v>SI</v>
      </c>
      <c r="T281" s="328" t="str">
        <f t="shared" ca="1" si="32"/>
        <v>Liquidar</v>
      </c>
      <c r="U281" s="328">
        <f>VLOOKUP(B281,'Base de Datos'!$E$7:$AR$401,38,0)</f>
        <v>0</v>
      </c>
    </row>
    <row r="282" spans="1:21" ht="23.25" customHeight="1" thickTop="1" thickBot="1" x14ac:dyDescent="0.3">
      <c r="A282" s="108">
        <v>276</v>
      </c>
      <c r="B282" s="328" t="str">
        <f>+'Base de Datos'!E282</f>
        <v>150081-0-2015</v>
      </c>
      <c r="C282" s="328" t="str">
        <f>+'Base de Datos'!F282</f>
        <v>LEIDY YONETH RIVERA GONZALEZ (Cesionario) / LUISA FERNANDA GUTIÉRREZ RAMÍREZ (Antes)</v>
      </c>
      <c r="D282" s="329">
        <f>+'Base de Datos'!I282</f>
        <v>63654000</v>
      </c>
      <c r="E282" s="330">
        <f>+'Base de Datos'!M282</f>
        <v>42060</v>
      </c>
      <c r="F282" s="330">
        <f>+'Base de Datos'!N282</f>
        <v>42425</v>
      </c>
      <c r="G282" s="330">
        <f>+'Base de Datos'!T282</f>
        <v>42530</v>
      </c>
      <c r="H282" s="329">
        <f>+'Base de Datos'!U282</f>
        <v>63654000</v>
      </c>
      <c r="I282" s="331" t="str">
        <f>IF(VLOOKUP(B282,'Base de Datos'!$E$7:$S$303,11,0),"SI","NO")</f>
        <v>NO</v>
      </c>
      <c r="J282" s="332" t="str">
        <f t="shared" si="28"/>
        <v/>
      </c>
      <c r="K282" s="331" t="str">
        <f>IF(VLOOKUP(B282,'Base de Datos'!$E$7:$S$303,11,0),"SI","NO")</f>
        <v>NO</v>
      </c>
      <c r="L282" s="332" t="str">
        <f t="shared" si="29"/>
        <v/>
      </c>
      <c r="M282" s="332">
        <f>VLOOKUP(B282,'Base de Datos'!$E$7:$Z$303,21,0)</f>
        <v>0.98611111634775506</v>
      </c>
      <c r="N282" s="394" t="str">
        <f t="shared" ca="1" si="33"/>
        <v/>
      </c>
      <c r="O282" s="332">
        <f ca="1">VLOOKUP(B282,'Base de Datos'!$E$7:$Z$303,22,0)</f>
        <v>1</v>
      </c>
      <c r="P282" s="393">
        <f t="shared" ca="1" si="30"/>
        <v>588</v>
      </c>
      <c r="Q282" s="406">
        <f t="shared" ca="1" si="34"/>
        <v>4.9000000000000004</v>
      </c>
      <c r="R282" s="328" t="str">
        <f ca="1">VLOOKUP(B282,'Base de Datos'!E282:AR593,33,0)</f>
        <v>TERMINO</v>
      </c>
      <c r="S282" s="331" t="str">
        <f t="shared" ca="1" si="31"/>
        <v>SI</v>
      </c>
      <c r="T282" s="328" t="str">
        <f t="shared" ca="1" si="32"/>
        <v>Liquidar</v>
      </c>
      <c r="U282" s="328">
        <f>VLOOKUP(B282,'Base de Datos'!$E$7:$AR$401,38,0)</f>
        <v>0</v>
      </c>
    </row>
    <row r="283" spans="1:21" ht="23.25" customHeight="1" thickTop="1" thickBot="1" x14ac:dyDescent="0.3">
      <c r="A283" s="108">
        <v>277</v>
      </c>
      <c r="B283" s="328" t="str">
        <f>+'Base de Datos'!E283</f>
        <v>150083-0-2015</v>
      </c>
      <c r="C283" s="328" t="str">
        <f>+'Base de Datos'!F283</f>
        <v>DIANA MARCELA REYES</v>
      </c>
      <c r="D283" s="329">
        <f>+'Base de Datos'!I283</f>
        <v>30900000</v>
      </c>
      <c r="E283" s="330">
        <f>+'Base de Datos'!M283</f>
        <v>42065</v>
      </c>
      <c r="F283" s="330">
        <f>+'Base de Datos'!N283</f>
        <v>42431</v>
      </c>
      <c r="G283" s="330">
        <f>+'Base de Datos'!T283</f>
        <v>42431</v>
      </c>
      <c r="H283" s="329">
        <f>+'Base de Datos'!U283</f>
        <v>30900000</v>
      </c>
      <c r="I283" s="331" t="str">
        <f>IF(VLOOKUP(B283,'Base de Datos'!$E$7:$S$303,11,0),"SI","NO")</f>
        <v>NO</v>
      </c>
      <c r="J283" s="332" t="str">
        <f t="shared" si="28"/>
        <v/>
      </c>
      <c r="K283" s="331" t="str">
        <f>IF(VLOOKUP(B283,'Base de Datos'!$E$7:$S$303,11,0),"SI","NO")</f>
        <v>NO</v>
      </c>
      <c r="L283" s="332" t="str">
        <f t="shared" si="29"/>
        <v/>
      </c>
      <c r="M283" s="332">
        <f>VLOOKUP(B283,'Base de Datos'!$E$7:$Z$303,21,0)</f>
        <v>1</v>
      </c>
      <c r="N283" s="394" t="str">
        <f t="shared" ca="1" si="33"/>
        <v/>
      </c>
      <c r="O283" s="332">
        <f ca="1">VLOOKUP(B283,'Base de Datos'!$E$7:$Z$303,22,0)</f>
        <v>1</v>
      </c>
      <c r="P283" s="393">
        <f t="shared" ca="1" si="30"/>
        <v>687</v>
      </c>
      <c r="Q283" s="406">
        <f t="shared" ca="1" si="34"/>
        <v>5.7249999999999996</v>
      </c>
      <c r="R283" s="328" t="str">
        <f ca="1">VLOOKUP(B283,'Base de Datos'!E283:AR594,33,0)</f>
        <v>TERMINO</v>
      </c>
      <c r="S283" s="331" t="str">
        <f t="shared" ca="1" si="31"/>
        <v>SI</v>
      </c>
      <c r="T283" s="328" t="str">
        <f t="shared" ca="1" si="32"/>
        <v>Liquidar</v>
      </c>
      <c r="U283" s="328">
        <f>VLOOKUP(B283,'Base de Datos'!$E$7:$AR$401,38,0)</f>
        <v>0</v>
      </c>
    </row>
    <row r="284" spans="1:21" ht="23.25" customHeight="1" thickTop="1" thickBot="1" x14ac:dyDescent="0.3">
      <c r="A284" s="108">
        <v>278</v>
      </c>
      <c r="B284" s="328" t="str">
        <f>+'Base de Datos'!E284</f>
        <v>150097-0-2015</v>
      </c>
      <c r="C284" s="328" t="str">
        <f>+'Base de Datos'!F284</f>
        <v>ORGANIZACIÓN TERPEL S.A.</v>
      </c>
      <c r="D284" s="329">
        <f>+'Base de Datos'!I284</f>
        <v>444600000</v>
      </c>
      <c r="E284" s="330">
        <f>+'Base de Datos'!M284</f>
        <v>42064</v>
      </c>
      <c r="F284" s="330">
        <f>+'Base de Datos'!N284</f>
        <v>42339</v>
      </c>
      <c r="G284" s="330">
        <f>+'Base de Datos'!T284</f>
        <v>42339</v>
      </c>
      <c r="H284" s="329">
        <f>+'Base de Datos'!U284</f>
        <v>444600000</v>
      </c>
      <c r="I284" s="331" t="str">
        <f>IF(VLOOKUP(B284,'Base de Datos'!$E$7:$S$303,11,0),"SI","NO")</f>
        <v>NO</v>
      </c>
      <c r="J284" s="332" t="str">
        <f t="shared" si="28"/>
        <v/>
      </c>
      <c r="K284" s="331" t="str">
        <f>IF(VLOOKUP(B284,'Base de Datos'!$E$7:$S$303,11,0),"SI","NO")</f>
        <v>NO</v>
      </c>
      <c r="L284" s="332" t="str">
        <f t="shared" si="29"/>
        <v/>
      </c>
      <c r="M284" s="332">
        <f>VLOOKUP(B284,'Base de Datos'!$E$7:$Z$303,21,0)</f>
        <v>0.82172098965362128</v>
      </c>
      <c r="N284" s="394" t="str">
        <f t="shared" ca="1" si="33"/>
        <v/>
      </c>
      <c r="O284" s="332">
        <f ca="1">VLOOKUP(B284,'Base de Datos'!$E$7:$Z$303,22,0)</f>
        <v>1</v>
      </c>
      <c r="P284" s="393">
        <f t="shared" ca="1" si="30"/>
        <v>779</v>
      </c>
      <c r="Q284" s="406">
        <f t="shared" ca="1" si="34"/>
        <v>6.4916666666666663</v>
      </c>
      <c r="R284" s="328" t="str">
        <f ca="1">VLOOKUP(B284,'Base de Datos'!E284:AR595,33,0)</f>
        <v>TERMINO</v>
      </c>
      <c r="S284" s="331" t="str">
        <f t="shared" ca="1" si="31"/>
        <v>SI</v>
      </c>
      <c r="T284" s="328" t="str">
        <f t="shared" ca="1" si="32"/>
        <v>Liquidar</v>
      </c>
      <c r="U284" s="328">
        <f>VLOOKUP(B284,'Base de Datos'!$E$7:$AR$401,38,0)</f>
        <v>0</v>
      </c>
    </row>
    <row r="285" spans="1:21" ht="23.25" customHeight="1" thickTop="1" thickBot="1" x14ac:dyDescent="0.3">
      <c r="A285" s="108">
        <v>279</v>
      </c>
      <c r="B285" s="328" t="str">
        <f>+'Base de Datos'!E285</f>
        <v>150100-0-2015</v>
      </c>
      <c r="C285" s="328" t="str">
        <f>+'Base de Datos'!F285</f>
        <v>KHAANKO NORBERTO RUIZ RODRÍGUEZ</v>
      </c>
      <c r="D285" s="329">
        <f>+'Base de Datos'!I285</f>
        <v>38400000</v>
      </c>
      <c r="E285" s="330">
        <f>+'Base de Datos'!M285</f>
        <v>42073</v>
      </c>
      <c r="F285" s="330">
        <f>+'Base de Datos'!N285</f>
        <v>42439</v>
      </c>
      <c r="G285" s="330">
        <f>+'Base de Datos'!T285</f>
        <v>42439</v>
      </c>
      <c r="H285" s="329">
        <f>+'Base de Datos'!U285</f>
        <v>38400000</v>
      </c>
      <c r="I285" s="331" t="str">
        <f>IF(VLOOKUP(B285,'Base de Datos'!$E$7:$S$303,11,0),"SI","NO")</f>
        <v>NO</v>
      </c>
      <c r="J285" s="332" t="str">
        <f t="shared" si="28"/>
        <v/>
      </c>
      <c r="K285" s="331" t="str">
        <f>IF(VLOOKUP(B285,'Base de Datos'!$E$7:$S$303,11,0),"SI","NO")</f>
        <v>NO</v>
      </c>
      <c r="L285" s="332" t="str">
        <f t="shared" si="29"/>
        <v/>
      </c>
      <c r="M285" s="332">
        <f>VLOOKUP(B285,'Base de Datos'!$E$7:$Z$303,21,0)</f>
        <v>1</v>
      </c>
      <c r="N285" s="394" t="str">
        <f t="shared" ca="1" si="33"/>
        <v/>
      </c>
      <c r="O285" s="332">
        <f ca="1">VLOOKUP(B285,'Base de Datos'!$E$7:$Z$303,22,0)</f>
        <v>1</v>
      </c>
      <c r="P285" s="393">
        <f t="shared" ca="1" si="30"/>
        <v>679</v>
      </c>
      <c r="Q285" s="406">
        <f t="shared" ca="1" si="34"/>
        <v>5.6583333333333332</v>
      </c>
      <c r="R285" s="328" t="str">
        <f ca="1">VLOOKUP(B285,'Base de Datos'!E285:AR596,33,0)</f>
        <v>TERMINO</v>
      </c>
      <c r="S285" s="331" t="str">
        <f t="shared" ca="1" si="31"/>
        <v>SI</v>
      </c>
      <c r="T285" s="328" t="str">
        <f t="shared" ca="1" si="32"/>
        <v>Liquidar</v>
      </c>
      <c r="U285" s="328">
        <f>VLOOKUP(B285,'Base de Datos'!$E$7:$AR$401,38,0)</f>
        <v>0</v>
      </c>
    </row>
    <row r="286" spans="1:21" ht="23.25" customHeight="1" thickTop="1" thickBot="1" x14ac:dyDescent="0.3">
      <c r="A286" s="108">
        <v>280</v>
      </c>
      <c r="B286" s="328" t="str">
        <f>+'Base de Datos'!E286</f>
        <v>150101-0-2015</v>
      </c>
      <c r="C286" s="328" t="str">
        <f>+'Base de Datos'!F286</f>
        <v>GLORIA CATALINA ROSERO TOLEDO</v>
      </c>
      <c r="D286" s="329">
        <f>+'Base de Datos'!I286</f>
        <v>78000000</v>
      </c>
      <c r="E286" s="330">
        <f>+'Base de Datos'!M286</f>
        <v>42066</v>
      </c>
      <c r="F286" s="330">
        <f>+'Base de Datos'!N286</f>
        <v>42432</v>
      </c>
      <c r="G286" s="330">
        <f>+'Base de Datos'!T286</f>
        <v>42432</v>
      </c>
      <c r="H286" s="329">
        <f>+'Base de Datos'!U286</f>
        <v>78000000</v>
      </c>
      <c r="I286" s="331" t="str">
        <f>IF(VLOOKUP(B286,'Base de Datos'!$E$7:$S$303,11,0),"SI","NO")</f>
        <v>NO</v>
      </c>
      <c r="J286" s="332" t="str">
        <f t="shared" si="28"/>
        <v/>
      </c>
      <c r="K286" s="331" t="str">
        <f>IF(VLOOKUP(B286,'Base de Datos'!$E$7:$S$303,11,0),"SI","NO")</f>
        <v>NO</v>
      </c>
      <c r="L286" s="332" t="str">
        <f t="shared" si="29"/>
        <v/>
      </c>
      <c r="M286" s="332">
        <f>VLOOKUP(B286,'Base de Datos'!$E$7:$Z$303,21,0)</f>
        <v>1</v>
      </c>
      <c r="N286" s="394" t="str">
        <f t="shared" ca="1" si="33"/>
        <v/>
      </c>
      <c r="O286" s="332">
        <f ca="1">VLOOKUP(B286,'Base de Datos'!$E$7:$Z$303,22,0)</f>
        <v>1</v>
      </c>
      <c r="P286" s="393">
        <f t="shared" ca="1" si="30"/>
        <v>686</v>
      </c>
      <c r="Q286" s="406">
        <f t="shared" ca="1" si="34"/>
        <v>5.7166666666666668</v>
      </c>
      <c r="R286" s="328" t="str">
        <f ca="1">VLOOKUP(B286,'Base de Datos'!E286:AR597,33,0)</f>
        <v>TERMINO</v>
      </c>
      <c r="S286" s="331" t="str">
        <f t="shared" ca="1" si="31"/>
        <v>SI</v>
      </c>
      <c r="T286" s="328" t="str">
        <f t="shared" ca="1" si="32"/>
        <v>Liquidar</v>
      </c>
      <c r="U286" s="328">
        <f>VLOOKUP(B286,'Base de Datos'!$E$7:$AR$401,38,0)</f>
        <v>0</v>
      </c>
    </row>
    <row r="287" spans="1:21" ht="23.25" customHeight="1" thickTop="1" thickBot="1" x14ac:dyDescent="0.3">
      <c r="A287" s="108">
        <v>281</v>
      </c>
      <c r="B287" s="328" t="str">
        <f>+'Base de Datos'!E287</f>
        <v>150102-0-2015</v>
      </c>
      <c r="C287" s="328" t="str">
        <f>+'Base de Datos'!F287</f>
        <v>LINA MARÍA GONZÁLEZ RUIZ</v>
      </c>
      <c r="D287" s="329">
        <f>+'Base de Datos'!I287</f>
        <v>30900000</v>
      </c>
      <c r="E287" s="330">
        <f>+'Base de Datos'!M287</f>
        <v>42073</v>
      </c>
      <c r="F287" s="330">
        <f>+'Base de Datos'!N287</f>
        <v>42439</v>
      </c>
      <c r="G287" s="330">
        <f>+'Base de Datos'!T287</f>
        <v>42439</v>
      </c>
      <c r="H287" s="329">
        <f>+'Base de Datos'!U287</f>
        <v>30900000</v>
      </c>
      <c r="I287" s="331" t="str">
        <f>IF(VLOOKUP(B287,'Base de Datos'!$E$7:$S$303,11,0),"SI","NO")</f>
        <v>NO</v>
      </c>
      <c r="J287" s="332" t="str">
        <f t="shared" si="28"/>
        <v/>
      </c>
      <c r="K287" s="331" t="str">
        <f>IF(VLOOKUP(B287,'Base de Datos'!$E$7:$S$303,11,0),"SI","NO")</f>
        <v>NO</v>
      </c>
      <c r="L287" s="332" t="str">
        <f t="shared" si="29"/>
        <v/>
      </c>
      <c r="M287" s="332">
        <f>VLOOKUP(B287,'Base de Datos'!$E$7:$Z$303,21,0)</f>
        <v>1</v>
      </c>
      <c r="N287" s="394" t="str">
        <f t="shared" ca="1" si="33"/>
        <v/>
      </c>
      <c r="O287" s="332">
        <f ca="1">VLOOKUP(B287,'Base de Datos'!$E$7:$Z$303,22,0)</f>
        <v>1</v>
      </c>
      <c r="P287" s="393">
        <f t="shared" ca="1" si="30"/>
        <v>679</v>
      </c>
      <c r="Q287" s="406">
        <f t="shared" ca="1" si="34"/>
        <v>5.6583333333333332</v>
      </c>
      <c r="R287" s="328" t="str">
        <f ca="1">VLOOKUP(B287,'Base de Datos'!E287:AR598,33,0)</f>
        <v>TERMINO</v>
      </c>
      <c r="S287" s="331" t="str">
        <f t="shared" ca="1" si="31"/>
        <v>SI</v>
      </c>
      <c r="T287" s="328" t="str">
        <f t="shared" ca="1" si="32"/>
        <v>Liquidar</v>
      </c>
      <c r="U287" s="328">
        <f>VLOOKUP(B287,'Base de Datos'!$E$7:$AR$401,38,0)</f>
        <v>0</v>
      </c>
    </row>
    <row r="288" spans="1:21" ht="23.25" customHeight="1" thickTop="1" thickBot="1" x14ac:dyDescent="0.3">
      <c r="A288" s="108">
        <v>282</v>
      </c>
      <c r="B288" s="328" t="str">
        <f>+'Base de Datos'!E289</f>
        <v>150113-0-2015</v>
      </c>
      <c r="C288" s="328" t="str">
        <f>+'Base de Datos'!F289</f>
        <v>JARGU S.A. CORREDORES DE SEGUROS</v>
      </c>
      <c r="D288" s="329">
        <f>+'Base de Datos'!I289</f>
        <v>0</v>
      </c>
      <c r="E288" s="330">
        <f>+'Base de Datos'!M289</f>
        <v>0</v>
      </c>
      <c r="F288" s="330">
        <f>+'Base de Datos'!N289</f>
        <v>0</v>
      </c>
      <c r="G288" s="330">
        <f>+'Base de Datos'!T289</f>
        <v>0</v>
      </c>
      <c r="H288" s="329">
        <f>+'Base de Datos'!U289</f>
        <v>0</v>
      </c>
      <c r="I288" s="331" t="str">
        <f>IF(VLOOKUP(B288,'Base de Datos'!$E$7:$S$303,11,0),"SI","NO")</f>
        <v>NO</v>
      </c>
      <c r="J288" s="332" t="str">
        <f t="shared" si="28"/>
        <v/>
      </c>
      <c r="K288" s="331" t="str">
        <f>IF(VLOOKUP(B288,'Base de Datos'!$E$7:$S$303,11,0),"SI","NO")</f>
        <v>NO</v>
      </c>
      <c r="L288" s="332" t="str">
        <f t="shared" si="29"/>
        <v/>
      </c>
      <c r="M288" s="332" t="e">
        <f>VLOOKUP(B288,'Base de Datos'!$E$7:$Z$303,21,0)</f>
        <v>#DIV/0!</v>
      </c>
      <c r="N288" s="394" t="str">
        <f t="shared" ca="1" si="33"/>
        <v/>
      </c>
      <c r="O288" s="332" t="e">
        <f ca="1">VLOOKUP(B288,'Base de Datos'!$E$7:$Z$303,22,0)</f>
        <v>#DIV/0!</v>
      </c>
      <c r="P288" s="393">
        <f t="shared" ca="1" si="30"/>
        <v>43118</v>
      </c>
      <c r="Q288" s="406">
        <f t="shared" ca="1" si="34"/>
        <v>359.31666666666666</v>
      </c>
      <c r="R288" s="328" t="str">
        <f ca="1">VLOOKUP(B288,'Base de Datos'!E288:AR599,33,0)</f>
        <v>TERMINO</v>
      </c>
      <c r="S288" s="331" t="str">
        <f t="shared" ca="1" si="31"/>
        <v>NO</v>
      </c>
      <c r="T288" s="328" t="e">
        <f t="shared" ca="1" si="32"/>
        <v>#DIV/0!</v>
      </c>
      <c r="U288" s="328">
        <f>VLOOKUP(B288,'Base de Datos'!$E$7:$AR$401,38,0)</f>
        <v>0</v>
      </c>
    </row>
    <row r="289" spans="1:21" ht="23.25" customHeight="1" thickTop="1" thickBot="1" x14ac:dyDescent="0.3">
      <c r="A289" s="108">
        <v>283</v>
      </c>
      <c r="B289" s="328" t="str">
        <f>+'Base de Datos'!E290</f>
        <v>150124-0-2015</v>
      </c>
      <c r="C289" s="328" t="str">
        <f>+'Base de Datos'!F290</f>
        <v>DPC LTDA PUBLICACIONES DESPACHOS PÚBLICOS DE COLOMBIA LTDA</v>
      </c>
      <c r="D289" s="329">
        <f>+'Base de Datos'!I290</f>
        <v>4100000</v>
      </c>
      <c r="E289" s="330">
        <f>+'Base de Datos'!M290</f>
        <v>42088</v>
      </c>
      <c r="F289" s="330">
        <f>+'Base de Datos'!N290</f>
        <v>42241</v>
      </c>
      <c r="G289" s="330">
        <f>+'Base de Datos'!T290</f>
        <v>42241</v>
      </c>
      <c r="H289" s="329">
        <f>+'Base de Datos'!U290</f>
        <v>4100000</v>
      </c>
      <c r="I289" s="331" t="str">
        <f>IF(VLOOKUP(B289,'Base de Datos'!$E$7:$S$303,11,0),"SI","NO")</f>
        <v>NO</v>
      </c>
      <c r="J289" s="332" t="str">
        <f t="shared" si="28"/>
        <v/>
      </c>
      <c r="K289" s="331" t="str">
        <f>IF(VLOOKUP(B289,'Base de Datos'!$E$7:$S$303,11,0),"SI","NO")</f>
        <v>NO</v>
      </c>
      <c r="L289" s="332" t="str">
        <f t="shared" si="29"/>
        <v/>
      </c>
      <c r="M289" s="332">
        <f>VLOOKUP(B289,'Base de Datos'!$E$7:$Z$303,21,0)</f>
        <v>1</v>
      </c>
      <c r="N289" s="394" t="str">
        <f t="shared" ca="1" si="33"/>
        <v/>
      </c>
      <c r="O289" s="332">
        <f ca="1">VLOOKUP(B289,'Base de Datos'!$E$7:$Z$303,22,0)</f>
        <v>1</v>
      </c>
      <c r="P289" s="393">
        <f t="shared" ca="1" si="30"/>
        <v>877</v>
      </c>
      <c r="Q289" s="406">
        <f t="shared" ca="1" si="34"/>
        <v>7.3083333333333336</v>
      </c>
      <c r="R289" s="328" t="str">
        <f ca="1">VLOOKUP(B289,'Base de Datos'!E289:AR600,33,0)</f>
        <v>TERMINO</v>
      </c>
      <c r="S289" s="331" t="str">
        <f t="shared" ca="1" si="31"/>
        <v>SI</v>
      </c>
      <c r="T289" s="328" t="str">
        <f t="shared" ca="1" si="32"/>
        <v>Liquidar</v>
      </c>
      <c r="U289" s="328">
        <f>VLOOKUP(B289,'Base de Datos'!$E$7:$AR$401,38,0)</f>
        <v>42304</v>
      </c>
    </row>
    <row r="290" spans="1:21" ht="23.25" customHeight="1" thickTop="1" thickBot="1" x14ac:dyDescent="0.3">
      <c r="A290" s="108">
        <v>284</v>
      </c>
      <c r="B290" s="328" t="str">
        <f>+'Base de Datos'!E291</f>
        <v>150123-0-2015</v>
      </c>
      <c r="C290" s="328" t="str">
        <f>+'Base de Datos'!F291</f>
        <v>CASA EDITORIAL EL TIEMPO SA</v>
      </c>
      <c r="D290" s="329">
        <f>+'Base de Datos'!I291</f>
        <v>1226994</v>
      </c>
      <c r="E290" s="330">
        <f>+'Base de Datos'!M291</f>
        <v>42082</v>
      </c>
      <c r="F290" s="330">
        <f>+'Base de Datos'!N291</f>
        <v>42447</v>
      </c>
      <c r="G290" s="330">
        <f>+'Base de Datos'!T291</f>
        <v>42447</v>
      </c>
      <c r="H290" s="329">
        <f>+'Base de Datos'!U291</f>
        <v>1226994</v>
      </c>
      <c r="I290" s="331" t="str">
        <f>IF(VLOOKUP(B290,'Base de Datos'!$E$7:$S$303,11,0),"SI","NO")</f>
        <v>NO</v>
      </c>
      <c r="J290" s="332" t="str">
        <f t="shared" si="28"/>
        <v/>
      </c>
      <c r="K290" s="331" t="str">
        <f>IF(VLOOKUP(B290,'Base de Datos'!$E$7:$S$303,11,0),"SI","NO")</f>
        <v>NO</v>
      </c>
      <c r="L290" s="332" t="str">
        <f t="shared" si="29"/>
        <v/>
      </c>
      <c r="M290" s="332">
        <f>VLOOKUP(B290,'Base de Datos'!$E$7:$Z$303,21,0)</f>
        <v>1</v>
      </c>
      <c r="N290" s="394" t="str">
        <f t="shared" ca="1" si="33"/>
        <v/>
      </c>
      <c r="O290" s="332">
        <f ca="1">VLOOKUP(B290,'Base de Datos'!$E$7:$Z$303,22,0)</f>
        <v>1</v>
      </c>
      <c r="P290" s="393">
        <f t="shared" ca="1" si="30"/>
        <v>671</v>
      </c>
      <c r="Q290" s="406">
        <f t="shared" ca="1" si="34"/>
        <v>5.5916666666666668</v>
      </c>
      <c r="R290" s="328" t="str">
        <f ca="1">VLOOKUP(B290,'Base de Datos'!E290:AR601,33,0)</f>
        <v>TERMINO</v>
      </c>
      <c r="S290" s="331" t="str">
        <f t="shared" ca="1" si="31"/>
        <v>SI</v>
      </c>
      <c r="T290" s="328" t="str">
        <f t="shared" ca="1" si="32"/>
        <v>Liquidar</v>
      </c>
      <c r="U290" s="328">
        <f>VLOOKUP(B290,'Base de Datos'!$E$7:$AR$401,38,0)</f>
        <v>0</v>
      </c>
    </row>
    <row r="291" spans="1:21" ht="23.25" customHeight="1" thickTop="1" thickBot="1" x14ac:dyDescent="0.3">
      <c r="A291" s="108">
        <v>285</v>
      </c>
      <c r="B291" s="328" t="str">
        <f>+'Base de Datos'!E292</f>
        <v>150128-0-2015</v>
      </c>
      <c r="C291" s="328" t="str">
        <f>+'Base de Datos'!F292</f>
        <v>PASSWORD CONSULTING SERVICES S.A.S.</v>
      </c>
      <c r="D291" s="329">
        <f>+'Base de Datos'!I292</f>
        <v>334080000</v>
      </c>
      <c r="E291" s="330">
        <f>+'Base de Datos'!M292</f>
        <v>42104</v>
      </c>
      <c r="F291" s="330">
        <f>+'Base de Datos'!N292</f>
        <v>42287</v>
      </c>
      <c r="G291" s="330">
        <f>+'Base de Datos'!T292</f>
        <v>42348</v>
      </c>
      <c r="H291" s="329">
        <f>+'Base de Datos'!U292</f>
        <v>334080000</v>
      </c>
      <c r="I291" s="331" t="str">
        <f>IF(VLOOKUP(B291,'Base de Datos'!$E$7:$S$303,11,0),"SI","NO")</f>
        <v>NO</v>
      </c>
      <c r="J291" s="332" t="str">
        <f t="shared" si="28"/>
        <v/>
      </c>
      <c r="K291" s="331" t="str">
        <f>IF(VLOOKUP(B291,'Base de Datos'!$E$7:$S$303,11,0),"SI","NO")</f>
        <v>NO</v>
      </c>
      <c r="L291" s="332" t="str">
        <f t="shared" si="29"/>
        <v/>
      </c>
      <c r="M291" s="332">
        <f>VLOOKUP(B291,'Base de Datos'!$E$7:$Z$303,21,0)</f>
        <v>1</v>
      </c>
      <c r="N291" s="394" t="str">
        <f t="shared" ca="1" si="33"/>
        <v/>
      </c>
      <c r="O291" s="332">
        <f ca="1">VLOOKUP(B291,'Base de Datos'!$E$7:$Z$303,22,0)</f>
        <v>1</v>
      </c>
      <c r="P291" s="393">
        <f t="shared" ca="1" si="30"/>
        <v>770</v>
      </c>
      <c r="Q291" s="406">
        <f t="shared" ca="1" si="34"/>
        <v>6.416666666666667</v>
      </c>
      <c r="R291" s="328" t="str">
        <f ca="1">VLOOKUP(B291,'Base de Datos'!E291:AR602,33,0)</f>
        <v>TERMINO</v>
      </c>
      <c r="S291" s="331" t="str">
        <f t="shared" ca="1" si="31"/>
        <v>SI</v>
      </c>
      <c r="T291" s="328" t="str">
        <f t="shared" ca="1" si="32"/>
        <v>Liquidar</v>
      </c>
      <c r="U291" s="328">
        <f>VLOOKUP(B291,'Base de Datos'!$E$7:$AR$401,38,0)</f>
        <v>0</v>
      </c>
    </row>
    <row r="292" spans="1:21" ht="23.25" customHeight="1" thickTop="1" thickBot="1" x14ac:dyDescent="0.3">
      <c r="A292" s="108">
        <v>286</v>
      </c>
      <c r="B292" s="328" t="str">
        <f>+'Base de Datos'!E293</f>
        <v>150129-0-2015</v>
      </c>
      <c r="C292" s="328" t="str">
        <f>+'Base de Datos'!F293</f>
        <v>DIEGO ALEJANDRO RUBIO RAMOS</v>
      </c>
      <c r="D292" s="329">
        <f>+'Base de Datos'!I293</f>
        <v>7442000</v>
      </c>
      <c r="E292" s="330">
        <f>+'Base de Datos'!M293</f>
        <v>42111</v>
      </c>
      <c r="F292" s="330">
        <f>+'Base de Datos'!N293</f>
        <v>42477</v>
      </c>
      <c r="G292" s="330">
        <f>+'Base de Datos'!T293</f>
        <v>42477</v>
      </c>
      <c r="H292" s="329">
        <f>+'Base de Datos'!U293</f>
        <v>7442000</v>
      </c>
      <c r="I292" s="331" t="str">
        <f>IF(VLOOKUP(B292,'Base de Datos'!$E$7:$S$303,11,0),"SI","NO")</f>
        <v>NO</v>
      </c>
      <c r="J292" s="332" t="str">
        <f t="shared" si="28"/>
        <v/>
      </c>
      <c r="K292" s="331" t="str">
        <f>IF(VLOOKUP(B292,'Base de Datos'!$E$7:$S$303,11,0),"SI","NO")</f>
        <v>NO</v>
      </c>
      <c r="L292" s="332" t="str">
        <f t="shared" si="29"/>
        <v/>
      </c>
      <c r="M292" s="332">
        <f>VLOOKUP(B292,'Base de Datos'!$E$7:$Z$303,21,0)</f>
        <v>0.70532115022843322</v>
      </c>
      <c r="N292" s="394" t="str">
        <f t="shared" ca="1" si="33"/>
        <v/>
      </c>
      <c r="O292" s="332">
        <f ca="1">VLOOKUP(B292,'Base de Datos'!$E$7:$Z$303,22,0)</f>
        <v>1</v>
      </c>
      <c r="P292" s="393">
        <f t="shared" ca="1" si="30"/>
        <v>641</v>
      </c>
      <c r="Q292" s="406">
        <f t="shared" ca="1" si="34"/>
        <v>5.3416666666666668</v>
      </c>
      <c r="R292" s="328" t="str">
        <f ca="1">VLOOKUP(B292,'Base de Datos'!E292:AR603,33,0)</f>
        <v>TERMINO</v>
      </c>
      <c r="S292" s="331" t="str">
        <f t="shared" ca="1" si="31"/>
        <v>SI</v>
      </c>
      <c r="T292" s="328" t="str">
        <f t="shared" ca="1" si="32"/>
        <v>Liquidar</v>
      </c>
      <c r="U292" s="328">
        <f>VLOOKUP(B292,'Base de Datos'!$E$7:$AR$401,38,0)</f>
        <v>0</v>
      </c>
    </row>
    <row r="293" spans="1:21" ht="23.25" customHeight="1" thickTop="1" thickBot="1" x14ac:dyDescent="0.3">
      <c r="A293" s="108">
        <v>287</v>
      </c>
      <c r="B293" s="328" t="str">
        <f>+'Base de Datos'!E294</f>
        <v>150192-0-2015</v>
      </c>
      <c r="C293" s="328" t="str">
        <f>+'Base de Datos'!F294</f>
        <v>INVERSIONES MATAY SAS</v>
      </c>
      <c r="D293" s="329">
        <f>+'Base de Datos'!I294</f>
        <v>379200000</v>
      </c>
      <c r="E293" s="330">
        <f>+'Base de Datos'!M294</f>
        <v>42109</v>
      </c>
      <c r="F293" s="330">
        <f>+'Base de Datos'!N294</f>
        <v>42429</v>
      </c>
      <c r="G293" s="330">
        <f>+'Base de Datos'!T294</f>
        <v>42582</v>
      </c>
      <c r="H293" s="329">
        <f>+'Base de Datos'!U294</f>
        <v>559200000</v>
      </c>
      <c r="I293" s="331" t="str">
        <f>IF(VLOOKUP(B293,'Base de Datos'!$E$7:$S$303,11,0),"SI","NO")</f>
        <v>SI</v>
      </c>
      <c r="J293" s="332">
        <f t="shared" si="28"/>
        <v>0.47812500000000002</v>
      </c>
      <c r="K293" s="331" t="str">
        <f>IF(VLOOKUP(B293,'Base de Datos'!$E$7:$S$303,11,0),"SI","NO")</f>
        <v>SI</v>
      </c>
      <c r="L293" s="332">
        <f t="shared" si="29"/>
        <v>0.47468354430379744</v>
      </c>
      <c r="M293" s="332">
        <f>VLOOKUP(B293,'Base de Datos'!$E$7:$Z$303,21,0)</f>
        <v>1</v>
      </c>
      <c r="N293" s="394" t="str">
        <f t="shared" ca="1" si="33"/>
        <v/>
      </c>
      <c r="O293" s="332">
        <f ca="1">VLOOKUP(B293,'Base de Datos'!$E$7:$Z$303,22,0)</f>
        <v>1</v>
      </c>
      <c r="P293" s="393">
        <f t="shared" ca="1" si="30"/>
        <v>536</v>
      </c>
      <c r="Q293" s="406">
        <f t="shared" ca="1" si="34"/>
        <v>4.4666666666666668</v>
      </c>
      <c r="R293" s="328" t="str">
        <f ca="1">VLOOKUP(B293,'Base de Datos'!E293:AR604,33,0)</f>
        <v>TERMINO</v>
      </c>
      <c r="S293" s="331" t="str">
        <f t="shared" ca="1" si="31"/>
        <v>SI</v>
      </c>
      <c r="T293" s="328" t="str">
        <f t="shared" ca="1" si="32"/>
        <v>Liquidar</v>
      </c>
      <c r="U293" s="328">
        <f>VLOOKUP(B293,'Base de Datos'!$E$7:$AR$401,38,0)</f>
        <v>0</v>
      </c>
    </row>
    <row r="294" spans="1:21" ht="23.25" customHeight="1" thickTop="1" thickBot="1" x14ac:dyDescent="0.3">
      <c r="A294" s="108">
        <v>288</v>
      </c>
      <c r="B294" s="328" t="str">
        <f>+'Base de Datos'!E295</f>
        <v>150152-0-2015</v>
      </c>
      <c r="C294" s="328" t="str">
        <f>+'Base de Datos'!F295</f>
        <v>REPRESENTACIONES E INVERSIONES AGUAFILTERS J F LTDA</v>
      </c>
      <c r="D294" s="329">
        <f>+'Base de Datos'!I295</f>
        <v>3035520</v>
      </c>
      <c r="E294" s="330">
        <f>+'Base de Datos'!M295</f>
        <v>42121</v>
      </c>
      <c r="F294" s="330">
        <f>+'Base de Datos'!N295</f>
        <v>42487</v>
      </c>
      <c r="G294" s="330">
        <f>+'Base de Datos'!T295</f>
        <v>42487</v>
      </c>
      <c r="H294" s="329">
        <f>+'Base de Datos'!U295</f>
        <v>3035520</v>
      </c>
      <c r="I294" s="331" t="str">
        <f>IF(VLOOKUP(B294,'Base de Datos'!$E$7:$S$303,11,0),"SI","NO")</f>
        <v>NO</v>
      </c>
      <c r="J294" s="332" t="str">
        <f t="shared" si="28"/>
        <v/>
      </c>
      <c r="K294" s="331" t="str">
        <f>IF(VLOOKUP(B294,'Base de Datos'!$E$7:$S$303,11,0),"SI","NO")</f>
        <v>NO</v>
      </c>
      <c r="L294" s="332" t="str">
        <f t="shared" si="29"/>
        <v/>
      </c>
      <c r="M294" s="332">
        <f>VLOOKUP(B294,'Base de Datos'!$E$7:$Z$303,21,0)</f>
        <v>0.66183421621336702</v>
      </c>
      <c r="N294" s="394" t="str">
        <f t="shared" ca="1" si="33"/>
        <v/>
      </c>
      <c r="O294" s="332">
        <f ca="1">VLOOKUP(B294,'Base de Datos'!$E$7:$Z$303,22,0)</f>
        <v>1</v>
      </c>
      <c r="P294" s="393">
        <f t="shared" ca="1" si="30"/>
        <v>631</v>
      </c>
      <c r="Q294" s="406">
        <f t="shared" ca="1" si="34"/>
        <v>5.2583333333333337</v>
      </c>
      <c r="R294" s="328" t="str">
        <f ca="1">VLOOKUP(B294,'Base de Datos'!E294:AR605,33,0)</f>
        <v>TERMINO</v>
      </c>
      <c r="S294" s="331" t="str">
        <f t="shared" ca="1" si="31"/>
        <v>SI</v>
      </c>
      <c r="T294" s="328" t="str">
        <f t="shared" ca="1" si="32"/>
        <v>Liquidar</v>
      </c>
      <c r="U294" s="328">
        <f>VLOOKUP(B294,'Base de Datos'!$E$7:$AR$401,38,0)</f>
        <v>0</v>
      </c>
    </row>
    <row r="295" spans="1:21" ht="23.25" customHeight="1" thickTop="1" thickBot="1" x14ac:dyDescent="0.3">
      <c r="A295" s="108">
        <v>289</v>
      </c>
      <c r="B295" s="328" t="str">
        <f>+'Base de Datos'!E296</f>
        <v>150168-0-2015</v>
      </c>
      <c r="C295" s="328" t="str">
        <f>+'Base de Datos'!F296</f>
        <v>MONRAK INGENIERIA LIMITADA</v>
      </c>
      <c r="D295" s="329">
        <f>+'Base de Datos'!I296</f>
        <v>4721200</v>
      </c>
      <c r="E295" s="330">
        <f>+'Base de Datos'!M296</f>
        <v>42116</v>
      </c>
      <c r="F295" s="330">
        <f>+'Base de Datos'!N296</f>
        <v>42451</v>
      </c>
      <c r="G295" s="330">
        <f>+'Base de Datos'!T296</f>
        <v>42451</v>
      </c>
      <c r="H295" s="329">
        <f>+'Base de Datos'!U296</f>
        <v>4721200</v>
      </c>
      <c r="I295" s="331" t="str">
        <f>IF(VLOOKUP(B295,'Base de Datos'!$E$7:$S$303,11,0),"SI","NO")</f>
        <v>NO</v>
      </c>
      <c r="J295" s="332" t="str">
        <f t="shared" si="28"/>
        <v/>
      </c>
      <c r="K295" s="331" t="str">
        <f>IF(VLOOKUP(B295,'Base de Datos'!$E$7:$S$303,11,0),"SI","NO")</f>
        <v>NO</v>
      </c>
      <c r="L295" s="332" t="str">
        <f t="shared" si="29"/>
        <v/>
      </c>
      <c r="M295" s="332">
        <f>VLOOKUP(B295,'Base de Datos'!$E$7:$Z$303,21,0)</f>
        <v>1</v>
      </c>
      <c r="N295" s="394" t="str">
        <f t="shared" ca="1" si="33"/>
        <v/>
      </c>
      <c r="O295" s="332">
        <f ca="1">VLOOKUP(B295,'Base de Datos'!$E$7:$Z$303,22,0)</f>
        <v>1</v>
      </c>
      <c r="P295" s="393">
        <f t="shared" ca="1" si="30"/>
        <v>667</v>
      </c>
      <c r="Q295" s="406">
        <f t="shared" ca="1" si="34"/>
        <v>5.5583333333333336</v>
      </c>
      <c r="R295" s="328" t="str">
        <f ca="1">VLOOKUP(B295,'Base de Datos'!E295:AR606,33,0)</f>
        <v>TERMINO</v>
      </c>
      <c r="S295" s="331" t="str">
        <f t="shared" ca="1" si="31"/>
        <v>SI</v>
      </c>
      <c r="T295" s="328" t="str">
        <f t="shared" ca="1" si="32"/>
        <v>Liquidar</v>
      </c>
      <c r="U295" s="328">
        <f>VLOOKUP(B295,'Base de Datos'!$E$7:$AR$401,38,0)</f>
        <v>0</v>
      </c>
    </row>
    <row r="296" spans="1:21" ht="23.25" customHeight="1" thickTop="1" thickBot="1" x14ac:dyDescent="0.3">
      <c r="A296" s="108">
        <v>290</v>
      </c>
      <c r="B296" s="328" t="str">
        <f>+'Base de Datos'!E297</f>
        <v>150141-0-2015</v>
      </c>
      <c r="C296" s="328" t="str">
        <f>+'Base de Datos'!F297</f>
        <v>MIGUEL ANDRÉS GUTIÉRREZ ROMERO</v>
      </c>
      <c r="D296" s="329">
        <f>+'Base de Datos'!I297</f>
        <v>28000000</v>
      </c>
      <c r="E296" s="330">
        <f>+'Base de Datos'!M297</f>
        <v>42116</v>
      </c>
      <c r="F296" s="330">
        <f>+'Base de Datos'!N297</f>
        <v>42482</v>
      </c>
      <c r="G296" s="330">
        <f>+'Base de Datos'!T297</f>
        <v>42482</v>
      </c>
      <c r="H296" s="329">
        <f>+'Base de Datos'!U297</f>
        <v>28000000</v>
      </c>
      <c r="I296" s="331" t="str">
        <f>IF(VLOOKUP(B296,'Base de Datos'!$E$7:$S$303,11,0),"SI","NO")</f>
        <v>NO</v>
      </c>
      <c r="J296" s="332" t="str">
        <f t="shared" si="28"/>
        <v/>
      </c>
      <c r="K296" s="331" t="str">
        <f>IF(VLOOKUP(B296,'Base de Datos'!$E$7:$S$303,11,0),"SI","NO")</f>
        <v>NO</v>
      </c>
      <c r="L296" s="332" t="str">
        <f t="shared" si="29"/>
        <v/>
      </c>
      <c r="M296" s="332">
        <f>VLOOKUP(B296,'Base de Datos'!$E$7:$Z$303,21,0)</f>
        <v>0.9999877857142857</v>
      </c>
      <c r="N296" s="394" t="str">
        <f t="shared" ca="1" si="33"/>
        <v/>
      </c>
      <c r="O296" s="332">
        <f ca="1">VLOOKUP(B296,'Base de Datos'!$E$7:$Z$303,22,0)</f>
        <v>1</v>
      </c>
      <c r="P296" s="393">
        <f t="shared" ca="1" si="30"/>
        <v>636</v>
      </c>
      <c r="Q296" s="406">
        <f t="shared" ca="1" si="34"/>
        <v>5.3</v>
      </c>
      <c r="R296" s="328" t="str">
        <f ca="1">VLOOKUP(B296,'Base de Datos'!E296:AR607,33,0)</f>
        <v>TERMINO</v>
      </c>
      <c r="S296" s="331" t="str">
        <f t="shared" ca="1" si="31"/>
        <v>SI</v>
      </c>
      <c r="T296" s="328" t="str">
        <f t="shared" ca="1" si="32"/>
        <v>Liquidar</v>
      </c>
      <c r="U296" s="328">
        <f>VLOOKUP(B296,'Base de Datos'!$E$7:$AR$401,38,0)</f>
        <v>0</v>
      </c>
    </row>
    <row r="297" spans="1:21" ht="23.25" customHeight="1" thickTop="1" thickBot="1" x14ac:dyDescent="0.3">
      <c r="A297" s="108">
        <v>291</v>
      </c>
      <c r="B297" s="328" t="str">
        <f>+'Base de Datos'!E298</f>
        <v>150198-0-2015</v>
      </c>
      <c r="C297" s="328" t="str">
        <f>+'Base de Datos'!F298</f>
        <v>UNIDAD NACIONAL DE PROTECCIÓN UNP</v>
      </c>
      <c r="D297" s="329">
        <f>+'Base de Datos'!I298</f>
        <v>4174276985</v>
      </c>
      <c r="E297" s="330">
        <f>+'Base de Datos'!M298</f>
        <v>42117</v>
      </c>
      <c r="F297" s="330">
        <f>+'Base de Datos'!N298</f>
        <v>42468</v>
      </c>
      <c r="G297" s="330">
        <f>+'Base de Datos'!T298</f>
        <v>42468</v>
      </c>
      <c r="H297" s="329">
        <f>+'Base de Datos'!U298</f>
        <v>4174276985</v>
      </c>
      <c r="I297" s="331" t="str">
        <f>IF(VLOOKUP(B297,'Base de Datos'!$E$7:$S$303,11,0),"SI","NO")</f>
        <v>NO</v>
      </c>
      <c r="J297" s="332" t="str">
        <f t="shared" si="28"/>
        <v/>
      </c>
      <c r="K297" s="331" t="str">
        <f>IF(VLOOKUP(B297,'Base de Datos'!$E$7:$S$303,11,0),"SI","NO")</f>
        <v>NO</v>
      </c>
      <c r="L297" s="332" t="str">
        <f t="shared" si="29"/>
        <v/>
      </c>
      <c r="M297" s="332">
        <f>VLOOKUP(B297,'Base de Datos'!$E$7:$Z$303,21,0)</f>
        <v>0.90000000035934369</v>
      </c>
      <c r="N297" s="394" t="str">
        <f t="shared" ca="1" si="33"/>
        <v/>
      </c>
      <c r="O297" s="332">
        <f ca="1">VLOOKUP(B297,'Base de Datos'!$E$7:$Z$303,22,0)</f>
        <v>1</v>
      </c>
      <c r="P297" s="393">
        <f t="shared" ca="1" si="30"/>
        <v>650</v>
      </c>
      <c r="Q297" s="406">
        <f t="shared" ca="1" si="34"/>
        <v>5.416666666666667</v>
      </c>
      <c r="R297" s="328" t="str">
        <f ca="1">VLOOKUP(B297,'Base de Datos'!E297:AR608,33,0)</f>
        <v>TERMINO</v>
      </c>
      <c r="S297" s="331" t="str">
        <f t="shared" ca="1" si="31"/>
        <v>SI</v>
      </c>
      <c r="T297" s="328" t="str">
        <f t="shared" ca="1" si="32"/>
        <v>Liquidar</v>
      </c>
      <c r="U297" s="328">
        <f>VLOOKUP(B297,'Base de Datos'!$E$7:$AR$401,38,0)</f>
        <v>0</v>
      </c>
    </row>
    <row r="298" spans="1:21" ht="23.25" customHeight="1" thickTop="1" thickBot="1" x14ac:dyDescent="0.3">
      <c r="A298" s="108">
        <v>292</v>
      </c>
      <c r="B298" s="328" t="str">
        <f>+'Base de Datos'!E299</f>
        <v>150191-0-2015</v>
      </c>
      <c r="C298" s="328" t="str">
        <f>+'Base de Datos'!F299</f>
        <v>HERNANDO  BULLA ORJUELA</v>
      </c>
      <c r="D298" s="329">
        <f>+'Base de Datos'!I299</f>
        <v>27620000</v>
      </c>
      <c r="E298" s="330">
        <f>+'Base de Datos'!M299</f>
        <v>42137</v>
      </c>
      <c r="F298" s="330">
        <f>+'Base de Datos'!N299</f>
        <v>42503</v>
      </c>
      <c r="G298" s="330">
        <f>+'Base de Datos'!T299</f>
        <v>42531</v>
      </c>
      <c r="H298" s="329">
        <f>+'Base de Datos'!U299</f>
        <v>41620000</v>
      </c>
      <c r="I298" s="331" t="str">
        <f>IF(VLOOKUP(B298,'Base de Datos'!$E$7:$S$303,11,0),"SI","NO")</f>
        <v>SI</v>
      </c>
      <c r="J298" s="332">
        <f t="shared" si="28"/>
        <v>7.650273224043716E-2</v>
      </c>
      <c r="K298" s="331" t="str">
        <f>IF(VLOOKUP(B298,'Base de Datos'!$E$7:$S$303,11,0),"SI","NO")</f>
        <v>SI</v>
      </c>
      <c r="L298" s="332">
        <f t="shared" si="29"/>
        <v>0.50687907313540914</v>
      </c>
      <c r="M298" s="332">
        <f>VLOOKUP(B298,'Base de Datos'!$E$7:$Z$303,21,0)</f>
        <v>0.97246033157135991</v>
      </c>
      <c r="N298" s="394" t="str">
        <f t="shared" ca="1" si="33"/>
        <v/>
      </c>
      <c r="O298" s="332">
        <f ca="1">VLOOKUP(B298,'Base de Datos'!$E$7:$Z$303,22,0)</f>
        <v>1</v>
      </c>
      <c r="P298" s="393">
        <f t="shared" ca="1" si="30"/>
        <v>587</v>
      </c>
      <c r="Q298" s="406">
        <f t="shared" ca="1" si="34"/>
        <v>4.8916666666666666</v>
      </c>
      <c r="R298" s="328" t="str">
        <f ca="1">VLOOKUP(B298,'Base de Datos'!E298:AR609,33,0)</f>
        <v>TERMINO</v>
      </c>
      <c r="S298" s="331" t="str">
        <f t="shared" ca="1" si="31"/>
        <v>SI</v>
      </c>
      <c r="T298" s="328" t="str">
        <f t="shared" ca="1" si="32"/>
        <v>Liquidar</v>
      </c>
      <c r="U298" s="328">
        <f>VLOOKUP(B298,'Base de Datos'!$E$7:$AR$401,38,0)</f>
        <v>0</v>
      </c>
    </row>
    <row r="299" spans="1:21" ht="23.25" customHeight="1" thickTop="1" thickBot="1" x14ac:dyDescent="0.3">
      <c r="A299" s="108">
        <v>293</v>
      </c>
      <c r="B299" s="328" t="str">
        <f>+'Base de Datos'!E300</f>
        <v>150209-0-2015</v>
      </c>
      <c r="C299" s="328" t="str">
        <f>+'Base de Datos'!F300</f>
        <v>A&amp;V EXPRESS S.A.</v>
      </c>
      <c r="D299" s="329">
        <f>+'Base de Datos'!I300</f>
        <v>33500000</v>
      </c>
      <c r="E299" s="330">
        <f>+'Base de Datos'!M300</f>
        <v>42130</v>
      </c>
      <c r="F299" s="330">
        <f>+'Base de Datos'!N300</f>
        <v>42496</v>
      </c>
      <c r="G299" s="330">
        <f>+'Base de Datos'!T300</f>
        <v>42510</v>
      </c>
      <c r="H299" s="329">
        <f>+'Base de Datos'!U300</f>
        <v>33500000</v>
      </c>
      <c r="I299" s="331" t="str">
        <f>IF(VLOOKUP(B299,'Base de Datos'!$E$7:$S$303,11,0),"SI","NO")</f>
        <v>NO</v>
      </c>
      <c r="J299" s="332" t="str">
        <f t="shared" si="28"/>
        <v/>
      </c>
      <c r="K299" s="331" t="str">
        <f>IF(VLOOKUP(B299,'Base de Datos'!$E$7:$S$303,11,0),"SI","NO")</f>
        <v>NO</v>
      </c>
      <c r="L299" s="332" t="str">
        <f t="shared" si="29"/>
        <v/>
      </c>
      <c r="M299" s="332">
        <f>VLOOKUP(B299,'Base de Datos'!$E$7:$Z$303,21,0)</f>
        <v>0.85613817910447765</v>
      </c>
      <c r="N299" s="394" t="str">
        <f t="shared" ca="1" si="33"/>
        <v/>
      </c>
      <c r="O299" s="332">
        <f ca="1">VLOOKUP(B299,'Base de Datos'!$E$7:$Z$303,22,0)</f>
        <v>1</v>
      </c>
      <c r="P299" s="393">
        <f t="shared" ca="1" si="30"/>
        <v>608</v>
      </c>
      <c r="Q299" s="406">
        <f t="shared" ca="1" si="34"/>
        <v>5.0666666666666664</v>
      </c>
      <c r="R299" s="328" t="str">
        <f ca="1">VLOOKUP(B299,'Base de Datos'!E299:AR610,33,0)</f>
        <v>TERMINO</v>
      </c>
      <c r="S299" s="331" t="str">
        <f t="shared" ca="1" si="31"/>
        <v>SI</v>
      </c>
      <c r="T299" s="328" t="str">
        <f t="shared" ca="1" si="32"/>
        <v>Liquidar</v>
      </c>
      <c r="U299" s="328">
        <f>VLOOKUP(B299,'Base de Datos'!$E$7:$AR$401,38,0)</f>
        <v>0</v>
      </c>
    </row>
    <row r="300" spans="1:21" ht="23.25" customHeight="1" thickTop="1" thickBot="1" x14ac:dyDescent="0.3">
      <c r="A300" s="108">
        <v>294</v>
      </c>
      <c r="B300" s="328" t="str">
        <f>+'Base de Datos'!E301</f>
        <v>150200-0-2015</v>
      </c>
      <c r="C300" s="328" t="str">
        <f>+'Base de Datos'!F301</f>
        <v>INGELECTRO SAS</v>
      </c>
      <c r="D300" s="329">
        <f>+'Base de Datos'!I301</f>
        <v>12975945</v>
      </c>
      <c r="E300" s="330">
        <f>+'Base de Datos'!M301</f>
        <v>42135</v>
      </c>
      <c r="F300" s="330">
        <f>+'Base de Datos'!N301</f>
        <v>42258</v>
      </c>
      <c r="G300" s="330">
        <f>+'Base de Datos'!T301</f>
        <v>42258</v>
      </c>
      <c r="H300" s="329">
        <f>+'Base de Datos'!U301</f>
        <v>12975945</v>
      </c>
      <c r="I300" s="331" t="str">
        <f>IF(VLOOKUP(B300,'Base de Datos'!$E$7:$S$303,11,0),"SI","NO")</f>
        <v>NO</v>
      </c>
      <c r="J300" s="332" t="str">
        <f t="shared" si="28"/>
        <v/>
      </c>
      <c r="K300" s="331" t="str">
        <f>IF(VLOOKUP(B300,'Base de Datos'!$E$7:$S$303,11,0),"SI","NO")</f>
        <v>NO</v>
      </c>
      <c r="L300" s="332" t="str">
        <f t="shared" si="29"/>
        <v/>
      </c>
      <c r="M300" s="332">
        <f>VLOOKUP(B300,'Base de Datos'!$E$7:$Z$303,21,0)</f>
        <v>1</v>
      </c>
      <c r="N300" s="394" t="str">
        <f t="shared" ca="1" si="33"/>
        <v/>
      </c>
      <c r="O300" s="332">
        <f ca="1">VLOOKUP(B300,'Base de Datos'!$E$7:$Z$303,22,0)</f>
        <v>1</v>
      </c>
      <c r="P300" s="393">
        <f t="shared" ca="1" si="30"/>
        <v>860</v>
      </c>
      <c r="Q300" s="406">
        <f t="shared" ca="1" si="34"/>
        <v>7.166666666666667</v>
      </c>
      <c r="R300" s="328" t="str">
        <f ca="1">VLOOKUP(B300,'Base de Datos'!E300:AR611,33,0)</f>
        <v>TERMINO</v>
      </c>
      <c r="S300" s="331" t="str">
        <f t="shared" ca="1" si="31"/>
        <v>SI</v>
      </c>
      <c r="T300" s="328" t="str">
        <f t="shared" ca="1" si="32"/>
        <v>Liquidar</v>
      </c>
      <c r="U300" s="328">
        <f>VLOOKUP(B300,'Base de Datos'!$E$7:$AR$401,38,0)</f>
        <v>0</v>
      </c>
    </row>
    <row r="301" spans="1:21" ht="23.25" customHeight="1" thickTop="1" thickBot="1" x14ac:dyDescent="0.3">
      <c r="A301" s="108">
        <v>295</v>
      </c>
      <c r="B301" s="328" t="str">
        <f>+'Base de Datos'!E302</f>
        <v>150193-0-2015</v>
      </c>
      <c r="C301" s="328" t="str">
        <f>+'Base de Datos'!F302</f>
        <v>SOMOS LA OPTIMIZACION EMPRESARIAL A SU SERVICIO- SOPT SAS</v>
      </c>
      <c r="D301" s="329">
        <f>+'Base de Datos'!I302</f>
        <v>11000000</v>
      </c>
      <c r="E301" s="330">
        <f>+'Base de Datos'!M302</f>
        <v>42135</v>
      </c>
      <c r="F301" s="330">
        <f>+'Base de Datos'!N302</f>
        <v>42501</v>
      </c>
      <c r="G301" s="330">
        <f>+'Base de Datos'!T302</f>
        <v>42532</v>
      </c>
      <c r="H301" s="329">
        <f>+'Base de Datos'!U302</f>
        <v>11000000</v>
      </c>
      <c r="I301" s="331" t="str">
        <f>IF(VLOOKUP(B301,'Base de Datos'!$E$7:$S$303,11,0),"SI","NO")</f>
        <v>NO</v>
      </c>
      <c r="J301" s="332" t="str">
        <f t="shared" si="28"/>
        <v/>
      </c>
      <c r="K301" s="331" t="str">
        <f>IF(VLOOKUP(B301,'Base de Datos'!$E$7:$S$303,11,0),"SI","NO")</f>
        <v>NO</v>
      </c>
      <c r="L301" s="332" t="str">
        <f t="shared" si="29"/>
        <v/>
      </c>
      <c r="M301" s="332">
        <f>VLOOKUP(B301,'Base de Datos'!$E$7:$Z$303,21,0)</f>
        <v>0.68053581818181819</v>
      </c>
      <c r="N301" s="394" t="str">
        <f t="shared" ca="1" si="33"/>
        <v/>
      </c>
      <c r="O301" s="332">
        <f ca="1">VLOOKUP(B301,'Base de Datos'!$E$7:$Z$303,22,0)</f>
        <v>1</v>
      </c>
      <c r="P301" s="393">
        <f t="shared" ca="1" si="30"/>
        <v>586</v>
      </c>
      <c r="Q301" s="406">
        <f t="shared" ca="1" si="34"/>
        <v>4.8833333333333337</v>
      </c>
      <c r="R301" s="328" t="str">
        <f ca="1">VLOOKUP(B301,'Base de Datos'!E301:AR612,33,0)</f>
        <v>TERMINO</v>
      </c>
      <c r="S301" s="331" t="str">
        <f t="shared" ca="1" si="31"/>
        <v>SI</v>
      </c>
      <c r="T301" s="328" t="str">
        <f t="shared" ca="1" si="32"/>
        <v>Liquidar</v>
      </c>
      <c r="U301" s="328">
        <f>VLOOKUP(B301,'Base de Datos'!$E$7:$AR$401,38,0)</f>
        <v>0</v>
      </c>
    </row>
    <row r="302" spans="1:21" ht="23.25" customHeight="1" thickTop="1" thickBot="1" x14ac:dyDescent="0.3">
      <c r="A302" s="108">
        <v>296</v>
      </c>
      <c r="B302" s="328" t="str">
        <f>+'Base de Datos'!E303</f>
        <v>150189-0-2015</v>
      </c>
      <c r="C302" s="328" t="str">
        <f>+'Base de Datos'!F303</f>
        <v>UNIPLES S.A.</v>
      </c>
      <c r="D302" s="329">
        <f>+'Base de Datos'!I303</f>
        <v>10514762</v>
      </c>
      <c r="E302" s="330">
        <f>+'Base de Datos'!M303</f>
        <v>42117</v>
      </c>
      <c r="F302" s="330">
        <f>+'Base de Datos'!N303</f>
        <v>42147</v>
      </c>
      <c r="G302" s="330">
        <f>+'Base de Datos'!T303</f>
        <v>42147</v>
      </c>
      <c r="H302" s="329">
        <f>+'Base de Datos'!U303</f>
        <v>10514762</v>
      </c>
      <c r="I302" s="331" t="str">
        <f>IF(VLOOKUP(B302,'Base de Datos'!$E$7:$S$303,11,0),"SI","NO")</f>
        <v>NO</v>
      </c>
      <c r="J302" s="332" t="str">
        <f t="shared" si="28"/>
        <v/>
      </c>
      <c r="K302" s="331" t="str">
        <f>IF(VLOOKUP(B302,'Base de Datos'!$E$7:$S$303,11,0),"SI","NO")</f>
        <v>NO</v>
      </c>
      <c r="L302" s="332" t="str">
        <f t="shared" si="29"/>
        <v/>
      </c>
      <c r="M302" s="332">
        <f>VLOOKUP(B302,'Base de Datos'!$E$7:$Z$303,21,0)</f>
        <v>1</v>
      </c>
      <c r="N302" s="394" t="str">
        <f t="shared" ca="1" si="33"/>
        <v/>
      </c>
      <c r="O302" s="332">
        <f ca="1">VLOOKUP(B302,'Base de Datos'!$E$7:$Z$303,22,0)</f>
        <v>1</v>
      </c>
      <c r="P302" s="393">
        <f t="shared" ca="1" si="30"/>
        <v>971</v>
      </c>
      <c r="Q302" s="406">
        <f t="shared" ca="1" si="34"/>
        <v>8.0916666666666668</v>
      </c>
      <c r="R302" s="328" t="str">
        <f ca="1">VLOOKUP(B302,'Base de Datos'!E302:AR613,33,0)</f>
        <v>TERMINO</v>
      </c>
      <c r="S302" s="331" t="str">
        <f t="shared" ca="1" si="31"/>
        <v>NO</v>
      </c>
      <c r="T302" s="328" t="str">
        <f t="shared" ca="1" si="32"/>
        <v>Liquidar</v>
      </c>
      <c r="U302" s="328">
        <f>VLOOKUP(B302,'Base de Datos'!$E$7:$AR$401,38,0)</f>
        <v>0</v>
      </c>
    </row>
    <row r="303" spans="1:21" ht="23.25" customHeight="1" thickTop="1" thickBot="1" x14ac:dyDescent="0.3">
      <c r="A303" s="108">
        <v>297</v>
      </c>
      <c r="B303" s="328" t="str">
        <f>+'Base de Datos'!E304</f>
        <v>150215-0-2015</v>
      </c>
      <c r="C303" s="328" t="str">
        <f>+'Base de Datos'!F304</f>
        <v>MODULARES OFIMA LTDA</v>
      </c>
      <c r="D303" s="329">
        <f>+'Base de Datos'!I304</f>
        <v>5874000</v>
      </c>
      <c r="E303" s="330">
        <f>+'Base de Datos'!M304</f>
        <v>42149</v>
      </c>
      <c r="F303" s="330">
        <f>+'Base de Datos'!N304</f>
        <v>42515</v>
      </c>
      <c r="G303" s="330">
        <f>+'Base de Datos'!T304</f>
        <v>42515</v>
      </c>
      <c r="H303" s="329">
        <f>+'Base de Datos'!U304</f>
        <v>5874000</v>
      </c>
      <c r="I303" s="331" t="e">
        <f>IF(VLOOKUP(B303,'Base de Datos'!$E$7:$S$303,11,0),"SI","NO")</f>
        <v>#N/A</v>
      </c>
      <c r="J303" s="332" t="e">
        <f t="shared" si="28"/>
        <v>#N/A</v>
      </c>
      <c r="K303" s="331" t="e">
        <f>IF(VLOOKUP(B303,'Base de Datos'!$E$7:$S$303,11,0),"SI","NO")</f>
        <v>#N/A</v>
      </c>
      <c r="L303" s="332" t="e">
        <f t="shared" si="29"/>
        <v>#N/A</v>
      </c>
      <c r="M303" s="332" t="e">
        <f>VLOOKUP(B303,'Base de Datos'!$E$7:$Z$303,21,0)</f>
        <v>#N/A</v>
      </c>
      <c r="N303" s="394" t="str">
        <f t="shared" ca="1" si="33"/>
        <v/>
      </c>
      <c r="O303" s="332" t="e">
        <f>VLOOKUP(B303,'Base de Datos'!$E$7:$Z$303,22,0)</f>
        <v>#N/A</v>
      </c>
      <c r="P303" s="393">
        <f t="shared" ca="1" si="30"/>
        <v>603</v>
      </c>
      <c r="Q303" s="406">
        <f t="shared" ca="1" si="34"/>
        <v>5.0250000000000004</v>
      </c>
      <c r="R303" s="328" t="str">
        <f ca="1">VLOOKUP(B303,'Base de Datos'!E303:AR614,33,0)</f>
        <v>TERMINO</v>
      </c>
      <c r="S303" s="331" t="str">
        <f t="shared" ca="1" si="31"/>
        <v>SI</v>
      </c>
      <c r="T303" s="328" t="e">
        <f t="shared" ca="1" si="32"/>
        <v>#N/A</v>
      </c>
      <c r="U303" s="328">
        <f>VLOOKUP(B303,'Base de Datos'!$E$7:$AR$401,38,0)</f>
        <v>0</v>
      </c>
    </row>
    <row r="304" spans="1:21" ht="23.25" customHeight="1" thickTop="1" thickBot="1" x14ac:dyDescent="0.3">
      <c r="A304" s="108">
        <v>298</v>
      </c>
      <c r="B304" s="328" t="str">
        <f>+'Base de Datos'!E305</f>
        <v>150219-0-2015</v>
      </c>
      <c r="C304" s="328" t="str">
        <f>+'Base de Datos'!F305</f>
        <v>MITSUBISHI ELECTRIC DE COLOMBIA LTDA</v>
      </c>
      <c r="D304" s="329">
        <f>+'Base de Datos'!I305</f>
        <v>14210000</v>
      </c>
      <c r="E304" s="330">
        <f>+'Base de Datos'!M305</f>
        <v>42149</v>
      </c>
      <c r="F304" s="330">
        <f>+'Base de Datos'!N305</f>
        <v>42454</v>
      </c>
      <c r="G304" s="330">
        <f>+'Base de Datos'!T305</f>
        <v>42454</v>
      </c>
      <c r="H304" s="329">
        <f>+'Base de Datos'!U305</f>
        <v>18836508</v>
      </c>
      <c r="I304" s="331" t="e">
        <f>IF(VLOOKUP(B304,'Base de Datos'!$E$7:$S$303,11,0),"SI","NO")</f>
        <v>#N/A</v>
      </c>
      <c r="J304" s="332" t="e">
        <f t="shared" si="28"/>
        <v>#N/A</v>
      </c>
      <c r="K304" s="331" t="e">
        <f>IF(VLOOKUP(B304,'Base de Datos'!$E$7:$S$303,11,0),"SI","NO")</f>
        <v>#N/A</v>
      </c>
      <c r="L304" s="332" t="e">
        <f t="shared" si="29"/>
        <v>#N/A</v>
      </c>
      <c r="M304" s="332" t="e">
        <f>VLOOKUP(B304,'Base de Datos'!$E$7:$Z$303,21,0)</f>
        <v>#N/A</v>
      </c>
      <c r="N304" s="394" t="str">
        <f t="shared" ca="1" si="33"/>
        <v/>
      </c>
      <c r="O304" s="332" t="e">
        <f>VLOOKUP(B304,'Base de Datos'!$E$7:$Z$303,22,0)</f>
        <v>#N/A</v>
      </c>
      <c r="P304" s="393">
        <f t="shared" ca="1" si="30"/>
        <v>664</v>
      </c>
      <c r="Q304" s="406">
        <f t="shared" ca="1" si="34"/>
        <v>5.5333333333333332</v>
      </c>
      <c r="R304" s="328" t="str">
        <f ca="1">VLOOKUP(B304,'Base de Datos'!E304:AR615,33,0)</f>
        <v>TERMINO</v>
      </c>
      <c r="S304" s="331" t="str">
        <f t="shared" ca="1" si="31"/>
        <v>SI</v>
      </c>
      <c r="T304" s="328" t="e">
        <f t="shared" ca="1" si="32"/>
        <v>#N/A</v>
      </c>
      <c r="U304" s="328">
        <f>VLOOKUP(B304,'Base de Datos'!$E$7:$AR$401,38,0)</f>
        <v>0</v>
      </c>
    </row>
    <row r="305" spans="1:21" ht="23.25" customHeight="1" thickTop="1" thickBot="1" x14ac:dyDescent="0.3">
      <c r="A305" s="108">
        <v>299</v>
      </c>
      <c r="B305" s="328" t="str">
        <f>+'Base de Datos'!E306</f>
        <v>150221-0-2015</v>
      </c>
      <c r="C305" s="328" t="str">
        <f>+'Base de Datos'!F306</f>
        <v>SGS COLOMBIA S.A.</v>
      </c>
      <c r="D305" s="329">
        <f>+'Base de Datos'!I306</f>
        <v>7714000</v>
      </c>
      <c r="E305" s="330">
        <f>+'Base de Datos'!M306</f>
        <v>42144</v>
      </c>
      <c r="F305" s="330">
        <f>+'Base de Datos'!N306</f>
        <v>42236</v>
      </c>
      <c r="G305" s="330">
        <f>+'Base de Datos'!T306</f>
        <v>42236</v>
      </c>
      <c r="H305" s="329">
        <f>+'Base de Datos'!U306</f>
        <v>7714000</v>
      </c>
      <c r="I305" s="331" t="e">
        <f>IF(VLOOKUP(B305,'Base de Datos'!$E$7:$S$303,11,0),"SI","NO")</f>
        <v>#N/A</v>
      </c>
      <c r="J305" s="332" t="e">
        <f t="shared" si="28"/>
        <v>#N/A</v>
      </c>
      <c r="K305" s="331" t="e">
        <f>IF(VLOOKUP(B305,'Base de Datos'!$E$7:$S$303,11,0),"SI","NO")</f>
        <v>#N/A</v>
      </c>
      <c r="L305" s="332" t="e">
        <f t="shared" si="29"/>
        <v>#N/A</v>
      </c>
      <c r="M305" s="332" t="e">
        <f>VLOOKUP(B305,'Base de Datos'!$E$7:$Z$303,21,0)</f>
        <v>#N/A</v>
      </c>
      <c r="N305" s="394" t="str">
        <f t="shared" ca="1" si="33"/>
        <v/>
      </c>
      <c r="O305" s="332" t="e">
        <f>VLOOKUP(B305,'Base de Datos'!$E$7:$Z$303,22,0)</f>
        <v>#N/A</v>
      </c>
      <c r="P305" s="393">
        <f t="shared" ca="1" si="30"/>
        <v>882</v>
      </c>
      <c r="Q305" s="406">
        <f t="shared" ca="1" si="34"/>
        <v>7.35</v>
      </c>
      <c r="R305" s="328" t="str">
        <f ca="1">VLOOKUP(B305,'Base de Datos'!E305:AR616,33,0)</f>
        <v>TERMINO</v>
      </c>
      <c r="S305" s="331" t="str">
        <f t="shared" ca="1" si="31"/>
        <v>SI</v>
      </c>
      <c r="T305" s="328" t="e">
        <f t="shared" ca="1" si="32"/>
        <v>#N/A</v>
      </c>
      <c r="U305" s="328">
        <f>VLOOKUP(B305,'Base de Datos'!$E$7:$AR$401,38,0)</f>
        <v>0</v>
      </c>
    </row>
    <row r="306" spans="1:21" ht="23.25" customHeight="1" thickTop="1" thickBot="1" x14ac:dyDescent="0.3">
      <c r="A306" s="108">
        <v>300</v>
      </c>
      <c r="B306" s="328" t="str">
        <f>+'Base de Datos'!E307</f>
        <v>150211-0-2015</v>
      </c>
      <c r="C306" s="328" t="str">
        <f>+'Base de Datos'!F307</f>
        <v>SEAN ELECTRONICA LIMITADA</v>
      </c>
      <c r="D306" s="329">
        <f>+'Base de Datos'!I307</f>
        <v>60000000</v>
      </c>
      <c r="E306" s="330">
        <f>+'Base de Datos'!M307</f>
        <v>42156</v>
      </c>
      <c r="F306" s="330">
        <f>+'Base de Datos'!N307</f>
        <v>42522</v>
      </c>
      <c r="G306" s="330">
        <f>+'Base de Datos'!T307</f>
        <v>42644</v>
      </c>
      <c r="H306" s="329">
        <f>+'Base de Datos'!U307</f>
        <v>68000000</v>
      </c>
      <c r="I306" s="331" t="e">
        <f>IF(VLOOKUP(B306,'Base de Datos'!$E$7:$S$303,11,0),"SI","NO")</f>
        <v>#N/A</v>
      </c>
      <c r="J306" s="332" t="e">
        <f t="shared" si="28"/>
        <v>#N/A</v>
      </c>
      <c r="K306" s="331" t="e">
        <f>IF(VLOOKUP(B306,'Base de Datos'!$E$7:$S$303,11,0),"SI","NO")</f>
        <v>#N/A</v>
      </c>
      <c r="L306" s="332" t="e">
        <f t="shared" si="29"/>
        <v>#N/A</v>
      </c>
      <c r="M306" s="332" t="e">
        <f>VLOOKUP(B306,'Base de Datos'!$E$7:$Z$303,21,0)</f>
        <v>#N/A</v>
      </c>
      <c r="N306" s="394" t="str">
        <f t="shared" ca="1" si="33"/>
        <v/>
      </c>
      <c r="O306" s="332" t="e">
        <f>VLOOKUP(B306,'Base de Datos'!$E$7:$Z$303,22,0)</f>
        <v>#N/A</v>
      </c>
      <c r="P306" s="393">
        <f t="shared" ca="1" si="30"/>
        <v>474</v>
      </c>
      <c r="Q306" s="406">
        <f t="shared" ca="1" si="34"/>
        <v>3.95</v>
      </c>
      <c r="R306" s="328" t="str">
        <f ca="1">VLOOKUP(B306,'Base de Datos'!E306:AR617,33,0)</f>
        <v>TERMINO</v>
      </c>
      <c r="S306" s="331" t="str">
        <f t="shared" ca="1" si="31"/>
        <v>SI</v>
      </c>
      <c r="T306" s="328" t="e">
        <f t="shared" ca="1" si="32"/>
        <v>#N/A</v>
      </c>
      <c r="U306" s="328">
        <f>VLOOKUP(B306,'Base de Datos'!$E$7:$AR$401,38,0)</f>
        <v>0</v>
      </c>
    </row>
    <row r="307" spans="1:21" ht="23.25" customHeight="1" thickTop="1" thickBot="1" x14ac:dyDescent="0.3">
      <c r="A307" s="108">
        <v>301</v>
      </c>
      <c r="B307" s="328" t="str">
        <f>+'Base de Datos'!E308</f>
        <v>150223-0-2015</v>
      </c>
      <c r="C307" s="328" t="str">
        <f>+'Base de Datos'!F308</f>
        <v>SECURITYCOM SAS</v>
      </c>
      <c r="D307" s="329">
        <f>+'Base de Datos'!I308</f>
        <v>2000000</v>
      </c>
      <c r="E307" s="330">
        <f>+'Base de Datos'!M308</f>
        <v>42150</v>
      </c>
      <c r="F307" s="330">
        <f>+'Base de Datos'!N308</f>
        <v>42455</v>
      </c>
      <c r="G307" s="330">
        <f>+'Base de Datos'!T308</f>
        <v>42455</v>
      </c>
      <c r="H307" s="329">
        <f>+'Base de Datos'!U308</f>
        <v>2000000</v>
      </c>
      <c r="I307" s="331" t="e">
        <f>IF(VLOOKUP(B307,'Base de Datos'!$E$7:$S$303,11,0),"SI","NO")</f>
        <v>#N/A</v>
      </c>
      <c r="J307" s="332" t="e">
        <f t="shared" si="28"/>
        <v>#N/A</v>
      </c>
      <c r="K307" s="331" t="e">
        <f>IF(VLOOKUP(B307,'Base de Datos'!$E$7:$S$303,11,0),"SI","NO")</f>
        <v>#N/A</v>
      </c>
      <c r="L307" s="332" t="e">
        <f t="shared" si="29"/>
        <v>#N/A</v>
      </c>
      <c r="M307" s="332" t="e">
        <f>VLOOKUP(B307,'Base de Datos'!$E$7:$Z$303,21,0)</f>
        <v>#N/A</v>
      </c>
      <c r="N307" s="394" t="str">
        <f t="shared" ca="1" si="33"/>
        <v/>
      </c>
      <c r="O307" s="332" t="e">
        <f>VLOOKUP(B307,'Base de Datos'!$E$7:$Z$303,22,0)</f>
        <v>#N/A</v>
      </c>
      <c r="P307" s="393">
        <f t="shared" ca="1" si="30"/>
        <v>663</v>
      </c>
      <c r="Q307" s="406">
        <f t="shared" ca="1" si="34"/>
        <v>5.5250000000000004</v>
      </c>
      <c r="R307" s="328" t="str">
        <f ca="1">VLOOKUP(B307,'Base de Datos'!E307:AR618,33,0)</f>
        <v>TERMINO</v>
      </c>
      <c r="S307" s="331" t="str">
        <f t="shared" ca="1" si="31"/>
        <v>SI</v>
      </c>
      <c r="T307" s="328" t="e">
        <f t="shared" ca="1" si="32"/>
        <v>#N/A</v>
      </c>
      <c r="U307" s="328">
        <f>VLOOKUP(B307,'Base de Datos'!$E$7:$AR$401,38,0)</f>
        <v>0</v>
      </c>
    </row>
    <row r="308" spans="1:21" ht="23.25" customHeight="1" thickTop="1" thickBot="1" x14ac:dyDescent="0.3">
      <c r="A308" s="108">
        <v>302</v>
      </c>
      <c r="B308" s="328" t="str">
        <f>+'Base de Datos'!E309</f>
        <v>150226-0-2015</v>
      </c>
      <c r="C308" s="328" t="str">
        <f>+'Base de Datos'!F309</f>
        <v>COOPERATIVA DE VIGILANTES STARCOOP CTA</v>
      </c>
      <c r="D308" s="329">
        <f>+'Base de Datos'!I309</f>
        <v>566000000</v>
      </c>
      <c r="E308" s="330">
        <f>+'Base de Datos'!M309</f>
        <v>42141</v>
      </c>
      <c r="F308" s="330">
        <f>+'Base de Datos'!N309</f>
        <v>42507</v>
      </c>
      <c r="G308" s="330">
        <f>+'Base de Datos'!T309</f>
        <v>42582</v>
      </c>
      <c r="H308" s="329">
        <f>+'Base de Datos'!U309</f>
        <v>566000000</v>
      </c>
      <c r="I308" s="331" t="e">
        <f>IF(VLOOKUP(B308,'Base de Datos'!$E$7:$S$303,11,0),"SI","NO")</f>
        <v>#N/A</v>
      </c>
      <c r="J308" s="332" t="e">
        <f t="shared" si="28"/>
        <v>#N/A</v>
      </c>
      <c r="K308" s="331" t="e">
        <f>IF(VLOOKUP(B308,'Base de Datos'!$E$7:$S$303,11,0),"SI","NO")</f>
        <v>#N/A</v>
      </c>
      <c r="L308" s="332" t="e">
        <f t="shared" si="29"/>
        <v>#N/A</v>
      </c>
      <c r="M308" s="332" t="e">
        <f>VLOOKUP(B308,'Base de Datos'!$E$7:$Z$303,21,0)</f>
        <v>#N/A</v>
      </c>
      <c r="N308" s="394" t="str">
        <f t="shared" ca="1" si="33"/>
        <v/>
      </c>
      <c r="O308" s="332" t="e">
        <f>VLOOKUP(B308,'Base de Datos'!$E$7:$Z$303,22,0)</f>
        <v>#N/A</v>
      </c>
      <c r="P308" s="393">
        <f t="shared" ca="1" si="30"/>
        <v>536</v>
      </c>
      <c r="Q308" s="406">
        <f t="shared" ca="1" si="34"/>
        <v>4.4666666666666668</v>
      </c>
      <c r="R308" s="328" t="str">
        <f ca="1">VLOOKUP(B308,'Base de Datos'!E308:AR619,33,0)</f>
        <v>TERMINO</v>
      </c>
      <c r="S308" s="331" t="str">
        <f t="shared" ca="1" si="31"/>
        <v>SI</v>
      </c>
      <c r="T308" s="328" t="e">
        <f t="shared" ca="1" si="32"/>
        <v>#N/A</v>
      </c>
      <c r="U308" s="328">
        <f>VLOOKUP(B308,'Base de Datos'!$E$7:$AR$401,38,0)</f>
        <v>0</v>
      </c>
    </row>
    <row r="309" spans="1:21" ht="23.25" customHeight="1" thickTop="1" thickBot="1" x14ac:dyDescent="0.3">
      <c r="A309" s="108">
        <v>303</v>
      </c>
      <c r="B309" s="328" t="str">
        <f>+'Base de Datos'!E310</f>
        <v>150214-0-2015</v>
      </c>
      <c r="C309" s="328" t="str">
        <f>+'Base de Datos'!F310</f>
        <v>CARLOS FERNANDO IBARRA VALLEJO</v>
      </c>
      <c r="D309" s="329">
        <f>+'Base de Datos'!I310</f>
        <v>18000000</v>
      </c>
      <c r="E309" s="330">
        <f>+'Base de Datos'!M310</f>
        <v>42137</v>
      </c>
      <c r="F309" s="330">
        <f>+'Base de Datos'!N310</f>
        <v>42413</v>
      </c>
      <c r="G309" s="330">
        <f>+'Base de Datos'!T310</f>
        <v>42413</v>
      </c>
      <c r="H309" s="329">
        <f>+'Base de Datos'!U310</f>
        <v>18000000</v>
      </c>
      <c r="I309" s="331" t="e">
        <f>IF(VLOOKUP(B309,'Base de Datos'!$E$7:$S$303,11,0),"SI","NO")</f>
        <v>#N/A</v>
      </c>
      <c r="J309" s="332" t="e">
        <f t="shared" si="28"/>
        <v>#N/A</v>
      </c>
      <c r="K309" s="331" t="e">
        <f>IF(VLOOKUP(B309,'Base de Datos'!$E$7:$S$303,11,0),"SI","NO")</f>
        <v>#N/A</v>
      </c>
      <c r="L309" s="332" t="e">
        <f t="shared" si="29"/>
        <v>#N/A</v>
      </c>
      <c r="M309" s="332" t="e">
        <f>VLOOKUP(B309,'Base de Datos'!$E$7:$Z$303,21,0)</f>
        <v>#N/A</v>
      </c>
      <c r="N309" s="394" t="str">
        <f t="shared" ca="1" si="33"/>
        <v/>
      </c>
      <c r="O309" s="332" t="e">
        <f>VLOOKUP(B309,'Base de Datos'!$E$7:$Z$303,22,0)</f>
        <v>#N/A</v>
      </c>
      <c r="P309" s="393">
        <f t="shared" ca="1" si="30"/>
        <v>705</v>
      </c>
      <c r="Q309" s="406">
        <f t="shared" ca="1" si="34"/>
        <v>5.875</v>
      </c>
      <c r="R309" s="328" t="str">
        <f ca="1">VLOOKUP(B309,'Base de Datos'!E309:AR620,33,0)</f>
        <v>TERMINO</v>
      </c>
      <c r="S309" s="331" t="str">
        <f t="shared" ca="1" si="31"/>
        <v>SI</v>
      </c>
      <c r="T309" s="328" t="e">
        <f t="shared" ca="1" si="32"/>
        <v>#N/A</v>
      </c>
      <c r="U309" s="328">
        <f>VLOOKUP(B309,'Base de Datos'!$E$7:$AR$401,38,0)</f>
        <v>0</v>
      </c>
    </row>
    <row r="310" spans="1:21" ht="23.25" customHeight="1" thickTop="1" thickBot="1" x14ac:dyDescent="0.3">
      <c r="A310" s="108">
        <v>304</v>
      </c>
      <c r="B310" s="328" t="str">
        <f>+'Base de Datos'!E311</f>
        <v>150225-0-2015</v>
      </c>
      <c r="C310" s="328" t="str">
        <f>+'Base de Datos'!F311</f>
        <v>CANAL REGIONAL DE TELEVISION TEVEANDINA LTDA - TEVEANDINA LTDA</v>
      </c>
      <c r="D310" s="329">
        <f>+'Base de Datos'!I311</f>
        <v>1291938453</v>
      </c>
      <c r="E310" s="330">
        <f>+'Base de Datos'!M311</f>
        <v>42139</v>
      </c>
      <c r="F310" s="330">
        <f>+'Base de Datos'!N311</f>
        <v>42421</v>
      </c>
      <c r="G310" s="330">
        <f>+'Base de Datos'!T311</f>
        <v>42450</v>
      </c>
      <c r="H310" s="329">
        <f>+'Base de Datos'!U311</f>
        <v>1433352777</v>
      </c>
      <c r="I310" s="331" t="e">
        <f>IF(VLOOKUP(B310,'Base de Datos'!$E$7:$S$303,11,0),"SI","NO")</f>
        <v>#N/A</v>
      </c>
      <c r="J310" s="332" t="e">
        <f t="shared" si="28"/>
        <v>#N/A</v>
      </c>
      <c r="K310" s="331" t="e">
        <f>IF(VLOOKUP(B310,'Base de Datos'!$E$7:$S$303,11,0),"SI","NO")</f>
        <v>#N/A</v>
      </c>
      <c r="L310" s="332" t="e">
        <f t="shared" si="29"/>
        <v>#N/A</v>
      </c>
      <c r="M310" s="332" t="e">
        <f>VLOOKUP(B310,'Base de Datos'!$E$7:$Z$303,21,0)</f>
        <v>#N/A</v>
      </c>
      <c r="N310" s="394" t="str">
        <f t="shared" ca="1" si="33"/>
        <v/>
      </c>
      <c r="O310" s="332" t="e">
        <f>VLOOKUP(B310,'Base de Datos'!$E$7:$Z$303,22,0)</f>
        <v>#N/A</v>
      </c>
      <c r="P310" s="393">
        <f t="shared" ca="1" si="30"/>
        <v>668</v>
      </c>
      <c r="Q310" s="406">
        <f t="shared" ca="1" si="34"/>
        <v>5.5666666666666664</v>
      </c>
      <c r="R310" s="328" t="str">
        <f ca="1">VLOOKUP(B310,'Base de Datos'!E310:AR621,33,0)</f>
        <v>TERMINO</v>
      </c>
      <c r="S310" s="331" t="str">
        <f t="shared" ca="1" si="31"/>
        <v>SI</v>
      </c>
      <c r="T310" s="328" t="e">
        <f t="shared" ca="1" si="32"/>
        <v>#N/A</v>
      </c>
      <c r="U310" s="328">
        <f>VLOOKUP(B310,'Base de Datos'!$E$7:$AR$401,38,0)</f>
        <v>0</v>
      </c>
    </row>
    <row r="311" spans="1:21" ht="23.25" customHeight="1" thickTop="1" thickBot="1" x14ac:dyDescent="0.3">
      <c r="A311" s="108">
        <v>305</v>
      </c>
      <c r="B311" s="328" t="str">
        <f>+'Base de Datos'!E312</f>
        <v>150228-0-2015</v>
      </c>
      <c r="C311" s="328" t="str">
        <f>+'Base de Datos'!F312</f>
        <v xml:space="preserve">REVISTA EL CONGRESO SIGLO XXI </v>
      </c>
      <c r="D311" s="329">
        <f>+'Base de Datos'!I312</f>
        <v>7800000</v>
      </c>
      <c r="E311" s="330">
        <f>+'Base de Datos'!M312</f>
        <v>42145</v>
      </c>
      <c r="F311" s="330">
        <f>+'Base de Datos'!N312</f>
        <v>42511</v>
      </c>
      <c r="G311" s="330">
        <f>+'Base de Datos'!T312</f>
        <v>42511</v>
      </c>
      <c r="H311" s="329">
        <f>+'Base de Datos'!U312</f>
        <v>7800000</v>
      </c>
      <c r="I311" s="331" t="e">
        <f>IF(VLOOKUP(B311,'Base de Datos'!$E$7:$S$303,11,0),"SI","NO")</f>
        <v>#N/A</v>
      </c>
      <c r="J311" s="332" t="e">
        <f t="shared" si="28"/>
        <v>#N/A</v>
      </c>
      <c r="K311" s="331" t="e">
        <f>IF(VLOOKUP(B311,'Base de Datos'!$E$7:$S$303,11,0),"SI","NO")</f>
        <v>#N/A</v>
      </c>
      <c r="L311" s="332" t="e">
        <f t="shared" si="29"/>
        <v>#N/A</v>
      </c>
      <c r="M311" s="332" t="e">
        <f>VLOOKUP(B311,'Base de Datos'!$E$7:$Z$303,21,0)</f>
        <v>#N/A</v>
      </c>
      <c r="N311" s="394" t="str">
        <f t="shared" ca="1" si="33"/>
        <v/>
      </c>
      <c r="O311" s="332" t="e">
        <f>VLOOKUP(B311,'Base de Datos'!$E$7:$Z$303,22,0)</f>
        <v>#N/A</v>
      </c>
      <c r="P311" s="393">
        <f t="shared" ca="1" si="30"/>
        <v>607</v>
      </c>
      <c r="Q311" s="406">
        <f t="shared" ca="1" si="34"/>
        <v>5.0583333333333336</v>
      </c>
      <c r="R311" s="328" t="str">
        <f ca="1">VLOOKUP(B311,'Base de Datos'!E311:AR622,33,0)</f>
        <v>TERMINO</v>
      </c>
      <c r="S311" s="331" t="str">
        <f t="shared" ca="1" si="31"/>
        <v>SI</v>
      </c>
      <c r="T311" s="328" t="e">
        <f t="shared" ca="1" si="32"/>
        <v>#N/A</v>
      </c>
      <c r="U311" s="328">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72" customWidth="1"/>
    <col min="2" max="2" width="4.28515625" style="108" customWidth="1"/>
    <col min="3" max="3" width="13.7109375" style="243" bestFit="1" customWidth="1"/>
    <col min="4" max="4" width="8.42578125" style="108" customWidth="1"/>
    <col min="5" max="5" width="19.85546875" style="243" customWidth="1"/>
    <col min="6" max="6" width="13.28515625" style="434" customWidth="1"/>
    <col min="7" max="7" width="26.85546875" style="285" customWidth="1"/>
    <col min="8" max="8" width="11.7109375" style="285" customWidth="1"/>
    <col min="9" max="9" width="13" style="285" customWidth="1"/>
    <col min="10" max="10" width="13.140625" style="285" customWidth="1"/>
    <col min="11" max="12" width="11.42578125" style="243"/>
    <col min="13" max="13" width="11.42578125" style="436"/>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4" customWidth="1"/>
    <col min="23" max="23" width="13.140625" style="243" customWidth="1"/>
    <col min="24" max="24" width="12.5703125" style="435" customWidth="1"/>
    <col min="25" max="25" width="12.42578125" style="435" customWidth="1"/>
    <col min="26" max="26" width="14.7109375" style="243" customWidth="1"/>
    <col min="27" max="27" width="14.7109375" style="456" customWidth="1"/>
    <col min="28" max="29" width="14.7109375" style="243" customWidth="1"/>
    <col min="30" max="30" width="14.7109375" style="435" customWidth="1"/>
    <col min="31" max="31" width="12.5703125" style="434" customWidth="1"/>
    <col min="32" max="32" width="15.7109375" style="434" customWidth="1"/>
    <col min="33" max="33" width="12.5703125" style="243" customWidth="1"/>
    <col min="34" max="35" width="11.42578125" style="243" customWidth="1"/>
    <col min="36" max="36" width="11.42578125" style="435"/>
    <col min="37" max="37" width="15.7109375" style="243" bestFit="1" customWidth="1"/>
    <col min="38" max="38" width="23.7109375" style="243" customWidth="1"/>
    <col min="39" max="39" width="14.7109375" style="434" bestFit="1" customWidth="1"/>
    <col min="40" max="40" width="13.42578125" style="243" bestFit="1" customWidth="1"/>
    <col min="41" max="42" width="11.42578125" style="435"/>
    <col min="43" max="43" width="11.42578125" style="462"/>
    <col min="44" max="44" width="11.42578125" style="456"/>
    <col min="45" max="45" width="11.42578125" style="462"/>
    <col min="46" max="46" width="11.42578125" style="243"/>
    <col min="47" max="47" width="11.42578125" style="436"/>
    <col min="48" max="48" width="14.7109375" style="434" bestFit="1" customWidth="1"/>
    <col min="49" max="49" width="13" style="243" customWidth="1"/>
    <col min="50" max="50" width="12.5703125" style="243" bestFit="1" customWidth="1"/>
    <col min="51" max="51" width="11.42578125" style="467"/>
    <col min="52" max="52" width="11.42578125" style="243"/>
    <col min="53" max="53" width="14.7109375" style="472" bestFit="1" customWidth="1"/>
    <col min="54" max="54" width="14.85546875" style="243" bestFit="1" customWidth="1"/>
    <col min="55" max="16384" width="11.42578125" style="243"/>
  </cols>
  <sheetData>
    <row r="1" spans="1:54" s="472" customFormat="1" ht="12" thickBot="1" x14ac:dyDescent="0.3">
      <c r="B1" s="125"/>
      <c r="D1" s="125"/>
      <c r="G1" s="333"/>
      <c r="H1" s="333"/>
      <c r="I1" s="333"/>
      <c r="J1" s="333"/>
      <c r="V1" s="473"/>
      <c r="X1" s="474"/>
      <c r="Y1" s="474"/>
      <c r="AA1" s="475"/>
      <c r="AD1" s="474"/>
      <c r="AE1" s="473"/>
      <c r="AF1" s="473"/>
      <c r="AJ1" s="474"/>
      <c r="AM1" s="473"/>
      <c r="AO1" s="474"/>
      <c r="AP1" s="474"/>
      <c r="AQ1" s="476"/>
      <c r="AR1" s="475"/>
      <c r="AS1" s="476"/>
      <c r="AU1" s="477"/>
      <c r="AV1" s="473"/>
      <c r="AY1" s="478"/>
    </row>
    <row r="2" spans="1:54" s="472" customFormat="1" ht="24.75" customHeight="1" thickTop="1" x14ac:dyDescent="0.25">
      <c r="B2" s="1111" t="s">
        <v>1777</v>
      </c>
      <c r="C2" s="1112"/>
      <c r="D2" s="1112"/>
      <c r="E2" s="1112"/>
      <c r="F2" s="1112"/>
      <c r="G2" s="1112"/>
      <c r="H2" s="1112"/>
      <c r="I2" s="1112"/>
      <c r="J2" s="1112"/>
      <c r="K2" s="1112"/>
      <c r="L2" s="1112"/>
      <c r="M2" s="1112"/>
      <c r="N2" s="1112"/>
      <c r="O2" s="1112"/>
      <c r="P2" s="1112"/>
      <c r="Q2" s="1112"/>
      <c r="R2" s="1112"/>
      <c r="S2" s="1112"/>
      <c r="T2" s="1112"/>
      <c r="U2" s="1112"/>
      <c r="V2" s="1112"/>
      <c r="W2" s="1112"/>
      <c r="X2" s="1112"/>
      <c r="Y2" s="1112"/>
      <c r="Z2" s="1112"/>
      <c r="AA2" s="1112"/>
      <c r="AB2" s="1112"/>
      <c r="AC2" s="1112"/>
      <c r="AD2" s="1112"/>
      <c r="AE2" s="1112"/>
      <c r="AF2" s="1112"/>
      <c r="AG2" s="1112"/>
      <c r="AH2" s="1112"/>
      <c r="AI2" s="1112"/>
      <c r="AJ2" s="1112"/>
      <c r="AK2" s="1112"/>
      <c r="AL2" s="1112"/>
      <c r="AM2" s="1112"/>
      <c r="AN2" s="1112"/>
      <c r="AO2" s="1112"/>
      <c r="AP2" s="1112"/>
      <c r="AQ2" s="1112"/>
      <c r="AR2" s="1112"/>
      <c r="AS2" s="1112"/>
      <c r="AT2" s="1112"/>
      <c r="AU2" s="1112"/>
      <c r="AV2" s="1112"/>
      <c r="AW2" s="1112"/>
      <c r="AX2" s="1112"/>
      <c r="AY2" s="1112"/>
      <c r="AZ2" s="1113"/>
    </row>
    <row r="3" spans="1:54" s="472" customFormat="1" ht="24.75" customHeight="1" x14ac:dyDescent="0.25">
      <c r="B3" s="1114" t="s">
        <v>1799</v>
      </c>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c r="AG3" s="1115"/>
      <c r="AH3" s="1115"/>
      <c r="AI3" s="1115"/>
      <c r="AJ3" s="1115"/>
      <c r="AK3" s="1115"/>
      <c r="AL3" s="1115"/>
      <c r="AM3" s="1115"/>
      <c r="AN3" s="1115"/>
      <c r="AO3" s="1115"/>
      <c r="AP3" s="1115"/>
      <c r="AQ3" s="1115"/>
      <c r="AR3" s="1115"/>
      <c r="AS3" s="1115"/>
      <c r="AT3" s="1115"/>
      <c r="AU3" s="1115"/>
      <c r="AV3" s="1115"/>
      <c r="AW3" s="1115"/>
      <c r="AX3" s="1115"/>
      <c r="AY3" s="1115"/>
      <c r="AZ3" s="1116"/>
    </row>
    <row r="4" spans="1:54" s="472" customFormat="1" ht="24.75" customHeight="1" thickBot="1" x14ac:dyDescent="0.3">
      <c r="B4" s="526"/>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8"/>
    </row>
    <row r="5" spans="1:54" s="472" customFormat="1" ht="12" thickTop="1" x14ac:dyDescent="0.25">
      <c r="B5" s="125"/>
      <c r="D5" s="125"/>
      <c r="G5" s="333"/>
      <c r="H5" s="333"/>
      <c r="I5" s="333"/>
      <c r="J5" s="333"/>
      <c r="V5" s="473"/>
      <c r="X5" s="474"/>
      <c r="Y5" s="474"/>
      <c r="AA5" s="475"/>
      <c r="AD5" s="474"/>
      <c r="AE5" s="473"/>
      <c r="AF5" s="473"/>
      <c r="AJ5" s="474"/>
      <c r="AM5" s="473"/>
      <c r="AO5" s="474"/>
      <c r="AP5" s="474"/>
      <c r="AQ5" s="476"/>
      <c r="AR5" s="475"/>
      <c r="AS5" s="476"/>
      <c r="AU5" s="477"/>
      <c r="AV5" s="473"/>
      <c r="AY5" s="478"/>
    </row>
    <row r="6" spans="1:54" s="525" customFormat="1" ht="45" x14ac:dyDescent="0.25">
      <c r="A6" s="509"/>
      <c r="B6" s="510" t="s">
        <v>1692</v>
      </c>
      <c r="C6" s="510" t="s">
        <v>1693</v>
      </c>
      <c r="D6" s="510" t="s">
        <v>1696</v>
      </c>
      <c r="E6" s="510" t="s">
        <v>1694</v>
      </c>
      <c r="F6" s="510" t="s">
        <v>1695</v>
      </c>
      <c r="G6" s="510" t="s">
        <v>1697</v>
      </c>
      <c r="H6" s="510" t="s">
        <v>1778</v>
      </c>
      <c r="I6" s="510" t="s">
        <v>1698</v>
      </c>
      <c r="J6" s="511" t="s">
        <v>1736</v>
      </c>
      <c r="K6" s="512" t="s">
        <v>1699</v>
      </c>
      <c r="L6" s="512" t="s">
        <v>1700</v>
      </c>
      <c r="M6" s="512" t="s">
        <v>1701</v>
      </c>
      <c r="N6" s="512" t="s">
        <v>1702</v>
      </c>
      <c r="O6" s="512" t="s">
        <v>1703</v>
      </c>
      <c r="P6" s="512" t="s">
        <v>1704</v>
      </c>
      <c r="Q6" s="512" t="s">
        <v>1705</v>
      </c>
      <c r="R6" s="513" t="s">
        <v>1821</v>
      </c>
      <c r="S6" s="513" t="s">
        <v>1725</v>
      </c>
      <c r="T6" s="514" t="s">
        <v>1727</v>
      </c>
      <c r="U6" s="514" t="s">
        <v>1707</v>
      </c>
      <c r="V6" s="515" t="s">
        <v>1708</v>
      </c>
      <c r="W6" s="514" t="s">
        <v>1709</v>
      </c>
      <c r="X6" s="516" t="s">
        <v>1710</v>
      </c>
      <c r="Y6" s="516" t="s">
        <v>1711</v>
      </c>
      <c r="Z6" s="514" t="s">
        <v>1730</v>
      </c>
      <c r="AA6" s="517" t="s">
        <v>1731</v>
      </c>
      <c r="AB6" s="514" t="s">
        <v>1728</v>
      </c>
      <c r="AC6" s="514" t="s">
        <v>1729</v>
      </c>
      <c r="AD6" s="516" t="s">
        <v>1732</v>
      </c>
      <c r="AE6" s="515" t="s">
        <v>1733</v>
      </c>
      <c r="AF6" s="515" t="s">
        <v>1741</v>
      </c>
      <c r="AG6" s="514" t="s">
        <v>1712</v>
      </c>
      <c r="AH6" s="514" t="s">
        <v>1734</v>
      </c>
      <c r="AI6" s="518" t="s">
        <v>1735</v>
      </c>
      <c r="AJ6" s="519" t="s">
        <v>1726</v>
      </c>
      <c r="AK6" s="520" t="s">
        <v>1706</v>
      </c>
      <c r="AL6" s="520" t="s">
        <v>1707</v>
      </c>
      <c r="AM6" s="521" t="s">
        <v>1708</v>
      </c>
      <c r="AN6" s="520" t="s">
        <v>1709</v>
      </c>
      <c r="AO6" s="519" t="s">
        <v>1710</v>
      </c>
      <c r="AP6" s="519" t="s">
        <v>1711</v>
      </c>
      <c r="AQ6" s="522" t="s">
        <v>1730</v>
      </c>
      <c r="AR6" s="523" t="s">
        <v>1731</v>
      </c>
      <c r="AS6" s="522" t="s">
        <v>1728</v>
      </c>
      <c r="AT6" s="520" t="s">
        <v>1729</v>
      </c>
      <c r="AU6" s="519" t="s">
        <v>1732</v>
      </c>
      <c r="AV6" s="521" t="s">
        <v>1733</v>
      </c>
      <c r="AW6" s="520" t="s">
        <v>1741</v>
      </c>
      <c r="AX6" s="520" t="s">
        <v>1712</v>
      </c>
      <c r="AY6" s="524" t="s">
        <v>1734</v>
      </c>
      <c r="AZ6" s="520" t="s">
        <v>1735</v>
      </c>
      <c r="BA6" s="509"/>
    </row>
    <row r="7" spans="1:54" ht="55.5" hidden="1" customHeight="1" x14ac:dyDescent="0.25">
      <c r="B7" s="438">
        <v>1</v>
      </c>
      <c r="C7" s="446" t="s">
        <v>1645</v>
      </c>
      <c r="D7" s="438">
        <v>122</v>
      </c>
      <c r="E7" s="446" t="s">
        <v>1646</v>
      </c>
      <c r="F7" s="447">
        <f>VLOOKUP(D7,'Presupuesto - PAA 2015'!$B$10:$E$265,4,0)</f>
        <v>2365972</v>
      </c>
      <c r="G7" s="439" t="str">
        <f>VLOOKUP(D7,'[3]Seguimiento Plan'!$C$2:$R$101,16,0)</f>
        <v>Realizar las auditorías de seguimiento a los Subsistemas de Gestión Ambiental y Seguridad y Salud Ocupacional bajo las normas ISO 14001:2004 y OHSAS 18001:2007</v>
      </c>
      <c r="H7" s="439" t="s">
        <v>1779</v>
      </c>
      <c r="I7" s="439" t="s">
        <v>1713</v>
      </c>
      <c r="J7" s="448" t="s">
        <v>908</v>
      </c>
      <c r="K7" s="449" t="s">
        <v>390</v>
      </c>
      <c r="L7" s="449" t="str">
        <f>VLOOKUP(D7,'[3]Seguimiento Plan'!$C$2:$AJ$101,30,0)</f>
        <v>SI</v>
      </c>
      <c r="M7" s="450">
        <f>VLOOKUP(D7,'[3]Seguimiento Plan'!$C$2:$AJ$101,31,0)</f>
        <v>42066</v>
      </c>
      <c r="N7" s="449"/>
      <c r="O7" s="451"/>
      <c r="P7" s="451"/>
      <c r="Q7" s="451"/>
      <c r="R7" s="452"/>
      <c r="S7" s="452"/>
      <c r="T7" s="348" t="s">
        <v>304</v>
      </c>
      <c r="U7" s="455" t="str">
        <f>IF(ISERROR(VLOOKUP(T7,'Base de Datos'!$E$7:$AR$302,3,0))=TRUE," ",(VLOOKUP(T7,'Base de Datos'!$E$7:$AR$302,2,0)))</f>
        <v>COTECNA CERTIFICADORA SEVICES LIMITADA</v>
      </c>
      <c r="V7" s="458">
        <f>IF(ISERROR(VLOOKUP(T7,'Base de Datos'!$E$7:$AR$302,5,0))=TRUE," ",(VLOOKUP(T7,'Base de Datos'!$E$7:$AR$302,5,0)))</f>
        <v>2228070</v>
      </c>
      <c r="W7" s="455">
        <f>IF(ISERROR(VLOOKUP(T7,'Base de Datos'!$E$7:$AR$302,19,0))=TRUE," ",(VLOOKUP(T7,'Base de Datos'!$E$7:$AR$302,19,0)))</f>
        <v>0</v>
      </c>
      <c r="X7" s="460" t="str">
        <f>IF(ISERROR(VLOOKUP(T7,'Base de Datos'!$E$7:$AR$302,8,0))=TRUE," ",(VLOOKUP(T7,'Base de Datos'!$E$7:$AR$302,8,0)))</f>
        <v xml:space="preserve"> </v>
      </c>
      <c r="Y7" s="460">
        <f>IF(ISERROR(VLOOKUP(T7,'Base de Datos'!$E$7:$AR$302,9,0))=TRUE," ",(VLOOKUP(T7,'Base de Datos'!$E$7:$AR$302,9,0)))</f>
        <v>41842</v>
      </c>
      <c r="Z7" s="454">
        <f>IF(ISERROR(VLOOKUP(T7,'Base de Datos'!$E$7:$AR$302,10,0))=TRUE," ",(VLOOKUP(T7,'Base de Datos'!$E$7:$AR$302,10,0)))</f>
        <v>41965</v>
      </c>
      <c r="AA7" s="457">
        <f>IF(ISERROR(VLOOKUP(T7,'Base de Datos'!$E$7:$AR$302,11,0))=TRUE," ",(VLOOKUP(T7,'Base de Datos'!$E$7:$AR$302,11,0)))</f>
        <v>0</v>
      </c>
      <c r="AB7" s="454">
        <f>IF(ISERROR(VLOOKUP(T7,'Base de Datos'!$E$7:$AR$302,12,0))=TRUE," ",(VLOOKUP(T7,'Base de Datos'!$E$7:$AR$302,12,0)))</f>
        <v>0</v>
      </c>
      <c r="AC7" s="454">
        <f>IF(ISERROR(VLOOKUP(T7,'Base de Datos'!$E$7:$AR$302,12,0))=TRUE," ",(VLOOKUP(T7,'Base de Datos'!$E$7:$AR$302,12,0)))</f>
        <v>0</v>
      </c>
      <c r="AD7" s="460" t="str">
        <f>IF(ISERROR(VLOOKUP(T7,'Base de Datos'!$E$7:$AR$302,15,0))=TRUE," ",(VLOOKUP(T7,'Base de Datos'!$E$7:$AR$302,15,0)))</f>
        <v/>
      </c>
      <c r="AE7" s="465">
        <f>IF(ISERROR(VLOOKUP(T7,'Base de Datos'!$E$7:$AR$302,16,0))=TRUE," ",(VLOOKUP(T7,'Base de Datos'!$E$7:$AR$302,16,0)))</f>
        <v>41965</v>
      </c>
      <c r="AF7" s="465">
        <f>IF(ISERROR(VLOOKUP(T7,'Base de Datos'!$E$7:$AR$302,17,0))=TRUE," ",(VLOOKUP(T7,'Base de Datos'!$E$7:$AR$302,17,0)))</f>
        <v>2228070</v>
      </c>
      <c r="AG7" s="465">
        <f>IF(ISERROR(VLOOKUP(T7,'Base de Datos'!$E$7:$AR$302,18,0))=TRUE," ",(VLOOKUP(T7,'Base de Datos'!$E$7:$AR$302,18,0)))</f>
        <v>2228070</v>
      </c>
      <c r="AH7" s="466"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6">
        <f>IF(ISERROR(VLOOKUP(T7,'Base de Datos'!$E$7:$AR$302,21,0))=TRUE," ",(VLOOKUP(T7,'Base de Datos'!$E$7:$AR$302,21,0)))</f>
        <v>1</v>
      </c>
      <c r="AJ7" s="469">
        <v>42158</v>
      </c>
      <c r="AK7" s="455" t="str">
        <f>IF(ISERROR(VLOOKUP(D7,'Base de Datos'!$C$7:$AR$400,2,0))=TRUE," ",(VLOOKUP(D7,'Base de Datos'!$C$7:$AR$400,2,0)))</f>
        <v>2015122</v>
      </c>
      <c r="AL7" s="455" t="str">
        <f>IF(ISERROR(VLOOKUP(D7,'Base de Datos'!$C$7:$AR$400,3,0))=TRUE," ",(VLOOKUP(D7,'Base de Datos'!$C$7:$AR$400,3,0)))</f>
        <v>150244-0-2015</v>
      </c>
      <c r="AM7" s="458"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8">
        <f>IF(ISERROR(VLOOKUP(D7,'Base de Datos'!$C$7:$AR$400,20,0))=TRUE," ",(VLOOKUP(D7,'Base de Datos'!$C$7:$AR$400,19,0)))</f>
        <v>2365972</v>
      </c>
      <c r="AO7" s="461">
        <f>IF(ISERROR(VLOOKUP(D7,'Base de Datos'!$C$7:$AR$400,9,0))=TRUE," ",(VLOOKUP(D7,'Base de Datos'!$C$7:$AR$400,9,0)))</f>
        <v>2015</v>
      </c>
      <c r="AP7" s="461">
        <f>IF(ISERROR(VLOOKUP(D7,'Base de Datos'!$C$7:$AR$400,10,0))=TRUE," ",(VLOOKUP(D7,'Base de Datos'!$C$7:$AR$400,10,0)))</f>
        <v>42158</v>
      </c>
      <c r="AQ7" s="463">
        <f>IF(ISERROR(VLOOKUP(D7,'Base de Datos'!$C$7:$AR$400,11,0))=TRUE," ",(VLOOKUP(D7,'Base de Datos'!$C$7:$AR$400,11,0)))</f>
        <v>42174</v>
      </c>
      <c r="AR7" s="464">
        <f>IF(ISERROR(VLOOKUP(D7,'Base de Datos'!$C$7:$AR$400,12,0))=TRUE," ",(VLOOKUP(D7,'Base de Datos'!$C$7:$AR$400,12,0)))</f>
        <v>42296</v>
      </c>
      <c r="AS7" s="463">
        <f>IF(ISERROR(VLOOKUP(D7,'Base de Datos'!$C$7:$AR$400,13,0))=TRUE," ",(VLOOKUP(D7,'Base de Datos'!$C$7:$AR$400,13,0)))</f>
        <v>0</v>
      </c>
      <c r="AT7" s="463">
        <f>IF(ISERROR(VLOOKUP(D7,'Base de Datos'!$C$7:$AR$400,14,0))=TRUE," ",(VLOOKUP(D7,'Base de Datos'!$C$7:$AR$400,14,0)))</f>
        <v>0</v>
      </c>
      <c r="AU7" s="461" t="str">
        <f>IF(ISERROR(VLOOKUP(D7,'Base de Datos'!$C$7:$AR$400,16,0))=TRUE," ",(VLOOKUP(D7,'Base de Datos'!$C$7:$AR$400,16,0)))</f>
        <v/>
      </c>
      <c r="AV7" s="465" t="str">
        <f>IF(ISERROR(VLOOKUP(D7,'Base de Datos'!$C$7:$AR$400,17,0))=TRUE," ",(VLOOKUP(D7,'Base de Datos'!$C$7:$AR$400,17,0)))</f>
        <v/>
      </c>
      <c r="AW7" s="465">
        <f>IF(ISERROR(VLOOKUP(D7,'Base de Datos'!$C$7:$AR$400,18,0))=TRUE," ",(VLOOKUP(D7,'Base de Datos'!$C$7:$AR$400,18,0)))</f>
        <v>42296</v>
      </c>
      <c r="AX7" s="465">
        <f>IF(ISERROR(VLOOKUP(D7,'Base de Datos'!$C$7:$AR$400,19,0))=TRUE," ",(VLOOKUP(D7,'Base de Datos'!$C$7:$AR$400,19,0)))</f>
        <v>2365972</v>
      </c>
      <c r="AY7" s="468">
        <f>IF(ISERROR(VLOOKUP(D7,'Base de Datos'!$C$7:$AR$400,21,0))=TRUE," ",(VLOOKUP(D7,'Base de Datos'!$C$7:$AR$400,21,0)))</f>
        <v>0</v>
      </c>
      <c r="AZ7" s="468" t="str">
        <f>IF(ISERROR(VLOOKUP(D7,'Base de Datos'!$C$7:$AR$400,22,0))=TRUE," ",(VLOOKUP(D7,'Base de Datos'!$C$7:$AR$400,22,0)))</f>
        <v>Una vez realizada la auditoría</v>
      </c>
      <c r="BA7" s="475"/>
      <c r="BB7" s="485"/>
    </row>
    <row r="8" spans="1:54" ht="55.5" hidden="1" customHeight="1" x14ac:dyDescent="0.25">
      <c r="B8" s="438">
        <v>2</v>
      </c>
      <c r="C8" s="446" t="s">
        <v>1645</v>
      </c>
      <c r="D8" s="438">
        <v>123</v>
      </c>
      <c r="E8" s="446" t="s">
        <v>1646</v>
      </c>
      <c r="F8" s="447">
        <f>VLOOKUP(D8,'Presupuesto - PAA 2015'!$B$10:$E$265,4,0)</f>
        <v>7714000</v>
      </c>
      <c r="G8" s="439" t="str">
        <f>VLOOKUP(D8,'[3]Seguimiento Plan'!$C$2:$R$101,16,0)</f>
        <v>Realizar las auditorías para la recertificación del Sistema de Gestión de Calidad del Concejo de Bogotá.</v>
      </c>
      <c r="H8" s="439" t="s">
        <v>1779</v>
      </c>
      <c r="I8" s="439" t="s">
        <v>1713</v>
      </c>
      <c r="J8" s="448" t="s">
        <v>909</v>
      </c>
      <c r="K8" s="449" t="s">
        <v>390</v>
      </c>
      <c r="L8" s="449" t="str">
        <f>VLOOKUP(D8,'[3]Seguimiento Plan'!$C$2:$AJ$101,30,0)</f>
        <v>SI</v>
      </c>
      <c r="M8" s="450">
        <f>VLOOKUP(D8,'[3]Seguimiento Plan'!$C$2:$AJ$101,31,0)</f>
        <v>42066</v>
      </c>
      <c r="N8" s="449"/>
      <c r="O8" s="451"/>
      <c r="P8" s="451"/>
      <c r="Q8" s="451"/>
      <c r="R8" s="452"/>
      <c r="S8" s="470" t="s">
        <v>1748</v>
      </c>
      <c r="T8" s="453"/>
      <c r="U8" s="455" t="str">
        <f>IF(ISERROR(VLOOKUP(T8,'Base de Datos'!$E$7:$AR$302,3,0))=TRUE," ",(VLOOKUP(T8,'Base de Datos'!$E$7:$AR$302,2,0)))</f>
        <v xml:space="preserve"> </v>
      </c>
      <c r="V8" s="458" t="str">
        <f>IF(ISERROR(VLOOKUP(T8,'Base de Datos'!$E$7:$AR$302,5,0))=TRUE," ",(VLOOKUP(T8,'Base de Datos'!$E$7:$AR$302,5,0)))</f>
        <v xml:space="preserve"> </v>
      </c>
      <c r="W8" s="455" t="str">
        <f>IF(ISERROR(VLOOKUP(T8,'Base de Datos'!$E$7:$AR$302,19,0))=TRUE," ",(VLOOKUP(T8,'Base de Datos'!$E$7:$AR$302,19,0)))</f>
        <v xml:space="preserve"> </v>
      </c>
      <c r="X8" s="460" t="str">
        <f>IF(ISERROR(VLOOKUP(T8,'Base de Datos'!$E$7:$AR$302,8,0))=TRUE," ",(VLOOKUP(T8,'Base de Datos'!$E$7:$AR$302,8,0)))</f>
        <v xml:space="preserve"> </v>
      </c>
      <c r="Y8" s="460" t="str">
        <f>IF(ISERROR(VLOOKUP(T8,'Base de Datos'!$E$7:$AR$302,9,0))=TRUE," ",(VLOOKUP(T8,'Base de Datos'!$E$7:$AR$302,9,0)))</f>
        <v xml:space="preserve"> </v>
      </c>
      <c r="Z8" s="454" t="str">
        <f>IF(ISERROR(VLOOKUP(T8,'Base de Datos'!$E$7:$AR$302,10,0))=TRUE," ",(VLOOKUP(T8,'Base de Datos'!$E$7:$AR$302,10,0)))</f>
        <v xml:space="preserve"> </v>
      </c>
      <c r="AA8" s="457" t="str">
        <f>IF(ISERROR(VLOOKUP(T8,'Base de Datos'!$E$7:$AR$302,11,0))=TRUE," ",(VLOOKUP(T8,'Base de Datos'!$E$7:$AR$302,11,0)))</f>
        <v xml:space="preserve"> </v>
      </c>
      <c r="AB8" s="454" t="str">
        <f>IF(ISERROR(VLOOKUP(T8,'Base de Datos'!$E$7:$AR$302,12,0))=TRUE," ",(VLOOKUP(T8,'Base de Datos'!$E$7:$AR$302,12,0)))</f>
        <v xml:space="preserve"> </v>
      </c>
      <c r="AC8" s="454" t="str">
        <f>IF(ISERROR(VLOOKUP(T8,'Base de Datos'!$E$7:$AR$302,12,0))=TRUE," ",(VLOOKUP(T8,'Base de Datos'!$E$7:$AR$302,12,0)))</f>
        <v xml:space="preserve"> </v>
      </c>
      <c r="AD8" s="460" t="str">
        <f>IF(ISERROR(VLOOKUP(T8,'Base de Datos'!$E$7:$AR$302,15,0))=TRUE," ",(VLOOKUP(T8,'Base de Datos'!$E$7:$AR$302,15,0)))</f>
        <v xml:space="preserve"> </v>
      </c>
      <c r="AE8" s="465" t="str">
        <f>IF(ISERROR(VLOOKUP(T8,'Base de Datos'!$E$7:$AR$302,16,0))=TRUE," ",(VLOOKUP(T8,'Base de Datos'!$E$7:$AR$302,16,0)))</f>
        <v xml:space="preserve"> </v>
      </c>
      <c r="AF8" s="465" t="str">
        <f>IF(ISERROR(VLOOKUP(T8,'Base de Datos'!$E$7:$AR$302,17,0))=TRUE," ",(VLOOKUP(T8,'Base de Datos'!$E$7:$AR$302,17,0)))</f>
        <v xml:space="preserve"> </v>
      </c>
      <c r="AG8" s="465" t="str">
        <f>IF(ISERROR(VLOOKUP(T8,'Base de Datos'!$E$7:$AR$302,18,0))=TRUE," ",(VLOOKUP(T8,'Base de Datos'!$E$7:$AR$302,18,0)))</f>
        <v xml:space="preserve"> </v>
      </c>
      <c r="AH8" s="466" t="str">
        <f>IF(ISERROR(VLOOKUP(T8,'Base de Datos'!$E$7:$AR$302,20,0))=TRUE," ",(VLOOKUP(T8,'Base de Datos'!$E$7:$AR$302,20,0)))</f>
        <v xml:space="preserve"> </v>
      </c>
      <c r="AI8" s="466" t="str">
        <f>IF(ISERROR(VLOOKUP(T8,'Base de Datos'!$E$7:$AR$302,21,0))=TRUE," ",(VLOOKUP(T8,'Base de Datos'!$E$7:$AR$302,21,0)))</f>
        <v xml:space="preserve"> </v>
      </c>
      <c r="AJ8" s="469">
        <v>42132</v>
      </c>
      <c r="AK8" s="455" t="str">
        <f>IF(ISERROR(VLOOKUP(D8,'Base de Datos'!$C$7:$AR$400,2,0))=TRUE," ",(VLOOKUP(D8,'Base de Datos'!$C$7:$AR$400,2,0)))</f>
        <v>2015123</v>
      </c>
      <c r="AL8" s="455" t="str">
        <f>IF(ISERROR(VLOOKUP(D8,'Base de Datos'!$C$7:$AR$400,3,0))=TRUE," ",(VLOOKUP(D8,'Base de Datos'!$C$7:$AR$400,3,0)))</f>
        <v>150221-0-2015</v>
      </c>
      <c r="AM8" s="458" t="str">
        <f>IF(ISERROR(VLOOKUP(D8,'Base de Datos'!$C$7:$AR$4014,6,0))=TRUE," ",(VLOOKUP(D8,'Base de Datos'!$C$7:$AR$400,6,0)))</f>
        <v>Realizar las auditorías para la recertificación del Sistema de Gestión de Calidad del Concejo de Bogotá.</v>
      </c>
      <c r="AN8" s="458">
        <f>IF(ISERROR(VLOOKUP(D8,'Base de Datos'!$C$7:$AR$400,20,0))=TRUE," ",(VLOOKUP(D8,'Base de Datos'!$C$7:$AR$400,19,0)))</f>
        <v>7714000</v>
      </c>
      <c r="AO8" s="461">
        <f>IF(ISERROR(VLOOKUP(D8,'Base de Datos'!$C$7:$AR$400,9,0))=TRUE," ",(VLOOKUP(D8,'Base de Datos'!$C$7:$AR$400,9,0)))</f>
        <v>2015</v>
      </c>
      <c r="AP8" s="461">
        <f>IF(ISERROR(VLOOKUP(D8,'Base de Datos'!$C$7:$AR$400,10,0))=TRUE," ",(VLOOKUP(D8,'Base de Datos'!$C$7:$AR$400,10,0)))</f>
        <v>42132</v>
      </c>
      <c r="AQ8" s="463">
        <f>IF(ISERROR(VLOOKUP(D8,'Base de Datos'!$C$7:$AR$400,11,0))=TRUE," ",(VLOOKUP(D8,'Base de Datos'!$C$7:$AR$400,11,0)))</f>
        <v>42144</v>
      </c>
      <c r="AR8" s="464">
        <f>IF(ISERROR(VLOOKUP(D8,'Base de Datos'!$C$7:$AR$400,12,0))=TRUE," ",(VLOOKUP(D8,'Base de Datos'!$C$7:$AR$400,12,0)))</f>
        <v>42236</v>
      </c>
      <c r="AS8" s="463">
        <f>IF(ISERROR(VLOOKUP(D8,'Base de Datos'!$C$7:$AR$400,13,0))=TRUE," ",(VLOOKUP(D8,'Base de Datos'!$C$7:$AR$400,13,0)))</f>
        <v>0</v>
      </c>
      <c r="AT8" s="463">
        <f>IF(ISERROR(VLOOKUP(D8,'Base de Datos'!$C$7:$AR$400,14,0))=TRUE," ",(VLOOKUP(D8,'Base de Datos'!$C$7:$AR$400,14,0)))</f>
        <v>0</v>
      </c>
      <c r="AU8" s="461" t="str">
        <f>IF(ISERROR(VLOOKUP(D8,'Base de Datos'!$C$7:$AR$400,16,0))=TRUE," ",(VLOOKUP(D8,'Base de Datos'!$C$7:$AR$400,16,0)))</f>
        <v/>
      </c>
      <c r="AV8" s="465" t="str">
        <f>IF(ISERROR(VLOOKUP(D8,'Base de Datos'!$C$7:$AR$400,17,0))=TRUE," ",(VLOOKUP(D8,'Base de Datos'!$C$7:$AR$400,17,0)))</f>
        <v/>
      </c>
      <c r="AW8" s="465">
        <f>IF(ISERROR(VLOOKUP(D8,'Base de Datos'!$C$7:$AR$400,18,0))=TRUE," ",(VLOOKUP(D8,'Base de Datos'!$C$7:$AR$400,18,0)))</f>
        <v>42236</v>
      </c>
      <c r="AX8" s="465">
        <f>IF(ISERROR(VLOOKUP(D8,'Base de Datos'!$C$7:$AR$400,19,0))=TRUE," ",(VLOOKUP(D8,'Base de Datos'!$C$7:$AR$400,19,0)))</f>
        <v>7714000</v>
      </c>
      <c r="AY8" s="468">
        <f>IF(ISERROR(VLOOKUP(D8,'Base de Datos'!$C$7:$AR$400,21,0))=TRUE," ",(VLOOKUP(D8,'Base de Datos'!$C$7:$AR$400,21,0)))</f>
        <v>0</v>
      </c>
      <c r="AZ8" s="468" t="str">
        <f>IF(ISERROR(VLOOKUP(D8,'Base de Datos'!$C$7:$AR$400,22,0))=TRUE," ",(VLOOKUP(D8,'Base de Datos'!$C$7:$AR$400,22,0)))</f>
        <v>Un pago, una vez realizada la auditoría</v>
      </c>
      <c r="BA8" s="475"/>
      <c r="BB8" s="485"/>
    </row>
    <row r="9" spans="1:54" ht="55.5" hidden="1" customHeight="1" x14ac:dyDescent="0.25">
      <c r="B9" s="438">
        <v>3</v>
      </c>
      <c r="C9" s="446" t="s">
        <v>1645</v>
      </c>
      <c r="D9" s="438">
        <v>124</v>
      </c>
      <c r="E9" s="446" t="s">
        <v>1646</v>
      </c>
      <c r="F9" s="447">
        <f>VLOOKUP(D9,'Presupuesto - PAA 2015'!$B$10:$E$265,4,0)</f>
        <v>60000000</v>
      </c>
      <c r="G9" s="439" t="str">
        <f>VLOOKUP(D9,'[3]Seguimiento Plan'!$C$2:$R$101,16,0)</f>
        <v>Prestar los servicios profesionales para acompañar la definición, contratación y seguimiento a los temas de infraestructura física que requiera el Concejo de Bogotá.</v>
      </c>
      <c r="H9" s="439" t="s">
        <v>1779</v>
      </c>
      <c r="I9" s="439" t="s">
        <v>1714</v>
      </c>
      <c r="J9" s="448" t="s">
        <v>908</v>
      </c>
      <c r="K9" s="449" t="s">
        <v>390</v>
      </c>
      <c r="L9" s="449" t="str">
        <f>VLOOKUP(D9,'[3]Seguimiento Plan'!$C$2:$AJ$101,30,0)</f>
        <v>SI</v>
      </c>
      <c r="M9" s="450">
        <f>VLOOKUP(D9,'[3]Seguimiento Plan'!$C$2:$AJ$101,31,0)</f>
        <v>42013</v>
      </c>
      <c r="N9" s="449"/>
      <c r="O9" s="451"/>
      <c r="P9" s="451"/>
      <c r="Q9" s="451"/>
      <c r="R9" s="452"/>
      <c r="S9" s="470" t="s">
        <v>1553</v>
      </c>
      <c r="T9" s="453" t="s">
        <v>254</v>
      </c>
      <c r="U9" s="455" t="str">
        <f>IF(ISERROR(VLOOKUP(T9,'Base de Datos'!$E$7:$AR$302,3,0))=TRUE," ",(VLOOKUP(T9,'Base de Datos'!$E$7:$AR$302,2,0)))</f>
        <v>ROSA ENRIQUELINA GÓMEZ CORREDOR</v>
      </c>
      <c r="V9" s="458">
        <f>IF(ISERROR(VLOOKUP(T9,'Base de Datos'!$E$7:$AR$302,5,0))=TRUE," ",(VLOOKUP(T9,'Base de Datos'!$E$7:$AR$302,5,0)))</f>
        <v>42800000</v>
      </c>
      <c r="W9" s="455">
        <f>IF(ISERROR(VLOOKUP(T9,'Base de Datos'!$E$7:$AR$302,19,0))=TRUE," ",(VLOOKUP(T9,'Base de Datos'!$E$7:$AR$302,19,0)))</f>
        <v>0</v>
      </c>
      <c r="X9" s="460" t="str">
        <f>IF(ISERROR(VLOOKUP(T9,'Base de Datos'!$E$7:$AR$302,8,0))=TRUE," ",(VLOOKUP(T9,'Base de Datos'!$E$7:$AR$302,8,0)))</f>
        <v xml:space="preserve"> </v>
      </c>
      <c r="Y9" s="460">
        <f>IF(ISERROR(VLOOKUP(T9,'Base de Datos'!$E$7:$AR$302,9,0))=TRUE," ",(VLOOKUP(T9,'Base de Datos'!$E$7:$AR$302,9,0)))</f>
        <v>41701</v>
      </c>
      <c r="Z9" s="454">
        <f>IF(ISERROR(VLOOKUP(T9,'Base de Datos'!$E$7:$AR$302,10,0))=TRUE," ",(VLOOKUP(T9,'Base de Datos'!$E$7:$AR$302,10,0)))</f>
        <v>42006</v>
      </c>
      <c r="AA9" s="457">
        <f>IF(ISERROR(VLOOKUP(T9,'Base de Datos'!$E$7:$AR$302,11,0))=TRUE," ",(VLOOKUP(T9,'Base de Datos'!$E$7:$AR$302,11,0)))</f>
        <v>0</v>
      </c>
      <c r="AB9" s="454">
        <f>IF(ISERROR(VLOOKUP(T9,'Base de Datos'!$E$7:$AR$302,12,0))=TRUE," ",(VLOOKUP(T9,'Base de Datos'!$E$7:$AR$302,12,0)))</f>
        <v>0</v>
      </c>
      <c r="AC9" s="454">
        <f>IF(ISERROR(VLOOKUP(T9,'Base de Datos'!$E$7:$AR$302,12,0))=TRUE," ",(VLOOKUP(T9,'Base de Datos'!$E$7:$AR$302,12,0)))</f>
        <v>0</v>
      </c>
      <c r="AD9" s="460" t="str">
        <f>IF(ISERROR(VLOOKUP(T9,'Base de Datos'!$E$7:$AR$302,15,0))=TRUE," ",(VLOOKUP(T9,'Base de Datos'!$E$7:$AR$302,15,0)))</f>
        <v/>
      </c>
      <c r="AE9" s="465">
        <f>IF(ISERROR(VLOOKUP(T9,'Base de Datos'!$E$7:$AR$302,16,0))=TRUE," ",(VLOOKUP(T9,'Base de Datos'!$E$7:$AR$302,16,0)))</f>
        <v>42006</v>
      </c>
      <c r="AF9" s="465">
        <f>IF(ISERROR(VLOOKUP(T9,'Base de Datos'!$E$7:$AR$302,17,0))=TRUE," ",(VLOOKUP(T9,'Base de Datos'!$E$7:$AR$302,17,0)))</f>
        <v>42800000</v>
      </c>
      <c r="AG9" s="465">
        <f>IF(ISERROR(VLOOKUP(T9,'Base de Datos'!$E$7:$AR$302,18,0))=TRUE," ",(VLOOKUP(T9,'Base de Datos'!$E$7:$AR$302,18,0)))</f>
        <v>42800000</v>
      </c>
      <c r="AH9" s="466"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6">
        <f>IF(ISERROR(VLOOKUP(T9,'Base de Datos'!$E$7:$AR$302,21,0))=TRUE," ",(VLOOKUP(T9,'Base de Datos'!$E$7:$AR$302,21,0)))</f>
        <v>1</v>
      </c>
      <c r="AJ9" s="460">
        <v>42044</v>
      </c>
      <c r="AK9" s="455" t="str">
        <f>IF(ISERROR(VLOOKUP(D9,'Base de Datos'!$C$7:$AR$400,2,0))=TRUE," ",(VLOOKUP(D9,'Base de Datos'!$C$7:$AR$400,2,0)))</f>
        <v>2015124</v>
      </c>
      <c r="AL9" s="455" t="str">
        <f>IF(ISERROR(VLOOKUP(D9,'Base de Datos'!$C$7:$AR$400,3,0))=TRUE," ",(VLOOKUP(D9,'Base de Datos'!$C$7:$AR$400,3,0)))</f>
        <v>150049-0-2015</v>
      </c>
      <c r="AM9" s="458" t="str">
        <f>IF(ISERROR(VLOOKUP(D9,'Base de Datos'!$C$7:$AR$4014,6,0))=TRUE," ",(VLOOKUP(D9,'Base de Datos'!$C$7:$AR$400,6,0)))</f>
        <v>Prestar los servicios profesionales para acompañar la definición, contratación y seguimiento de los temas de infraestructura física que requiera el Concejo de Bogotá, D.C.</v>
      </c>
      <c r="AN9" s="458">
        <f>IF(ISERROR(VLOOKUP(D9,'Base de Datos'!$C$7:$AR$400,20,0))=TRUE," ",(VLOOKUP(D9,'Base de Datos'!$C$7:$AR$400,19,0)))</f>
        <v>60000000</v>
      </c>
      <c r="AO9" s="461">
        <f>IF(ISERROR(VLOOKUP(D9,'Base de Datos'!$C$7:$AR$400,9,0))=TRUE," ",(VLOOKUP(D9,'Base de Datos'!$C$7:$AR$400,9,0)))</f>
        <v>2015</v>
      </c>
      <c r="AP9" s="461">
        <f>IF(ISERROR(VLOOKUP(D9,'Base de Datos'!$C$7:$AR$400,10,0))=TRUE," ",(VLOOKUP(D9,'Base de Datos'!$C$7:$AR$400,10,0)))</f>
        <v>42044</v>
      </c>
      <c r="AQ9" s="463">
        <f>IF(ISERROR(VLOOKUP(D9,'Base de Datos'!$C$7:$AR$400,11,0))=TRUE," ",(VLOOKUP(D9,'Base de Datos'!$C$7:$AR$400,11,0)))</f>
        <v>42045</v>
      </c>
      <c r="AR9" s="464">
        <f>IF(ISERROR(VLOOKUP(D9,'Base de Datos'!$C$7:$AR$400,12,0))=TRUE," ",(VLOOKUP(D9,'Base de Datos'!$C$7:$AR$400,12,0)))</f>
        <v>42410</v>
      </c>
      <c r="AS9" s="463">
        <f>IF(ISERROR(VLOOKUP(D9,'Base de Datos'!$C$7:$AR$400,13,0))=TRUE," ",(VLOOKUP(D9,'Base de Datos'!$C$7:$AR$400,13,0)))</f>
        <v>0</v>
      </c>
      <c r="AT9" s="463">
        <f>IF(ISERROR(VLOOKUP(D9,'Base de Datos'!$C$7:$AR$400,14,0))=TRUE," ",(VLOOKUP(D9,'Base de Datos'!$C$7:$AR$400,14,0)))</f>
        <v>0</v>
      </c>
      <c r="AU9" s="461" t="str">
        <f>IF(ISERROR(VLOOKUP(D9,'Base de Datos'!$C$7:$AR$400,16,0))=TRUE," ",(VLOOKUP(D9,'Base de Datos'!$C$7:$AR$400,16,0)))</f>
        <v/>
      </c>
      <c r="AV9" s="465" t="str">
        <f>IF(ISERROR(VLOOKUP(D9,'Base de Datos'!$C$7:$AR$400,17,0))=TRUE," ",(VLOOKUP(D9,'Base de Datos'!$C$7:$AR$400,17,0)))</f>
        <v/>
      </c>
      <c r="AW9" s="465">
        <f>IF(ISERROR(VLOOKUP(D9,'Base de Datos'!$C$7:$AR$400,18,0))=TRUE," ",(VLOOKUP(D9,'Base de Datos'!$C$7:$AR$400,18,0)))</f>
        <v>42410</v>
      </c>
      <c r="AX9" s="465">
        <f>IF(ISERROR(VLOOKUP(D9,'Base de Datos'!$C$7:$AR$400,19,0))=TRUE," ",(VLOOKUP(D9,'Base de Datos'!$C$7:$AR$400,19,0)))</f>
        <v>60000000</v>
      </c>
      <c r="AY9" s="468">
        <f>IF(ISERROR(VLOOKUP(D9,'Base de Datos'!$C$7:$AR$400,21,0))=TRUE," ",(VLOOKUP(D9,'Base de Datos'!$C$7:$AR$400,21,0)))</f>
        <v>0</v>
      </c>
      <c r="AZ9" s="468" t="str">
        <f>IF(ISERROR(VLOOKUP(D9,'Base de Datos'!$C$7:$AR$400,22,0))=TRUE," ",(VLOOKUP(D9,'Base de Datos'!$C$7:$AR$400,22,0)))</f>
        <v>Mensual</v>
      </c>
      <c r="BA9" s="475"/>
      <c r="BB9" s="485"/>
    </row>
    <row r="10" spans="1:54" ht="55.5" hidden="1" customHeight="1" x14ac:dyDescent="0.25">
      <c r="B10" s="438">
        <v>4</v>
      </c>
      <c r="C10" s="446" t="s">
        <v>1645</v>
      </c>
      <c r="D10" s="438">
        <v>125</v>
      </c>
      <c r="E10" s="446" t="s">
        <v>1646</v>
      </c>
      <c r="F10" s="447">
        <f>VLOOKUP(D10,'Presupuesto - PAA 2015'!$B$10:$E$265,4,0)</f>
        <v>63654000</v>
      </c>
      <c r="G10" s="439"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9" t="s">
        <v>1779</v>
      </c>
      <c r="I10" s="439" t="s">
        <v>1714</v>
      </c>
      <c r="J10" s="448" t="s">
        <v>908</v>
      </c>
      <c r="K10" s="449" t="s">
        <v>390</v>
      </c>
      <c r="L10" s="449" t="str">
        <f>VLOOKUP(D10,'[3]Seguimiento Plan'!$C$2:$AJ$101,30,0)</f>
        <v>SI</v>
      </c>
      <c r="M10" s="450">
        <f>VLOOKUP(D10,'[3]Seguimiento Plan'!$C$2:$AJ$101,31,0)</f>
        <v>42025</v>
      </c>
      <c r="N10" s="449"/>
      <c r="O10" s="451"/>
      <c r="P10" s="451"/>
      <c r="Q10" s="451"/>
      <c r="R10" s="529"/>
      <c r="S10" s="355" t="s">
        <v>1561</v>
      </c>
      <c r="T10" s="453"/>
      <c r="U10" s="455" t="str">
        <f>IF(ISERROR(VLOOKUP(T10,'Base de Datos'!$E$7:$AR$302,3,0))=TRUE," ",(VLOOKUP(T10,'Base de Datos'!$E$7:$AR$302,2,0)))</f>
        <v xml:space="preserve"> </v>
      </c>
      <c r="V10" s="458" t="str">
        <f>IF(ISERROR(VLOOKUP(T10,'Base de Datos'!$E$7:$AR$302,5,0))=TRUE," ",(VLOOKUP(T10,'Base de Datos'!$E$7:$AR$302,5,0)))</f>
        <v xml:space="preserve"> </v>
      </c>
      <c r="W10" s="455" t="str">
        <f>IF(ISERROR(VLOOKUP(T10,'Base de Datos'!$E$7:$AR$302,19,0))=TRUE," ",(VLOOKUP(T10,'Base de Datos'!$E$7:$AR$302,19,0)))</f>
        <v xml:space="preserve"> </v>
      </c>
      <c r="X10" s="460" t="str">
        <f>IF(ISERROR(VLOOKUP(T10,'Base de Datos'!$E$7:$AR$302,8,0))=TRUE," ",(VLOOKUP(T10,'Base de Datos'!$E$7:$AR$302,8,0)))</f>
        <v xml:space="preserve"> </v>
      </c>
      <c r="Y10" s="460" t="str">
        <f>IF(ISERROR(VLOOKUP(T10,'Base de Datos'!$E$7:$AR$302,9,0))=TRUE," ",(VLOOKUP(T10,'Base de Datos'!$E$7:$AR$302,9,0)))</f>
        <v xml:space="preserve"> </v>
      </c>
      <c r="Z10" s="454" t="str">
        <f>IF(ISERROR(VLOOKUP(T10,'Base de Datos'!$E$7:$AR$302,10,0))=TRUE," ",(VLOOKUP(T10,'Base de Datos'!$E$7:$AR$302,10,0)))</f>
        <v xml:space="preserve"> </v>
      </c>
      <c r="AA10" s="457" t="str">
        <f>IF(ISERROR(VLOOKUP(T10,'Base de Datos'!$E$7:$AR$302,11,0))=TRUE," ",(VLOOKUP(T10,'Base de Datos'!$E$7:$AR$302,11,0)))</f>
        <v xml:space="preserve"> </v>
      </c>
      <c r="AB10" s="454" t="str">
        <f>IF(ISERROR(VLOOKUP(T10,'Base de Datos'!$E$7:$AR$302,12,0))=TRUE," ",(VLOOKUP(T10,'Base de Datos'!$E$7:$AR$302,12,0)))</f>
        <v xml:space="preserve"> </v>
      </c>
      <c r="AC10" s="454" t="str">
        <f>IF(ISERROR(VLOOKUP(T10,'Base de Datos'!$E$7:$AR$302,12,0))=TRUE," ",(VLOOKUP(T10,'Base de Datos'!$E$7:$AR$302,12,0)))</f>
        <v xml:space="preserve"> </v>
      </c>
      <c r="AD10" s="460" t="str">
        <f>IF(ISERROR(VLOOKUP(T10,'Base de Datos'!$E$7:$AR$302,15,0))=TRUE," ",(VLOOKUP(T10,'Base de Datos'!$E$7:$AR$302,15,0)))</f>
        <v xml:space="preserve"> </v>
      </c>
      <c r="AE10" s="465" t="str">
        <f>IF(ISERROR(VLOOKUP(T10,'Base de Datos'!$E$7:$AR$302,16,0))=TRUE," ",(VLOOKUP(T10,'Base de Datos'!$E$7:$AR$302,16,0)))</f>
        <v xml:space="preserve"> </v>
      </c>
      <c r="AF10" s="465" t="str">
        <f>IF(ISERROR(VLOOKUP(T10,'Base de Datos'!$E$7:$AR$302,17,0))=TRUE," ",(VLOOKUP(T10,'Base de Datos'!$E$7:$AR$302,17,0)))</f>
        <v xml:space="preserve"> </v>
      </c>
      <c r="AG10" s="465" t="str">
        <f>IF(ISERROR(VLOOKUP(T10,'Base de Datos'!$E$7:$AR$302,18,0))=TRUE," ",(VLOOKUP(T10,'Base de Datos'!$E$7:$AR$302,18,0)))</f>
        <v xml:space="preserve"> </v>
      </c>
      <c r="AH10" s="466" t="str">
        <f>IF(ISERROR(VLOOKUP(T10,'Base de Datos'!$E$7:$AR$302,20,0))=TRUE," ",(VLOOKUP(T10,'Base de Datos'!$E$7:$AR$302,20,0)))</f>
        <v xml:space="preserve"> </v>
      </c>
      <c r="AI10" s="466" t="str">
        <f>IF(ISERROR(VLOOKUP(T10,'Base de Datos'!$E$7:$AR$302,21,0))=TRUE," ",(VLOOKUP(T10,'Base de Datos'!$E$7:$AR$302,21,0)))</f>
        <v xml:space="preserve"> </v>
      </c>
      <c r="AJ10" s="460">
        <v>42054</v>
      </c>
      <c r="AK10" s="455" t="str">
        <f>IF(ISERROR(VLOOKUP(D10,'Base de Datos'!$C$7:$AR$400,2,0))=TRUE," ",(VLOOKUP(D10,'Base de Datos'!$C$7:$AR$400,2,0)))</f>
        <v>2015125</v>
      </c>
      <c r="AL10" s="455" t="str">
        <f>IF(ISERROR(VLOOKUP(D10,'Base de Datos'!$C$7:$AR$400,3,0))=TRUE," ",(VLOOKUP(D10,'Base de Datos'!$C$7:$AR$400,3,0)))</f>
        <v>150081-0-2015</v>
      </c>
      <c r="AM10" s="458"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8">
        <f>IF(ISERROR(VLOOKUP(D10,'Base de Datos'!$C$7:$AR$400,20,0))=TRUE," ",(VLOOKUP(D10,'Base de Datos'!$C$7:$AR$400,19,0)))</f>
        <v>63654000</v>
      </c>
      <c r="AO10" s="461">
        <f>IF(ISERROR(VLOOKUP(D10,'Base de Datos'!$C$7:$AR$400,9,0))=TRUE," ",(VLOOKUP(D10,'Base de Datos'!$C$7:$AR$400,9,0)))</f>
        <v>2015</v>
      </c>
      <c r="AP10" s="461">
        <f>IF(ISERROR(VLOOKUP(D10,'Base de Datos'!$C$7:$AR$400,10,0))=TRUE," ",(VLOOKUP(D10,'Base de Datos'!$C$7:$AR$400,10,0)))</f>
        <v>42054</v>
      </c>
      <c r="AQ10" s="463">
        <f>IF(ISERROR(VLOOKUP(D10,'Base de Datos'!$C$7:$AR$400,11,0))=TRUE," ",(VLOOKUP(D10,'Base de Datos'!$C$7:$AR$400,11,0)))</f>
        <v>42060</v>
      </c>
      <c r="AR10" s="464">
        <f>IF(ISERROR(VLOOKUP(D10,'Base de Datos'!$C$7:$AR$400,12,0))=TRUE," ",(VLOOKUP(D10,'Base de Datos'!$C$7:$AR$400,12,0)))</f>
        <v>42425</v>
      </c>
      <c r="AS10" s="463">
        <f>IF(ISERROR(VLOOKUP(D10,'Base de Datos'!$C$7:$AR$400,13,0))=TRUE," ",(VLOOKUP(D10,'Base de Datos'!$C$7:$AR$400,13,0)))</f>
        <v>0</v>
      </c>
      <c r="AT10" s="463">
        <f>IF(ISERROR(VLOOKUP(D10,'Base de Datos'!$C$7:$AR$400,14,0))=TRUE," ",(VLOOKUP(D10,'Base de Datos'!$C$7:$AR$400,14,0)))</f>
        <v>0</v>
      </c>
      <c r="AU10" s="461" t="str">
        <f>IF(ISERROR(VLOOKUP(D10,'Base de Datos'!$C$7:$AR$400,16,0))=TRUE," ",(VLOOKUP(D10,'Base de Datos'!$C$7:$AR$400,16,0)))</f>
        <v>3 meses y 14 días</v>
      </c>
      <c r="AV10" s="465">
        <f>IF(ISERROR(VLOOKUP(D10,'Base de Datos'!$C$7:$AR$400,17,0))=TRUE," ",(VLOOKUP(D10,'Base de Datos'!$C$7:$AR$400,17,0)))</f>
        <v>42530</v>
      </c>
      <c r="AW10" s="465">
        <f>IF(ISERROR(VLOOKUP(D10,'Base de Datos'!$C$7:$AR$400,18,0))=TRUE," ",(VLOOKUP(D10,'Base de Datos'!$C$7:$AR$400,18,0)))</f>
        <v>42530</v>
      </c>
      <c r="AX10" s="465">
        <f>IF(ISERROR(VLOOKUP(D10,'Base de Datos'!$C$7:$AR$400,19,0))=TRUE," ",(VLOOKUP(D10,'Base de Datos'!$C$7:$AR$400,19,0)))</f>
        <v>63654000</v>
      </c>
      <c r="AY10" s="468">
        <f>IF(ISERROR(VLOOKUP(D10,'Base de Datos'!$C$7:$AR$400,21,0))=TRUE," ",(VLOOKUP(D10,'Base de Datos'!$C$7:$AR$400,21,0)))</f>
        <v>884083</v>
      </c>
      <c r="AZ10" s="468" t="str">
        <f>IF(ISERROR(VLOOKUP(D10,'Base de Datos'!$C$7:$AR$400,22,0))=TRUE," ",(VLOOKUP(D10,'Base de Datos'!$C$7:$AR$400,22,0)))</f>
        <v>Mensual</v>
      </c>
      <c r="BA10" s="475"/>
      <c r="BB10" s="485"/>
    </row>
    <row r="11" spans="1:54" ht="55.5" hidden="1" customHeight="1" x14ac:dyDescent="0.25">
      <c r="B11" s="438">
        <v>5</v>
      </c>
      <c r="C11" s="446" t="s">
        <v>1645</v>
      </c>
      <c r="D11" s="438">
        <v>126</v>
      </c>
      <c r="E11" s="446" t="s">
        <v>1646</v>
      </c>
      <c r="F11" s="447">
        <f>VLOOKUP(D11,'Presupuesto - PAA 2015'!$B$10:$E$265,4,0)</f>
        <v>48000000</v>
      </c>
      <c r="G11" s="439" t="str">
        <f>VLOOKUP(D11,'[3]Seguimiento Plan'!$C$2:$R$101,16,0)</f>
        <v>Prestar los servicios profesionales para la actualización, administración, publicación y salvaguarda de la información publicada en la página WEB oficial del Concejo de Bogotá D.C.</v>
      </c>
      <c r="H11" s="439" t="s">
        <v>1779</v>
      </c>
      <c r="I11" s="439" t="s">
        <v>1714</v>
      </c>
      <c r="J11" s="448" t="s">
        <v>908</v>
      </c>
      <c r="K11" s="449" t="s">
        <v>390</v>
      </c>
      <c r="L11" s="449" t="str">
        <f>VLOOKUP(D11,'[3]Seguimiento Plan'!$C$2:$AJ$101,30,0)</f>
        <v>SI</v>
      </c>
      <c r="M11" s="450">
        <f>VLOOKUP(D11,'[3]Seguimiento Plan'!$C$2:$AJ$101,31,0)</f>
        <v>42013</v>
      </c>
      <c r="N11" s="449"/>
      <c r="O11" s="451"/>
      <c r="P11" s="451"/>
      <c r="Q11" s="451"/>
      <c r="R11" s="529"/>
      <c r="S11" s="355" t="s">
        <v>1557</v>
      </c>
      <c r="T11" s="453" t="s">
        <v>267</v>
      </c>
      <c r="U11" s="455" t="str">
        <f>IF(ISERROR(VLOOKUP(T11,'Base de Datos'!$E$7:$AR$302,3,0))=TRUE," ",(VLOOKUP(T11,'Base de Datos'!$E$7:$AR$302,2,0)))</f>
        <v>WIESNER FABIÁN ROBAYO SALCEDO</v>
      </c>
      <c r="V11" s="458">
        <f>IF(ISERROR(VLOOKUP(T11,'Base de Datos'!$E$7:$AR$302,5,0))=TRUE," ",(VLOOKUP(T11,'Base de Datos'!$E$7:$AR$302,5,0)))</f>
        <v>38830000</v>
      </c>
      <c r="W11" s="455">
        <f>IF(ISERROR(VLOOKUP(T11,'Base de Datos'!$E$7:$AR$302,19,0))=TRUE," ",(VLOOKUP(T11,'Base de Datos'!$E$7:$AR$302,19,0)))</f>
        <v>0</v>
      </c>
      <c r="X11" s="460" t="str">
        <f>IF(ISERROR(VLOOKUP(T11,'Base de Datos'!$E$7:$AR$302,8,0))=TRUE," ",(VLOOKUP(T11,'Base de Datos'!$E$7:$AR$302,8,0)))</f>
        <v xml:space="preserve"> </v>
      </c>
      <c r="Y11" s="460">
        <f>IF(ISERROR(VLOOKUP(T11,'Base de Datos'!$E$7:$AR$302,9,0))=TRUE," ",(VLOOKUP(T11,'Base de Datos'!$E$7:$AR$302,9,0)))</f>
        <v>41708</v>
      </c>
      <c r="Z11" s="454">
        <f>IF(ISERROR(VLOOKUP(T11,'Base de Datos'!$E$7:$AR$302,10,0))=TRUE," ",(VLOOKUP(T11,'Base de Datos'!$E$7:$AR$302,10,0)))</f>
        <v>42013</v>
      </c>
      <c r="AA11" s="457">
        <f>IF(ISERROR(VLOOKUP(T11,'Base de Datos'!$E$7:$AR$302,11,0))=TRUE," ",(VLOOKUP(T11,'Base de Datos'!$E$7:$AR$302,11,0)))</f>
        <v>0</v>
      </c>
      <c r="AB11" s="454">
        <f>IF(ISERROR(VLOOKUP(T11,'Base de Datos'!$E$7:$AR$302,12,0))=TRUE," ",(VLOOKUP(T11,'Base de Datos'!$E$7:$AR$302,12,0)))</f>
        <v>0</v>
      </c>
      <c r="AC11" s="454">
        <f>IF(ISERROR(VLOOKUP(T11,'Base de Datos'!$E$7:$AR$302,12,0))=TRUE," ",(VLOOKUP(T11,'Base de Datos'!$E$7:$AR$302,12,0)))</f>
        <v>0</v>
      </c>
      <c r="AD11" s="460" t="str">
        <f>IF(ISERROR(VLOOKUP(T11,'Base de Datos'!$E$7:$AR$302,15,0))=TRUE," ",(VLOOKUP(T11,'Base de Datos'!$E$7:$AR$302,15,0)))</f>
        <v/>
      </c>
      <c r="AE11" s="465">
        <f>IF(ISERROR(VLOOKUP(T11,'Base de Datos'!$E$7:$AR$302,16,0))=TRUE," ",(VLOOKUP(T11,'Base de Datos'!$E$7:$AR$302,16,0)))</f>
        <v>42013</v>
      </c>
      <c r="AF11" s="465">
        <f>IF(ISERROR(VLOOKUP(T11,'Base de Datos'!$E$7:$AR$302,17,0))=TRUE," ",(VLOOKUP(T11,'Base de Datos'!$E$7:$AR$302,17,0)))</f>
        <v>38830000</v>
      </c>
      <c r="AG11" s="465">
        <f>IF(ISERROR(VLOOKUP(T11,'Base de Datos'!$E$7:$AR$302,18,0))=TRUE," ",(VLOOKUP(T11,'Base de Datos'!$E$7:$AR$302,18,0)))</f>
        <v>38830000</v>
      </c>
      <c r="AH11" s="466"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6">
        <f>IF(ISERROR(VLOOKUP(T11,'Base de Datos'!$E$7:$AR$302,21,0))=TRUE," ",(VLOOKUP(T11,'Base de Datos'!$E$7:$AR$302,21,0)))</f>
        <v>1</v>
      </c>
      <c r="AJ11" s="460">
        <v>42051</v>
      </c>
      <c r="AK11" s="455" t="str">
        <f>IF(ISERROR(VLOOKUP(D11,'Base de Datos'!$C$7:$AR$400,2,0))=TRUE," ",(VLOOKUP(D11,'Base de Datos'!$C$7:$AR$400,2,0)))</f>
        <v>2015126</v>
      </c>
      <c r="AL11" s="455" t="str">
        <f>IF(ISERROR(VLOOKUP(D11,'Base de Datos'!$C$7:$AR$400,3,0))=TRUE," ",(VLOOKUP(D11,'Base de Datos'!$C$7:$AR$400,3,0)))</f>
        <v>150067-0-2015</v>
      </c>
      <c r="AM11" s="458"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8">
        <f>IF(ISERROR(VLOOKUP(D11,'Base de Datos'!$C$7:$AR$400,20,0))=TRUE," ",(VLOOKUP(D11,'Base de Datos'!$C$7:$AR$400,19,0)))</f>
        <v>48000000</v>
      </c>
      <c r="AO11" s="461">
        <f>IF(ISERROR(VLOOKUP(D11,'Base de Datos'!$C$7:$AR$400,9,0))=TRUE," ",(VLOOKUP(D11,'Base de Datos'!$C$7:$AR$400,9,0)))</f>
        <v>2015</v>
      </c>
      <c r="AP11" s="461">
        <f>IF(ISERROR(VLOOKUP(D11,'Base de Datos'!$C$7:$AR$400,10,0))=TRUE," ",(VLOOKUP(D11,'Base de Datos'!$C$7:$AR$400,10,0)))</f>
        <v>42051</v>
      </c>
      <c r="AQ11" s="463">
        <f>IF(ISERROR(VLOOKUP(D11,'Base de Datos'!$C$7:$AR$400,11,0))=TRUE," ",(VLOOKUP(D11,'Base de Datos'!$C$7:$AR$400,11,0)))</f>
        <v>42053</v>
      </c>
      <c r="AR11" s="464">
        <f>IF(ISERROR(VLOOKUP(D11,'Base de Datos'!$C$7:$AR$400,12,0))=TRUE," ",(VLOOKUP(D11,'Base de Datos'!$C$7:$AR$400,12,0)))</f>
        <v>42418</v>
      </c>
      <c r="AS11" s="463">
        <f>IF(ISERROR(VLOOKUP(D11,'Base de Datos'!$C$7:$AR$400,13,0))=TRUE," ",(VLOOKUP(D11,'Base de Datos'!$C$7:$AR$400,13,0)))</f>
        <v>0</v>
      </c>
      <c r="AT11" s="463">
        <f>IF(ISERROR(VLOOKUP(D11,'Base de Datos'!$C$7:$AR$400,14,0))=TRUE," ",(VLOOKUP(D11,'Base de Datos'!$C$7:$AR$400,14,0)))</f>
        <v>0</v>
      </c>
      <c r="AU11" s="461" t="str">
        <f>IF(ISERROR(VLOOKUP(D11,'Base de Datos'!$C$7:$AR$400,16,0))=TRUE," ",(VLOOKUP(D11,'Base de Datos'!$C$7:$AR$400,16,0)))</f>
        <v/>
      </c>
      <c r="AV11" s="465" t="str">
        <f>IF(ISERROR(VLOOKUP(D11,'Base de Datos'!$C$7:$AR$400,17,0))=TRUE," ",(VLOOKUP(D11,'Base de Datos'!$C$7:$AR$400,17,0)))</f>
        <v/>
      </c>
      <c r="AW11" s="465">
        <f>IF(ISERROR(VLOOKUP(D11,'Base de Datos'!$C$7:$AR$400,18,0))=TRUE," ",(VLOOKUP(D11,'Base de Datos'!$C$7:$AR$400,18,0)))</f>
        <v>42418</v>
      </c>
      <c r="AX11" s="465">
        <f>IF(ISERROR(VLOOKUP(D11,'Base de Datos'!$C$7:$AR$400,19,0))=TRUE," ",(VLOOKUP(D11,'Base de Datos'!$C$7:$AR$400,19,0)))</f>
        <v>48000000</v>
      </c>
      <c r="AY11" s="468">
        <f>IF(ISERROR(VLOOKUP(D11,'Base de Datos'!$C$7:$AR$400,21,0))=TRUE," ",(VLOOKUP(D11,'Base de Datos'!$C$7:$AR$400,21,0)))</f>
        <v>0</v>
      </c>
      <c r="AZ11" s="468" t="str">
        <f>IF(ISERROR(VLOOKUP(D11,'Base de Datos'!$C$7:$AR$400,22,0))=TRUE," ",(VLOOKUP(D11,'Base de Datos'!$C$7:$AR$400,22,0)))</f>
        <v>Mensual</v>
      </c>
      <c r="BA11" s="475"/>
      <c r="BB11" s="485"/>
    </row>
    <row r="12" spans="1:54" ht="55.5" hidden="1" customHeight="1" x14ac:dyDescent="0.25">
      <c r="B12" s="438">
        <v>6</v>
      </c>
      <c r="C12" s="446" t="s">
        <v>1645</v>
      </c>
      <c r="D12" s="438">
        <v>127</v>
      </c>
      <c r="E12" s="446" t="s">
        <v>1646</v>
      </c>
      <c r="F12" s="447">
        <f>VLOOKUP(D12,'Presupuesto - PAA 2015'!$B$10:$E$265,4,0)</f>
        <v>78000000</v>
      </c>
      <c r="G12" s="439" t="str">
        <f>VLOOKUP(D12,'[3]Seguimiento Plan'!$C$2:$R$101,16,0)</f>
        <v>Prestar los servicios profesionales para la consolidación y actualización de la estrategia de depuración normativa del Concejo de Bogotá D.C.</v>
      </c>
      <c r="H12" s="439" t="s">
        <v>1779</v>
      </c>
      <c r="I12" s="439" t="s">
        <v>1714</v>
      </c>
      <c r="J12" s="448" t="s">
        <v>908</v>
      </c>
      <c r="K12" s="449" t="s">
        <v>390</v>
      </c>
      <c r="L12" s="449" t="str">
        <f>VLOOKUP(D12,'[3]Seguimiento Plan'!$C$2:$AJ$101,30,0)</f>
        <v>SI</v>
      </c>
      <c r="M12" s="450">
        <f>VLOOKUP(D12,'[3]Seguimiento Plan'!$C$2:$AJ$101,31,0)</f>
        <v>42033</v>
      </c>
      <c r="N12" s="449"/>
      <c r="O12" s="451"/>
      <c r="P12" s="451"/>
      <c r="Q12" s="451"/>
      <c r="R12" s="529"/>
      <c r="S12" s="355" t="s">
        <v>1584</v>
      </c>
      <c r="T12" s="453"/>
      <c r="U12" s="455" t="str">
        <f>IF(ISERROR(VLOOKUP(T12,'Base de Datos'!$E$7:$AR$302,3,0))=TRUE," ",(VLOOKUP(T12,'Base de Datos'!$E$7:$AR$302,2,0)))</f>
        <v xml:space="preserve"> </v>
      </c>
      <c r="V12" s="458" t="str">
        <f>IF(ISERROR(VLOOKUP(T12,'Base de Datos'!$E$7:$AR$302,5,0))=TRUE," ",(VLOOKUP(T12,'Base de Datos'!$E$7:$AR$302,5,0)))</f>
        <v xml:space="preserve"> </v>
      </c>
      <c r="W12" s="455" t="str">
        <f>IF(ISERROR(VLOOKUP(T12,'Base de Datos'!$E$7:$AR$302,19,0))=TRUE," ",(VLOOKUP(T12,'Base de Datos'!$E$7:$AR$302,19,0)))</f>
        <v xml:space="preserve"> </v>
      </c>
      <c r="X12" s="460" t="str">
        <f>IF(ISERROR(VLOOKUP(T12,'Base de Datos'!$E$7:$AR$302,8,0))=TRUE," ",(VLOOKUP(T12,'Base de Datos'!$E$7:$AR$302,8,0)))</f>
        <v xml:space="preserve"> </v>
      </c>
      <c r="Y12" s="460" t="str">
        <f>IF(ISERROR(VLOOKUP(T12,'Base de Datos'!$E$7:$AR$302,9,0))=TRUE," ",(VLOOKUP(T12,'Base de Datos'!$E$7:$AR$302,9,0)))</f>
        <v xml:space="preserve"> </v>
      </c>
      <c r="Z12" s="454" t="str">
        <f>IF(ISERROR(VLOOKUP(T12,'Base de Datos'!$E$7:$AR$302,10,0))=TRUE," ",(VLOOKUP(T12,'Base de Datos'!$E$7:$AR$302,10,0)))</f>
        <v xml:space="preserve"> </v>
      </c>
      <c r="AA12" s="457" t="str">
        <f>IF(ISERROR(VLOOKUP(T12,'Base de Datos'!$E$7:$AR$302,11,0))=TRUE," ",(VLOOKUP(T12,'Base de Datos'!$E$7:$AR$302,11,0)))</f>
        <v xml:space="preserve"> </v>
      </c>
      <c r="AB12" s="454" t="str">
        <f>IF(ISERROR(VLOOKUP(T12,'Base de Datos'!$E$7:$AR$302,12,0))=TRUE," ",(VLOOKUP(T12,'Base de Datos'!$E$7:$AR$302,12,0)))</f>
        <v xml:space="preserve"> </v>
      </c>
      <c r="AC12" s="454" t="str">
        <f>IF(ISERROR(VLOOKUP(T12,'Base de Datos'!$E$7:$AR$302,12,0))=TRUE," ",(VLOOKUP(T12,'Base de Datos'!$E$7:$AR$302,12,0)))</f>
        <v xml:space="preserve"> </v>
      </c>
      <c r="AD12" s="460" t="str">
        <f>IF(ISERROR(VLOOKUP(T12,'Base de Datos'!$E$7:$AR$302,15,0))=TRUE," ",(VLOOKUP(T12,'Base de Datos'!$E$7:$AR$302,15,0)))</f>
        <v xml:space="preserve"> </v>
      </c>
      <c r="AE12" s="465" t="str">
        <f>IF(ISERROR(VLOOKUP(T12,'Base de Datos'!$E$7:$AR$302,16,0))=TRUE," ",(VLOOKUP(T12,'Base de Datos'!$E$7:$AR$302,16,0)))</f>
        <v xml:space="preserve"> </v>
      </c>
      <c r="AF12" s="465" t="str">
        <f>IF(ISERROR(VLOOKUP(T12,'Base de Datos'!$E$7:$AR$302,17,0))=TRUE," ",(VLOOKUP(T12,'Base de Datos'!$E$7:$AR$302,17,0)))</f>
        <v xml:space="preserve"> </v>
      </c>
      <c r="AG12" s="465" t="str">
        <f>IF(ISERROR(VLOOKUP(T12,'Base de Datos'!$E$7:$AR$302,18,0))=TRUE," ",(VLOOKUP(T12,'Base de Datos'!$E$7:$AR$302,18,0)))</f>
        <v xml:space="preserve"> </v>
      </c>
      <c r="AH12" s="466" t="str">
        <f>IF(ISERROR(VLOOKUP(T12,'Base de Datos'!$E$7:$AR$302,20,0))=TRUE," ",(VLOOKUP(T12,'Base de Datos'!$E$7:$AR$302,20,0)))</f>
        <v xml:space="preserve"> </v>
      </c>
      <c r="AI12" s="466" t="str">
        <f>IF(ISERROR(VLOOKUP(T12,'Base de Datos'!$E$7:$AR$302,21,0))=TRUE," ",(VLOOKUP(T12,'Base de Datos'!$E$7:$AR$302,21,0)))</f>
        <v xml:space="preserve"> </v>
      </c>
      <c r="AJ12" s="460">
        <v>42066</v>
      </c>
      <c r="AK12" s="455" t="str">
        <f>IF(ISERROR(VLOOKUP(D12,'Base de Datos'!$C$7:$AR$400,2,0))=TRUE," ",(VLOOKUP(D12,'Base de Datos'!$C$7:$AR$400,2,0)))</f>
        <v>2015127</v>
      </c>
      <c r="AL12" s="455" t="str">
        <f>IF(ISERROR(VLOOKUP(D12,'Base de Datos'!$C$7:$AR$400,3,0))=TRUE," ",(VLOOKUP(D12,'Base de Datos'!$C$7:$AR$400,3,0)))</f>
        <v>150101-0-2015</v>
      </c>
      <c r="AM12" s="458" t="str">
        <f>IF(ISERROR(VLOOKUP(D12,'Base de Datos'!$C$7:$AR$4014,6,0))=TRUE," ",(VLOOKUP(D12,'Base de Datos'!$C$7:$AR$400,6,0)))</f>
        <v>Prestar los servicios profesionales para la consolidación y actualización de la estrategia de la depuración normativa del Concejo de Bogotá D.C.</v>
      </c>
      <c r="AN12" s="458">
        <f>IF(ISERROR(VLOOKUP(D12,'Base de Datos'!$C$7:$AR$400,20,0))=TRUE," ",(VLOOKUP(D12,'Base de Datos'!$C$7:$AR$400,19,0)))</f>
        <v>78000000</v>
      </c>
      <c r="AO12" s="461">
        <f>IF(ISERROR(VLOOKUP(D12,'Base de Datos'!$C$7:$AR$400,9,0))=TRUE," ",(VLOOKUP(D12,'Base de Datos'!$C$7:$AR$400,9,0)))</f>
        <v>2015</v>
      </c>
      <c r="AP12" s="461">
        <f>IF(ISERROR(VLOOKUP(D12,'Base de Datos'!$C$7:$AR$400,10,0))=TRUE," ",(VLOOKUP(D12,'Base de Datos'!$C$7:$AR$400,10,0)))</f>
        <v>42066</v>
      </c>
      <c r="AQ12" s="463">
        <f>IF(ISERROR(VLOOKUP(D12,'Base de Datos'!$C$7:$AR$400,11,0))=TRUE," ",(VLOOKUP(D12,'Base de Datos'!$C$7:$AR$400,11,0)))</f>
        <v>42066</v>
      </c>
      <c r="AR12" s="464">
        <f>IF(ISERROR(VLOOKUP(D12,'Base de Datos'!$C$7:$AR$400,12,0))=TRUE," ",(VLOOKUP(D12,'Base de Datos'!$C$7:$AR$400,12,0)))</f>
        <v>42432</v>
      </c>
      <c r="AS12" s="463">
        <f>IF(ISERROR(VLOOKUP(D12,'Base de Datos'!$C$7:$AR$400,13,0))=TRUE," ",(VLOOKUP(D12,'Base de Datos'!$C$7:$AR$400,13,0)))</f>
        <v>0</v>
      </c>
      <c r="AT12" s="463">
        <f>IF(ISERROR(VLOOKUP(D12,'Base de Datos'!$C$7:$AR$400,14,0))=TRUE," ",(VLOOKUP(D12,'Base de Datos'!$C$7:$AR$400,14,0)))</f>
        <v>0</v>
      </c>
      <c r="AU12" s="461" t="str">
        <f>IF(ISERROR(VLOOKUP(D12,'Base de Datos'!$C$7:$AR$400,16,0))=TRUE," ",(VLOOKUP(D12,'Base de Datos'!$C$7:$AR$400,16,0)))</f>
        <v/>
      </c>
      <c r="AV12" s="465" t="str">
        <f>IF(ISERROR(VLOOKUP(D12,'Base de Datos'!$C$7:$AR$400,17,0))=TRUE," ",(VLOOKUP(D12,'Base de Datos'!$C$7:$AR$400,17,0)))</f>
        <v/>
      </c>
      <c r="AW12" s="465">
        <f>IF(ISERROR(VLOOKUP(D12,'Base de Datos'!$C$7:$AR$400,18,0))=TRUE," ",(VLOOKUP(D12,'Base de Datos'!$C$7:$AR$400,18,0)))</f>
        <v>42432</v>
      </c>
      <c r="AX12" s="465">
        <f>IF(ISERROR(VLOOKUP(D12,'Base de Datos'!$C$7:$AR$400,19,0))=TRUE," ",(VLOOKUP(D12,'Base de Datos'!$C$7:$AR$400,19,0)))</f>
        <v>78000000</v>
      </c>
      <c r="AY12" s="468">
        <f>IF(ISERROR(VLOOKUP(D12,'Base de Datos'!$C$7:$AR$400,21,0))=TRUE," ",(VLOOKUP(D12,'Base de Datos'!$C$7:$AR$400,21,0)))</f>
        <v>0</v>
      </c>
      <c r="AZ12" s="468" t="str">
        <f>IF(ISERROR(VLOOKUP(D12,'Base de Datos'!$C$7:$AR$400,22,0))=TRUE," ",(VLOOKUP(D12,'Base de Datos'!$C$7:$AR$400,22,0)))</f>
        <v>Mensual</v>
      </c>
      <c r="BA12" s="475"/>
      <c r="BB12" s="485"/>
    </row>
    <row r="13" spans="1:54" ht="55.5" hidden="1" customHeight="1" x14ac:dyDescent="0.25">
      <c r="B13" s="438">
        <v>7</v>
      </c>
      <c r="C13" s="446" t="s">
        <v>1645</v>
      </c>
      <c r="D13" s="438">
        <v>128</v>
      </c>
      <c r="E13" s="446" t="s">
        <v>1646</v>
      </c>
      <c r="F13" s="447">
        <f>VLOOKUP(D13,'Presupuesto - PAA 2015'!$B$10:$E$265,4,0)</f>
        <v>38400000</v>
      </c>
      <c r="G13" s="439" t="str">
        <f>VLOOKUP(D13,'[3]Seguimiento Plan'!$C$2:$R$101,16,0)</f>
        <v>Prestar los servicios profesionales para apoyar el proceso de sistemas y seguridad informática del Concejo de Bogotá con especial énfasis en la identificación y mitigación de riesgos.</v>
      </c>
      <c r="H13" s="439" t="s">
        <v>1779</v>
      </c>
      <c r="I13" s="439" t="s">
        <v>1714</v>
      </c>
      <c r="J13" s="448" t="s">
        <v>908</v>
      </c>
      <c r="K13" s="449" t="s">
        <v>390</v>
      </c>
      <c r="L13" s="449" t="str">
        <f>VLOOKUP(D13,'[3]Seguimiento Plan'!$C$2:$AJ$101,30,0)</f>
        <v>SI</v>
      </c>
      <c r="M13" s="450">
        <f>VLOOKUP(D13,'[3]Seguimiento Plan'!$C$2:$AJ$101,31,0)</f>
        <v>42013</v>
      </c>
      <c r="N13" s="449"/>
      <c r="O13" s="451"/>
      <c r="P13" s="451"/>
      <c r="Q13" s="451"/>
      <c r="R13" s="529"/>
      <c r="S13" s="355" t="s">
        <v>1583</v>
      </c>
      <c r="T13" s="453" t="s">
        <v>171</v>
      </c>
      <c r="U13" s="455" t="str">
        <f>IF(ISERROR(VLOOKUP(T13,'Base de Datos'!$E$7:$AR$302,3,0))=TRUE," ",(VLOOKUP(T13,'Base de Datos'!$E$7:$AR$302,2,0)))</f>
        <v>KHAANKO NORBERTO RUIZ RODRÍGUEZ</v>
      </c>
      <c r="V13" s="458">
        <f>IF(ISERROR(VLOOKUP(T13,'Base de Datos'!$E$7:$AR$302,5,0))=TRUE," ",(VLOOKUP(T13,'Base de Datos'!$E$7:$AR$302,5,0)))</f>
        <v>29819999</v>
      </c>
      <c r="W13" s="455">
        <f>IF(ISERROR(VLOOKUP(T13,'Base de Datos'!$E$7:$AR$302,19,0))=TRUE," ",(VLOOKUP(T13,'Base de Datos'!$E$7:$AR$302,19,0)))</f>
        <v>0</v>
      </c>
      <c r="X13" s="460" t="str">
        <f>IF(ISERROR(VLOOKUP(T13,'Base de Datos'!$E$7:$AR$302,8,0))=TRUE," ",(VLOOKUP(T13,'Base de Datos'!$E$7:$AR$302,8,0)))</f>
        <v xml:space="preserve"> </v>
      </c>
      <c r="Y13" s="460">
        <f>IF(ISERROR(VLOOKUP(T13,'Base de Datos'!$E$7:$AR$302,9,0))=TRUE," ",(VLOOKUP(T13,'Base de Datos'!$E$7:$AR$302,9,0)))</f>
        <v>41675</v>
      </c>
      <c r="Z13" s="454">
        <f>IF(ISERROR(VLOOKUP(T13,'Base de Datos'!$E$7:$AR$302,10,0))=TRUE," ",(VLOOKUP(T13,'Base de Datos'!$E$7:$AR$302,10,0)))</f>
        <v>42008</v>
      </c>
      <c r="AA13" s="457">
        <f>IF(ISERROR(VLOOKUP(T13,'Base de Datos'!$E$7:$AR$302,11,0))=TRUE," ",(VLOOKUP(T13,'Base de Datos'!$E$7:$AR$302,11,0)))</f>
        <v>0</v>
      </c>
      <c r="AB13" s="454">
        <f>IF(ISERROR(VLOOKUP(T13,'Base de Datos'!$E$7:$AR$302,12,0))=TRUE," ",(VLOOKUP(T13,'Base de Datos'!$E$7:$AR$302,12,0)))</f>
        <v>0</v>
      </c>
      <c r="AC13" s="454">
        <f>IF(ISERROR(VLOOKUP(T13,'Base de Datos'!$E$7:$AR$302,12,0))=TRUE," ",(VLOOKUP(T13,'Base de Datos'!$E$7:$AR$302,12,0)))</f>
        <v>0</v>
      </c>
      <c r="AD13" s="460" t="str">
        <f>IF(ISERROR(VLOOKUP(T13,'Base de Datos'!$E$7:$AR$302,15,0))=TRUE," ",(VLOOKUP(T13,'Base de Datos'!$E$7:$AR$302,15,0)))</f>
        <v/>
      </c>
      <c r="AE13" s="465">
        <f>IF(ISERROR(VLOOKUP(T13,'Base de Datos'!$E$7:$AR$302,16,0))=TRUE," ",(VLOOKUP(T13,'Base de Datos'!$E$7:$AR$302,16,0)))</f>
        <v>42008</v>
      </c>
      <c r="AF13" s="465">
        <f>IF(ISERROR(VLOOKUP(T13,'Base de Datos'!$E$7:$AR$302,17,0))=TRUE," ",(VLOOKUP(T13,'Base de Datos'!$E$7:$AR$302,17,0)))</f>
        <v>29819999</v>
      </c>
      <c r="AG13" s="465">
        <f>IF(ISERROR(VLOOKUP(T13,'Base de Datos'!$E$7:$AR$302,18,0))=TRUE," ",(VLOOKUP(T13,'Base de Datos'!$E$7:$AR$302,18,0)))</f>
        <v>29819999</v>
      </c>
      <c r="AH13" s="466"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6">
        <f>IF(ISERROR(VLOOKUP(T13,'Base de Datos'!$E$7:$AR$302,21,0))=TRUE," ",(VLOOKUP(T13,'Base de Datos'!$E$7:$AR$302,21,0)))</f>
        <v>1</v>
      </c>
      <c r="AJ13" s="460">
        <v>42062</v>
      </c>
      <c r="AK13" s="455" t="str">
        <f>IF(ISERROR(VLOOKUP(D13,'Base de Datos'!$C$7:$AR$400,2,0))=TRUE," ",(VLOOKUP(D13,'Base de Datos'!$C$7:$AR$400,2,0)))</f>
        <v>2015128</v>
      </c>
      <c r="AL13" s="455" t="str">
        <f>IF(ISERROR(VLOOKUP(D13,'Base de Datos'!$C$7:$AR$400,3,0))=TRUE," ",(VLOOKUP(D13,'Base de Datos'!$C$7:$AR$400,3,0)))</f>
        <v>150100-0-2015</v>
      </c>
      <c r="AM13" s="458"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8">
        <f>IF(ISERROR(VLOOKUP(D13,'Base de Datos'!$C$7:$AR$400,20,0))=TRUE," ",(VLOOKUP(D13,'Base de Datos'!$C$7:$AR$400,19,0)))</f>
        <v>38400000</v>
      </c>
      <c r="AO13" s="461">
        <f>IF(ISERROR(VLOOKUP(D13,'Base de Datos'!$C$7:$AR$400,9,0))=TRUE," ",(VLOOKUP(D13,'Base de Datos'!$C$7:$AR$400,9,0)))</f>
        <v>2015</v>
      </c>
      <c r="AP13" s="461">
        <f>IF(ISERROR(VLOOKUP(D13,'Base de Datos'!$C$7:$AR$400,10,0))=TRUE," ",(VLOOKUP(D13,'Base de Datos'!$C$7:$AR$400,10,0)))</f>
        <v>42062</v>
      </c>
      <c r="AQ13" s="463">
        <f>IF(ISERROR(VLOOKUP(D13,'Base de Datos'!$C$7:$AR$400,11,0))=TRUE," ",(VLOOKUP(D13,'Base de Datos'!$C$7:$AR$400,11,0)))</f>
        <v>42073</v>
      </c>
      <c r="AR13" s="464">
        <f>IF(ISERROR(VLOOKUP(D13,'Base de Datos'!$C$7:$AR$400,12,0))=TRUE," ",(VLOOKUP(D13,'Base de Datos'!$C$7:$AR$400,12,0)))</f>
        <v>42439</v>
      </c>
      <c r="AS13" s="463">
        <f>IF(ISERROR(VLOOKUP(D13,'Base de Datos'!$C$7:$AR$400,13,0))=TRUE," ",(VLOOKUP(D13,'Base de Datos'!$C$7:$AR$400,13,0)))</f>
        <v>0</v>
      </c>
      <c r="AT13" s="463">
        <f>IF(ISERROR(VLOOKUP(D13,'Base de Datos'!$C$7:$AR$400,14,0))=TRUE," ",(VLOOKUP(D13,'Base de Datos'!$C$7:$AR$400,14,0)))</f>
        <v>0</v>
      </c>
      <c r="AU13" s="461" t="str">
        <f>IF(ISERROR(VLOOKUP(D13,'Base de Datos'!$C$7:$AR$400,16,0))=TRUE," ",(VLOOKUP(D13,'Base de Datos'!$C$7:$AR$400,16,0)))</f>
        <v/>
      </c>
      <c r="AV13" s="465" t="str">
        <f>IF(ISERROR(VLOOKUP(D13,'Base de Datos'!$C$7:$AR$400,17,0))=TRUE," ",(VLOOKUP(D13,'Base de Datos'!$C$7:$AR$400,17,0)))</f>
        <v/>
      </c>
      <c r="AW13" s="465">
        <f>IF(ISERROR(VLOOKUP(D13,'Base de Datos'!$C$7:$AR$400,18,0))=TRUE," ",(VLOOKUP(D13,'Base de Datos'!$C$7:$AR$400,18,0)))</f>
        <v>42439</v>
      </c>
      <c r="AX13" s="465">
        <f>IF(ISERROR(VLOOKUP(D13,'Base de Datos'!$C$7:$AR$400,19,0))=TRUE," ",(VLOOKUP(D13,'Base de Datos'!$C$7:$AR$400,19,0)))</f>
        <v>38400000</v>
      </c>
      <c r="AY13" s="468">
        <f>IF(ISERROR(VLOOKUP(D13,'Base de Datos'!$C$7:$AR$400,21,0))=TRUE," ",(VLOOKUP(D13,'Base de Datos'!$C$7:$AR$400,21,0)))</f>
        <v>0</v>
      </c>
      <c r="AZ13" s="468" t="str">
        <f>IF(ISERROR(VLOOKUP(D13,'Base de Datos'!$C$7:$AR$400,22,0))=TRUE," ",(VLOOKUP(D13,'Base de Datos'!$C$7:$AR$400,22,0)))</f>
        <v>Mensual</v>
      </c>
      <c r="BA13" s="475"/>
      <c r="BB13" s="485"/>
    </row>
    <row r="14" spans="1:54" ht="55.5" hidden="1" customHeight="1" x14ac:dyDescent="0.25">
      <c r="B14" s="438">
        <v>8</v>
      </c>
      <c r="C14" s="446" t="s">
        <v>1645</v>
      </c>
      <c r="D14" s="438">
        <v>129</v>
      </c>
      <c r="E14" s="446" t="s">
        <v>1646</v>
      </c>
      <c r="F14" s="447">
        <f>VLOOKUP(D14,'Presupuesto - PAA 2015'!$B$10:$E$265,4,0)</f>
        <v>46068000</v>
      </c>
      <c r="G14" s="439"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9" t="s">
        <v>1779</v>
      </c>
      <c r="I14" s="439" t="s">
        <v>1714</v>
      </c>
      <c r="J14" s="448" t="s">
        <v>908</v>
      </c>
      <c r="K14" s="449" t="s">
        <v>390</v>
      </c>
      <c r="L14" s="449" t="str">
        <f>VLOOKUP(D14,'[3]Seguimiento Plan'!$C$2:$AJ$101,30,0)</f>
        <v>SI</v>
      </c>
      <c r="M14" s="450">
        <f>VLOOKUP(D14,'[3]Seguimiento Plan'!$C$2:$AJ$101,31,0)</f>
        <v>42013</v>
      </c>
      <c r="N14" s="449"/>
      <c r="O14" s="451"/>
      <c r="P14" s="451"/>
      <c r="Q14" s="451"/>
      <c r="R14" s="452"/>
      <c r="S14" s="470" t="s">
        <v>1770</v>
      </c>
      <c r="T14" s="453" t="s">
        <v>257</v>
      </c>
      <c r="U14" s="455" t="str">
        <f>IF(ISERROR(VLOOKUP(T14,'Base de Datos'!$E$7:$AR$302,3,0))=TRUE," ",(VLOOKUP(T14,'Base de Datos'!$E$7:$AR$302,2,0)))</f>
        <v>EDGAR EULICES GONZÁLEZ</v>
      </c>
      <c r="V14" s="458">
        <f>IF(ISERROR(VLOOKUP(T14,'Base de Datos'!$E$7:$AR$302,5,0))=TRUE," ",(VLOOKUP(T14,'Base de Datos'!$E$7:$AR$302,5,0)))</f>
        <v>40997000</v>
      </c>
      <c r="W14" s="455">
        <f>IF(ISERROR(VLOOKUP(T14,'Base de Datos'!$E$7:$AR$302,19,0))=TRUE," ",(VLOOKUP(T14,'Base de Datos'!$E$7:$AR$302,19,0)))</f>
        <v>0</v>
      </c>
      <c r="X14" s="460" t="str">
        <f>IF(ISERROR(VLOOKUP(T14,'Base de Datos'!$E$7:$AR$302,8,0))=TRUE," ",(VLOOKUP(T14,'Base de Datos'!$E$7:$AR$302,8,0)))</f>
        <v xml:space="preserve"> </v>
      </c>
      <c r="Y14" s="460">
        <f>IF(ISERROR(VLOOKUP(T14,'Base de Datos'!$E$7:$AR$302,9,0))=TRUE," ",(VLOOKUP(T14,'Base de Datos'!$E$7:$AR$302,9,0)))</f>
        <v>41675</v>
      </c>
      <c r="Z14" s="454">
        <f>IF(ISERROR(VLOOKUP(T14,'Base de Datos'!$E$7:$AR$302,10,0))=TRUE," ",(VLOOKUP(T14,'Base de Datos'!$E$7:$AR$302,10,0)))</f>
        <v>42008</v>
      </c>
      <c r="AA14" s="457">
        <f>IF(ISERROR(VLOOKUP(T14,'Base de Datos'!$E$7:$AR$302,11,0))=TRUE," ",(VLOOKUP(T14,'Base de Datos'!$E$7:$AR$302,11,0)))</f>
        <v>0</v>
      </c>
      <c r="AB14" s="454">
        <f>IF(ISERROR(VLOOKUP(T14,'Base de Datos'!$E$7:$AR$302,12,0))=TRUE," ",(VLOOKUP(T14,'Base de Datos'!$E$7:$AR$302,12,0)))</f>
        <v>0</v>
      </c>
      <c r="AC14" s="454">
        <f>IF(ISERROR(VLOOKUP(T14,'Base de Datos'!$E$7:$AR$302,12,0))=TRUE," ",(VLOOKUP(T14,'Base de Datos'!$E$7:$AR$302,12,0)))</f>
        <v>0</v>
      </c>
      <c r="AD14" s="460" t="str">
        <f>IF(ISERROR(VLOOKUP(T14,'Base de Datos'!$E$7:$AR$302,15,0))=TRUE," ",(VLOOKUP(T14,'Base de Datos'!$E$7:$AR$302,15,0)))</f>
        <v/>
      </c>
      <c r="AE14" s="465">
        <f>IF(ISERROR(VLOOKUP(T14,'Base de Datos'!$E$7:$AR$302,16,0))=TRUE," ",(VLOOKUP(T14,'Base de Datos'!$E$7:$AR$302,16,0)))</f>
        <v>42008</v>
      </c>
      <c r="AF14" s="465">
        <f>IF(ISERROR(VLOOKUP(T14,'Base de Datos'!$E$7:$AR$302,17,0))=TRUE," ",(VLOOKUP(T14,'Base de Datos'!$E$7:$AR$302,17,0)))</f>
        <v>40997000</v>
      </c>
      <c r="AG14" s="465">
        <f>IF(ISERROR(VLOOKUP(T14,'Base de Datos'!$E$7:$AR$302,18,0))=TRUE," ",(VLOOKUP(T14,'Base de Datos'!$E$7:$AR$302,18,0)))</f>
        <v>40997000</v>
      </c>
      <c r="AH14" s="466"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6">
        <f>IF(ISERROR(VLOOKUP(T14,'Base de Datos'!$E$7:$AR$302,21,0))=TRUE," ",(VLOOKUP(T14,'Base de Datos'!$E$7:$AR$302,21,0)))</f>
        <v>1</v>
      </c>
      <c r="AJ14" s="460">
        <v>42033</v>
      </c>
      <c r="AK14" s="455" t="str">
        <f>IF(ISERROR(VLOOKUP(D14,'Base de Datos'!$C$7:$AR$400,2,0))=TRUE," ",(VLOOKUP(D14,'Base de Datos'!$C$7:$AR$400,2,0)))</f>
        <v>2015129</v>
      </c>
      <c r="AL14" s="455" t="str">
        <f>IF(ISERROR(VLOOKUP(D14,'Base de Datos'!$C$7:$AR$400,3,0))=TRUE," ",(VLOOKUP(D14,'Base de Datos'!$C$7:$AR$400,3,0)))</f>
        <v>150035-0-2015</v>
      </c>
      <c r="AM14" s="458"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8">
        <f>IF(ISERROR(VLOOKUP(D14,'Base de Datos'!$C$7:$AR$400,20,0))=TRUE," ",(VLOOKUP(D14,'Base de Datos'!$C$7:$AR$400,19,0)))</f>
        <v>46068000</v>
      </c>
      <c r="AO14" s="461">
        <f>IF(ISERROR(VLOOKUP(D14,'Base de Datos'!$C$7:$AR$400,9,0))=TRUE," ",(VLOOKUP(D14,'Base de Datos'!$C$7:$AR$400,9,0)))</f>
        <v>2015</v>
      </c>
      <c r="AP14" s="461">
        <f>IF(ISERROR(VLOOKUP(D14,'Base de Datos'!$C$7:$AR$400,10,0))=TRUE," ",(VLOOKUP(D14,'Base de Datos'!$C$7:$AR$400,10,0)))</f>
        <v>42033</v>
      </c>
      <c r="AQ14" s="463">
        <f>IF(ISERROR(VLOOKUP(D14,'Base de Datos'!$C$7:$AR$400,11,0))=TRUE," ",(VLOOKUP(D14,'Base de Datos'!$C$7:$AR$400,11,0)))</f>
        <v>42037</v>
      </c>
      <c r="AR14" s="464">
        <f>IF(ISERROR(VLOOKUP(D14,'Base de Datos'!$C$7:$AR$400,12,0))=TRUE," ",(VLOOKUP(D14,'Base de Datos'!$C$7:$AR$400,12,0)))</f>
        <v>42402</v>
      </c>
      <c r="AS14" s="463">
        <f>IF(ISERROR(VLOOKUP(D14,'Base de Datos'!$C$7:$AR$400,13,0))=TRUE," ",(VLOOKUP(D14,'Base de Datos'!$C$7:$AR$400,13,0)))</f>
        <v>0</v>
      </c>
      <c r="AT14" s="463">
        <f>IF(ISERROR(VLOOKUP(D14,'Base de Datos'!$C$7:$AR$400,14,0))=TRUE," ",(VLOOKUP(D14,'Base de Datos'!$C$7:$AR$400,14,0)))</f>
        <v>0</v>
      </c>
      <c r="AU14" s="461" t="str">
        <f>IF(ISERROR(VLOOKUP(D14,'Base de Datos'!$C$7:$AR$400,16,0))=TRUE," ",(VLOOKUP(D14,'Base de Datos'!$C$7:$AR$400,16,0)))</f>
        <v/>
      </c>
      <c r="AV14" s="465" t="str">
        <f>IF(ISERROR(VLOOKUP(D14,'Base de Datos'!$C$7:$AR$400,17,0))=TRUE," ",(VLOOKUP(D14,'Base de Datos'!$C$7:$AR$400,17,0)))</f>
        <v/>
      </c>
      <c r="AW14" s="465">
        <f>IF(ISERROR(VLOOKUP(D14,'Base de Datos'!$C$7:$AR$400,18,0))=TRUE," ",(VLOOKUP(D14,'Base de Datos'!$C$7:$AR$400,18,0)))</f>
        <v>42402</v>
      </c>
      <c r="AX14" s="465">
        <f>IF(ISERROR(VLOOKUP(D14,'Base de Datos'!$C$7:$AR$400,19,0))=TRUE," ",(VLOOKUP(D14,'Base de Datos'!$C$7:$AR$400,19,0)))</f>
        <v>46068000</v>
      </c>
      <c r="AY14" s="468">
        <f>IF(ISERROR(VLOOKUP(D14,'Base de Datos'!$C$7:$AR$400,21,0))=TRUE," ",(VLOOKUP(D14,'Base de Datos'!$C$7:$AR$400,21,0)))</f>
        <v>0</v>
      </c>
      <c r="AZ14" s="468" t="str">
        <f>IF(ISERROR(VLOOKUP(D14,'Base de Datos'!$C$7:$AR$400,22,0))=TRUE," ",(VLOOKUP(D14,'Base de Datos'!$C$7:$AR$400,22,0)))</f>
        <v>Mensuales</v>
      </c>
      <c r="BA14" s="475"/>
      <c r="BB14" s="485"/>
    </row>
    <row r="15" spans="1:54" ht="55.5" hidden="1" customHeight="1" x14ac:dyDescent="0.25">
      <c r="B15" s="438">
        <v>9</v>
      </c>
      <c r="C15" s="446" t="s">
        <v>1645</v>
      </c>
      <c r="D15" s="438">
        <v>130</v>
      </c>
      <c r="E15" s="446" t="s">
        <v>1646</v>
      </c>
      <c r="F15" s="447">
        <f>VLOOKUP(D15,'Presupuesto - PAA 2015'!$B$10:$E$265,4,0)</f>
        <v>60000000</v>
      </c>
      <c r="G15" s="439" t="str">
        <f>VLOOKUP(D15,'[3]Seguimiento Plan'!$C$2:$R$101,16,0)</f>
        <v>Prestar los servicios profesionales para elaborar las especificaciones y condiciones técnicas de los procesos para la adquisición de bienes y servicios y apoyar la funcion de supervision de los contratos</v>
      </c>
      <c r="H15" s="439" t="s">
        <v>1779</v>
      </c>
      <c r="I15" s="439" t="s">
        <v>1714</v>
      </c>
      <c r="J15" s="448" t="s">
        <v>908</v>
      </c>
      <c r="K15" s="449" t="s">
        <v>390</v>
      </c>
      <c r="L15" s="449" t="str">
        <f>VLOOKUP(D15,'[3]Seguimiento Plan'!$C$2:$AJ$101,30,0)</f>
        <v>SI</v>
      </c>
      <c r="M15" s="450">
        <f>VLOOKUP(D15,'[3]Seguimiento Plan'!$C$2:$AJ$101,31,0)</f>
        <v>42025</v>
      </c>
      <c r="N15" s="449"/>
      <c r="O15" s="451"/>
      <c r="P15" s="451"/>
      <c r="Q15" s="451"/>
      <c r="R15" s="529"/>
      <c r="S15" s="355" t="s">
        <v>1611</v>
      </c>
      <c r="T15" s="453"/>
      <c r="U15" s="455" t="str">
        <f>IF(ISERROR(VLOOKUP(T15,'Base de Datos'!$E$7:$AR$302,3,0))=TRUE," ",(VLOOKUP(T15,'Base de Datos'!$E$7:$AR$302,2,0)))</f>
        <v xml:space="preserve"> </v>
      </c>
      <c r="V15" s="458" t="str">
        <f>IF(ISERROR(VLOOKUP(T15,'Base de Datos'!$E$7:$AR$302,5,0))=TRUE," ",(VLOOKUP(T15,'Base de Datos'!$E$7:$AR$302,5,0)))</f>
        <v xml:space="preserve"> </v>
      </c>
      <c r="W15" s="455" t="str">
        <f>IF(ISERROR(VLOOKUP(T15,'Base de Datos'!$E$7:$AR$302,19,0))=TRUE," ",(VLOOKUP(T15,'Base de Datos'!$E$7:$AR$302,19,0)))</f>
        <v xml:space="preserve"> </v>
      </c>
      <c r="X15" s="460" t="str">
        <f>IF(ISERROR(VLOOKUP(T15,'Base de Datos'!$E$7:$AR$302,8,0))=TRUE," ",(VLOOKUP(T15,'Base de Datos'!$E$7:$AR$302,8,0)))</f>
        <v xml:space="preserve"> </v>
      </c>
      <c r="Y15" s="460" t="str">
        <f>IF(ISERROR(VLOOKUP(T15,'Base de Datos'!$E$7:$AR$302,9,0))=TRUE," ",(VLOOKUP(T15,'Base de Datos'!$E$7:$AR$302,9,0)))</f>
        <v xml:space="preserve"> </v>
      </c>
      <c r="Z15" s="454" t="str">
        <f>IF(ISERROR(VLOOKUP(T15,'Base de Datos'!$E$7:$AR$302,10,0))=TRUE," ",(VLOOKUP(T15,'Base de Datos'!$E$7:$AR$302,10,0)))</f>
        <v xml:space="preserve"> </v>
      </c>
      <c r="AA15" s="457" t="str">
        <f>IF(ISERROR(VLOOKUP(T15,'Base de Datos'!$E$7:$AR$302,11,0))=TRUE," ",(VLOOKUP(T15,'Base de Datos'!$E$7:$AR$302,11,0)))</f>
        <v xml:space="preserve"> </v>
      </c>
      <c r="AB15" s="454" t="str">
        <f>IF(ISERROR(VLOOKUP(T15,'Base de Datos'!$E$7:$AR$302,12,0))=TRUE," ",(VLOOKUP(T15,'Base de Datos'!$E$7:$AR$302,12,0)))</f>
        <v xml:space="preserve"> </v>
      </c>
      <c r="AC15" s="454" t="str">
        <f>IF(ISERROR(VLOOKUP(T15,'Base de Datos'!$E$7:$AR$302,12,0))=TRUE," ",(VLOOKUP(T15,'Base de Datos'!$E$7:$AR$302,12,0)))</f>
        <v xml:space="preserve"> </v>
      </c>
      <c r="AD15" s="460" t="str">
        <f>IF(ISERROR(VLOOKUP(T15,'Base de Datos'!$E$7:$AR$302,15,0))=TRUE," ",(VLOOKUP(T15,'Base de Datos'!$E$7:$AR$302,15,0)))</f>
        <v xml:space="preserve"> </v>
      </c>
      <c r="AE15" s="465" t="str">
        <f>IF(ISERROR(VLOOKUP(T15,'Base de Datos'!$E$7:$AR$302,16,0))=TRUE," ",(VLOOKUP(T15,'Base de Datos'!$E$7:$AR$302,16,0)))</f>
        <v xml:space="preserve"> </v>
      </c>
      <c r="AF15" s="465" t="str">
        <f>IF(ISERROR(VLOOKUP(T15,'Base de Datos'!$E$7:$AR$302,17,0))=TRUE," ",(VLOOKUP(T15,'Base de Datos'!$E$7:$AR$302,17,0)))</f>
        <v xml:space="preserve"> </v>
      </c>
      <c r="AG15" s="465" t="str">
        <f>IF(ISERROR(VLOOKUP(T15,'Base de Datos'!$E$7:$AR$302,18,0))=TRUE," ",(VLOOKUP(T15,'Base de Datos'!$E$7:$AR$302,18,0)))</f>
        <v xml:space="preserve"> </v>
      </c>
      <c r="AH15" s="466" t="str">
        <f>IF(ISERROR(VLOOKUP(T15,'Base de Datos'!$E$7:$AR$302,20,0))=TRUE," ",(VLOOKUP(T15,'Base de Datos'!$E$7:$AR$302,20,0)))</f>
        <v xml:space="preserve"> </v>
      </c>
      <c r="AI15" s="466" t="str">
        <f>IF(ISERROR(VLOOKUP(T15,'Base de Datos'!$E$7:$AR$302,21,0))=TRUE," ",(VLOOKUP(T15,'Base de Datos'!$E$7:$AR$302,21,0)))</f>
        <v xml:space="preserve"> </v>
      </c>
      <c r="AJ15" s="460">
        <v>42052</v>
      </c>
      <c r="AK15" s="455" t="str">
        <f>IF(ISERROR(VLOOKUP(D15,'Base de Datos'!$C$7:$AR$400,2,0))=TRUE," ",(VLOOKUP(D15,'Base de Datos'!$C$7:$AR$400,2,0)))</f>
        <v>2015130</v>
      </c>
      <c r="AL15" s="455" t="str">
        <f>IF(ISERROR(VLOOKUP(D15,'Base de Datos'!$C$7:$AR$400,3,0))=TRUE," ",(VLOOKUP(D15,'Base de Datos'!$C$7:$AR$400,3,0)))</f>
        <v>150073-0-2015</v>
      </c>
      <c r="AM15" s="458"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8">
        <f>IF(ISERROR(VLOOKUP(D15,'Base de Datos'!$C$7:$AR$400,20,0))=TRUE," ",(VLOOKUP(D15,'Base de Datos'!$C$7:$AR$400,19,0)))</f>
        <v>60000000</v>
      </c>
      <c r="AO15" s="461">
        <f>IF(ISERROR(VLOOKUP(D15,'Base de Datos'!$C$7:$AR$400,9,0))=TRUE," ",(VLOOKUP(D15,'Base de Datos'!$C$7:$AR$400,9,0)))</f>
        <v>2015</v>
      </c>
      <c r="AP15" s="461">
        <f>IF(ISERROR(VLOOKUP(D15,'Base de Datos'!$C$7:$AR$400,10,0))=TRUE," ",(VLOOKUP(D15,'Base de Datos'!$C$7:$AR$400,10,0)))</f>
        <v>42052</v>
      </c>
      <c r="AQ15" s="463">
        <f>IF(ISERROR(VLOOKUP(D15,'Base de Datos'!$C$7:$AR$400,11,0))=TRUE," ",(VLOOKUP(D15,'Base de Datos'!$C$7:$AR$400,11,0)))</f>
        <v>42054</v>
      </c>
      <c r="AR15" s="464">
        <f>IF(ISERROR(VLOOKUP(D15,'Base de Datos'!$C$7:$AR$400,12,0))=TRUE," ",(VLOOKUP(D15,'Base de Datos'!$C$7:$AR$400,12,0)))</f>
        <v>42419</v>
      </c>
      <c r="AS15" s="463">
        <f>IF(ISERROR(VLOOKUP(D15,'Base de Datos'!$C$7:$AR$400,13,0))=TRUE," ",(VLOOKUP(D15,'Base de Datos'!$C$7:$AR$400,13,0)))</f>
        <v>0</v>
      </c>
      <c r="AT15" s="463">
        <f>IF(ISERROR(VLOOKUP(D15,'Base de Datos'!$C$7:$AR$400,14,0))=TRUE," ",(VLOOKUP(D15,'Base de Datos'!$C$7:$AR$400,14,0)))</f>
        <v>0</v>
      </c>
      <c r="AU15" s="461" t="str">
        <f>IF(ISERROR(VLOOKUP(D15,'Base de Datos'!$C$7:$AR$400,16,0))=TRUE," ",(VLOOKUP(D15,'Base de Datos'!$C$7:$AR$400,16,0)))</f>
        <v/>
      </c>
      <c r="AV15" s="465" t="str">
        <f>IF(ISERROR(VLOOKUP(D15,'Base de Datos'!$C$7:$AR$400,17,0))=TRUE," ",(VLOOKUP(D15,'Base de Datos'!$C$7:$AR$400,17,0)))</f>
        <v/>
      </c>
      <c r="AW15" s="465">
        <f>IF(ISERROR(VLOOKUP(D15,'Base de Datos'!$C$7:$AR$400,18,0))=TRUE," ",(VLOOKUP(D15,'Base de Datos'!$C$7:$AR$400,18,0)))</f>
        <v>42419</v>
      </c>
      <c r="AX15" s="465">
        <f>IF(ISERROR(VLOOKUP(D15,'Base de Datos'!$C$7:$AR$400,19,0))=TRUE," ",(VLOOKUP(D15,'Base de Datos'!$C$7:$AR$400,19,0)))</f>
        <v>60000000</v>
      </c>
      <c r="AY15" s="468">
        <f>IF(ISERROR(VLOOKUP(D15,'Base de Datos'!$C$7:$AR$400,21,0))=TRUE," ",(VLOOKUP(D15,'Base de Datos'!$C$7:$AR$400,21,0)))</f>
        <v>0</v>
      </c>
      <c r="AZ15" s="468" t="str">
        <f>IF(ISERROR(VLOOKUP(D15,'Base de Datos'!$C$7:$AR$400,22,0))=TRUE," ",(VLOOKUP(D15,'Base de Datos'!$C$7:$AR$400,22,0)))</f>
        <v>Mensual</v>
      </c>
      <c r="BA15" s="475"/>
      <c r="BB15" s="485"/>
    </row>
    <row r="16" spans="1:54" ht="55.5" hidden="1" customHeight="1" x14ac:dyDescent="0.25">
      <c r="B16" s="438">
        <v>10</v>
      </c>
      <c r="C16" s="446" t="s">
        <v>1645</v>
      </c>
      <c r="D16" s="438">
        <v>131</v>
      </c>
      <c r="E16" s="446" t="s">
        <v>1646</v>
      </c>
      <c r="F16" s="447">
        <f>VLOOKUP(D16,'Presupuesto - PAA 2015'!$B$10:$E$265,4,0)</f>
        <v>30900000</v>
      </c>
      <c r="G16" s="439" t="str">
        <f>VLOOKUP(D16,'[3]Seguimiento Plan'!$C$2:$R$101,16,0)</f>
        <v>Prestar los servicios profesionales para apoyar la gestión administrativa, documental y contractual en los asuntos de competencia del Concejo de Bogotá.</v>
      </c>
      <c r="H16" s="439" t="s">
        <v>1779</v>
      </c>
      <c r="I16" s="439" t="s">
        <v>1714</v>
      </c>
      <c r="J16" s="448" t="s">
        <v>908</v>
      </c>
      <c r="K16" s="449" t="s">
        <v>390</v>
      </c>
      <c r="L16" s="449" t="str">
        <f>VLOOKUP(D16,'[3]Seguimiento Plan'!$C$2:$AJ$101,30,0)</f>
        <v>SI</v>
      </c>
      <c r="M16" s="450">
        <f>VLOOKUP(D16,'[3]Seguimiento Plan'!$C$2:$AJ$101,31,0)</f>
        <v>42033</v>
      </c>
      <c r="N16" s="449"/>
      <c r="O16" s="451"/>
      <c r="P16" s="451"/>
      <c r="Q16" s="451"/>
      <c r="R16" s="529"/>
      <c r="S16" s="355" t="s">
        <v>1587</v>
      </c>
      <c r="T16" s="347" t="s">
        <v>1071</v>
      </c>
      <c r="U16" s="455" t="str">
        <f>IF(ISERROR(VLOOKUP(T16,'Base de Datos'!$E$7:$AR$302,3,0))=TRUE," ",(VLOOKUP(T16,'Base de Datos'!$E$7:$AR$302,2,0)))</f>
        <v>CRISTIAN DAVID PARDO MARTINEZ</v>
      </c>
      <c r="V16" s="458">
        <f>IF(ISERROR(VLOOKUP(T16,'Base de Datos'!$E$7:$AR$302,5,0))=TRUE," ",(VLOOKUP(T16,'Base de Datos'!$E$7:$AR$302,5,0)))</f>
        <v>10000000</v>
      </c>
      <c r="W16" s="455">
        <f>IF(ISERROR(VLOOKUP(T16,'Base de Datos'!$E$7:$AR$302,19,0))=TRUE," ",(VLOOKUP(T16,'Base de Datos'!$E$7:$AR$302,19,0)))</f>
        <v>0</v>
      </c>
      <c r="X16" s="460" t="str">
        <f>IF(ISERROR(VLOOKUP(T16,'Base de Datos'!$E$7:$AR$302,8,0))=TRUE," ",(VLOOKUP(T16,'Base de Datos'!$E$7:$AR$302,8,0)))</f>
        <v xml:space="preserve"> </v>
      </c>
      <c r="Y16" s="460">
        <f>IF(ISERROR(VLOOKUP(T16,'Base de Datos'!$E$7:$AR$302,9,0))=TRUE," ",(VLOOKUP(T16,'Base de Datos'!$E$7:$AR$302,9,0)))</f>
        <v>41911</v>
      </c>
      <c r="Z16" s="454">
        <f>IF(ISERROR(VLOOKUP(T16,'Base de Datos'!$E$7:$AR$302,10,0))=TRUE," ",(VLOOKUP(T16,'Base de Datos'!$E$7:$AR$302,10,0)))</f>
        <v>42033</v>
      </c>
      <c r="AA16" s="457">
        <f>IF(ISERROR(VLOOKUP(T16,'Base de Datos'!$E$7:$AR$302,11,0))=TRUE," ",(VLOOKUP(T16,'Base de Datos'!$E$7:$AR$302,11,0)))</f>
        <v>0</v>
      </c>
      <c r="AB16" s="454">
        <f>IF(ISERROR(VLOOKUP(T16,'Base de Datos'!$E$7:$AR$302,12,0))=TRUE," ",(VLOOKUP(T16,'Base de Datos'!$E$7:$AR$302,12,0)))</f>
        <v>0</v>
      </c>
      <c r="AC16" s="454">
        <f>IF(ISERROR(VLOOKUP(T16,'Base de Datos'!$E$7:$AR$302,12,0))=TRUE," ",(VLOOKUP(T16,'Base de Datos'!$E$7:$AR$302,12,0)))</f>
        <v>0</v>
      </c>
      <c r="AD16" s="460" t="str">
        <f>IF(ISERROR(VLOOKUP(T16,'Base de Datos'!$E$7:$AR$302,15,0))=TRUE," ",(VLOOKUP(T16,'Base de Datos'!$E$7:$AR$302,15,0)))</f>
        <v/>
      </c>
      <c r="AE16" s="465">
        <f>IF(ISERROR(VLOOKUP(T16,'Base de Datos'!$E$7:$AR$302,16,0))=TRUE," ",(VLOOKUP(T16,'Base de Datos'!$E$7:$AR$302,16,0)))</f>
        <v>42033</v>
      </c>
      <c r="AF16" s="465">
        <f>IF(ISERROR(VLOOKUP(T16,'Base de Datos'!$E$7:$AR$302,17,0))=TRUE," ",(VLOOKUP(T16,'Base de Datos'!$E$7:$AR$302,17,0)))</f>
        <v>10000000</v>
      </c>
      <c r="AG16" s="465">
        <f>IF(ISERROR(VLOOKUP(T16,'Base de Datos'!$E$7:$AR$302,18,0))=TRUE," ",(VLOOKUP(T16,'Base de Datos'!$E$7:$AR$302,18,0)))</f>
        <v>10000000</v>
      </c>
      <c r="AH16" s="466"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6">
        <f>IF(ISERROR(VLOOKUP(T16,'Base de Datos'!$E$7:$AR$302,21,0))=TRUE," ",(VLOOKUP(T16,'Base de Datos'!$E$7:$AR$302,21,0)))</f>
        <v>1</v>
      </c>
      <c r="AJ16" s="460">
        <v>42066</v>
      </c>
      <c r="AK16" s="455" t="str">
        <f>IF(ISERROR(VLOOKUP(D16,'Base de Datos'!$C$7:$AR$400,2,0))=TRUE," ",(VLOOKUP(D16,'Base de Datos'!$C$7:$AR$400,2,0)))</f>
        <v>2015131</v>
      </c>
      <c r="AL16" s="455" t="str">
        <f>IF(ISERROR(VLOOKUP(D16,'Base de Datos'!$C$7:$AR$400,3,0))=TRUE," ",(VLOOKUP(D16,'Base de Datos'!$C$7:$AR$400,3,0)))</f>
        <v>150102-0-2015</v>
      </c>
      <c r="AM16" s="458"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8">
        <f>IF(ISERROR(VLOOKUP(D16,'Base de Datos'!$C$7:$AR$400,20,0))=TRUE," ",(VLOOKUP(D16,'Base de Datos'!$C$7:$AR$400,19,0)))</f>
        <v>30900000</v>
      </c>
      <c r="AO16" s="461">
        <f>IF(ISERROR(VLOOKUP(D16,'Base de Datos'!$C$7:$AR$400,9,0))=TRUE," ",(VLOOKUP(D16,'Base de Datos'!$C$7:$AR$400,9,0)))</f>
        <v>2015</v>
      </c>
      <c r="AP16" s="461">
        <f>IF(ISERROR(VLOOKUP(D16,'Base de Datos'!$C$7:$AR$400,10,0))=TRUE," ",(VLOOKUP(D16,'Base de Datos'!$C$7:$AR$400,10,0)))</f>
        <v>42066</v>
      </c>
      <c r="AQ16" s="463">
        <f>IF(ISERROR(VLOOKUP(D16,'Base de Datos'!$C$7:$AR$400,11,0))=TRUE," ",(VLOOKUP(D16,'Base de Datos'!$C$7:$AR$400,11,0)))</f>
        <v>42073</v>
      </c>
      <c r="AR16" s="464">
        <f>IF(ISERROR(VLOOKUP(D16,'Base de Datos'!$C$7:$AR$400,12,0))=TRUE," ",(VLOOKUP(D16,'Base de Datos'!$C$7:$AR$400,12,0)))</f>
        <v>42439</v>
      </c>
      <c r="AS16" s="463">
        <f>IF(ISERROR(VLOOKUP(D16,'Base de Datos'!$C$7:$AR$400,13,0))=TRUE," ",(VLOOKUP(D16,'Base de Datos'!$C$7:$AR$400,13,0)))</f>
        <v>0</v>
      </c>
      <c r="AT16" s="463">
        <f>IF(ISERROR(VLOOKUP(D16,'Base de Datos'!$C$7:$AR$400,14,0))=TRUE," ",(VLOOKUP(D16,'Base de Datos'!$C$7:$AR$400,14,0)))</f>
        <v>0</v>
      </c>
      <c r="AU16" s="461" t="str">
        <f>IF(ISERROR(VLOOKUP(D16,'Base de Datos'!$C$7:$AR$400,16,0))=TRUE," ",(VLOOKUP(D16,'Base de Datos'!$C$7:$AR$400,16,0)))</f>
        <v/>
      </c>
      <c r="AV16" s="465" t="str">
        <f>IF(ISERROR(VLOOKUP(D16,'Base de Datos'!$C$7:$AR$400,17,0))=TRUE," ",(VLOOKUP(D16,'Base de Datos'!$C$7:$AR$400,17,0)))</f>
        <v/>
      </c>
      <c r="AW16" s="465">
        <f>IF(ISERROR(VLOOKUP(D16,'Base de Datos'!$C$7:$AR$400,18,0))=TRUE," ",(VLOOKUP(D16,'Base de Datos'!$C$7:$AR$400,18,0)))</f>
        <v>42439</v>
      </c>
      <c r="AX16" s="465">
        <f>IF(ISERROR(VLOOKUP(D16,'Base de Datos'!$C$7:$AR$400,19,0))=TRUE," ",(VLOOKUP(D16,'Base de Datos'!$C$7:$AR$400,19,0)))</f>
        <v>30900000</v>
      </c>
      <c r="AY16" s="468">
        <f>IF(ISERROR(VLOOKUP(D16,'Base de Datos'!$C$7:$AR$400,21,0))=TRUE," ",(VLOOKUP(D16,'Base de Datos'!$C$7:$AR$400,21,0)))</f>
        <v>0</v>
      </c>
      <c r="AZ16" s="468" t="str">
        <f>IF(ISERROR(VLOOKUP(D16,'Base de Datos'!$C$7:$AR$400,22,0))=TRUE," ",(VLOOKUP(D16,'Base de Datos'!$C$7:$AR$400,22,0)))</f>
        <v>Mensual</v>
      </c>
      <c r="BA16" s="475"/>
      <c r="BB16" s="485"/>
    </row>
    <row r="17" spans="2:54" ht="55.5" hidden="1" customHeight="1" x14ac:dyDescent="0.25">
      <c r="B17" s="438">
        <v>11</v>
      </c>
      <c r="C17" s="446" t="s">
        <v>1645</v>
      </c>
      <c r="D17" s="438">
        <v>132</v>
      </c>
      <c r="E17" s="446" t="s">
        <v>1646</v>
      </c>
      <c r="F17" s="447">
        <f>VLOOKUP(D17,'Presupuesto - PAA 2015'!$B$10:$E$265,4,0)</f>
        <v>30900000</v>
      </c>
      <c r="G17" s="439" t="str">
        <f>VLOOKUP(D17,'[3]Seguimiento Plan'!$C$2:$R$101,16,0)</f>
        <v>Prestar los servicios profesionales para acompañar a la Oficina de Comunicaciones del Concejo de Bogotá en la implementación de estrategias comunicativas</v>
      </c>
      <c r="H17" s="439" t="s">
        <v>1779</v>
      </c>
      <c r="I17" s="439" t="s">
        <v>1714</v>
      </c>
      <c r="J17" s="448" t="s">
        <v>908</v>
      </c>
      <c r="K17" s="449" t="s">
        <v>390</v>
      </c>
      <c r="L17" s="449" t="str">
        <f>VLOOKUP(D17,'[3]Seguimiento Plan'!$C$2:$AJ$101,30,0)</f>
        <v>SI</v>
      </c>
      <c r="M17" s="450">
        <f>VLOOKUP(D17,'[3]Seguimiento Plan'!$C$2:$AJ$101,31,0)</f>
        <v>42025</v>
      </c>
      <c r="N17" s="449"/>
      <c r="O17" s="451"/>
      <c r="P17" s="451"/>
      <c r="Q17" s="451"/>
      <c r="R17" s="529"/>
      <c r="S17" s="355" t="s">
        <v>1579</v>
      </c>
      <c r="T17" s="453"/>
      <c r="U17" s="455" t="str">
        <f>IF(ISERROR(VLOOKUP(T17,'Base de Datos'!$E$7:$AR$302,3,0))=TRUE," ",(VLOOKUP(T17,'Base de Datos'!$E$7:$AR$302,2,0)))</f>
        <v xml:space="preserve"> </v>
      </c>
      <c r="V17" s="458" t="str">
        <f>IF(ISERROR(VLOOKUP(T17,'Base de Datos'!$E$7:$AR$302,5,0))=TRUE," ",(VLOOKUP(T17,'Base de Datos'!$E$7:$AR$302,5,0)))</f>
        <v xml:space="preserve"> </v>
      </c>
      <c r="W17" s="455" t="str">
        <f>IF(ISERROR(VLOOKUP(T17,'Base de Datos'!$E$7:$AR$302,19,0))=TRUE," ",(VLOOKUP(T17,'Base de Datos'!$E$7:$AR$302,19,0)))</f>
        <v xml:space="preserve"> </v>
      </c>
      <c r="X17" s="460" t="str">
        <f>IF(ISERROR(VLOOKUP(T17,'Base de Datos'!$E$7:$AR$302,8,0))=TRUE," ",(VLOOKUP(T17,'Base de Datos'!$E$7:$AR$302,8,0)))</f>
        <v xml:space="preserve"> </v>
      </c>
      <c r="Y17" s="460" t="str">
        <f>IF(ISERROR(VLOOKUP(T17,'Base de Datos'!$E$7:$AR$302,9,0))=TRUE," ",(VLOOKUP(T17,'Base de Datos'!$E$7:$AR$302,9,0)))</f>
        <v xml:space="preserve"> </v>
      </c>
      <c r="Z17" s="454" t="str">
        <f>IF(ISERROR(VLOOKUP(T17,'Base de Datos'!$E$7:$AR$302,10,0))=TRUE," ",(VLOOKUP(T17,'Base de Datos'!$E$7:$AR$302,10,0)))</f>
        <v xml:space="preserve"> </v>
      </c>
      <c r="AA17" s="457" t="str">
        <f>IF(ISERROR(VLOOKUP(T17,'Base de Datos'!$E$7:$AR$302,11,0))=TRUE," ",(VLOOKUP(T17,'Base de Datos'!$E$7:$AR$302,11,0)))</f>
        <v xml:space="preserve"> </v>
      </c>
      <c r="AB17" s="454" t="str">
        <f>IF(ISERROR(VLOOKUP(T17,'Base de Datos'!$E$7:$AR$302,12,0))=TRUE," ",(VLOOKUP(T17,'Base de Datos'!$E$7:$AR$302,12,0)))</f>
        <v xml:space="preserve"> </v>
      </c>
      <c r="AC17" s="454" t="str">
        <f>IF(ISERROR(VLOOKUP(T17,'Base de Datos'!$E$7:$AR$302,12,0))=TRUE," ",(VLOOKUP(T17,'Base de Datos'!$E$7:$AR$302,12,0)))</f>
        <v xml:space="preserve"> </v>
      </c>
      <c r="AD17" s="460" t="str">
        <f>IF(ISERROR(VLOOKUP(T17,'Base de Datos'!$E$7:$AR$302,15,0))=TRUE," ",(VLOOKUP(T17,'Base de Datos'!$E$7:$AR$302,15,0)))</f>
        <v xml:space="preserve"> </v>
      </c>
      <c r="AE17" s="465" t="str">
        <f>IF(ISERROR(VLOOKUP(T17,'Base de Datos'!$E$7:$AR$302,16,0))=TRUE," ",(VLOOKUP(T17,'Base de Datos'!$E$7:$AR$302,16,0)))</f>
        <v xml:space="preserve"> </v>
      </c>
      <c r="AF17" s="465" t="str">
        <f>IF(ISERROR(VLOOKUP(T17,'Base de Datos'!$E$7:$AR$302,17,0))=TRUE," ",(VLOOKUP(T17,'Base de Datos'!$E$7:$AR$302,17,0)))</f>
        <v xml:space="preserve"> </v>
      </c>
      <c r="AG17" s="465" t="str">
        <f>IF(ISERROR(VLOOKUP(T17,'Base de Datos'!$E$7:$AR$302,18,0))=TRUE," ",(VLOOKUP(T17,'Base de Datos'!$E$7:$AR$302,18,0)))</f>
        <v xml:space="preserve"> </v>
      </c>
      <c r="AH17" s="466" t="str">
        <f>IF(ISERROR(VLOOKUP(T17,'Base de Datos'!$E$7:$AR$302,20,0))=TRUE," ",(VLOOKUP(T17,'Base de Datos'!$E$7:$AR$302,20,0)))</f>
        <v xml:space="preserve"> </v>
      </c>
      <c r="AI17" s="466" t="str">
        <f>IF(ISERROR(VLOOKUP(T17,'Base de Datos'!$E$7:$AR$302,21,0))=TRUE," ",(VLOOKUP(T17,'Base de Datos'!$E$7:$AR$302,21,0)))</f>
        <v xml:space="preserve"> </v>
      </c>
      <c r="AJ17" s="460">
        <v>42055</v>
      </c>
      <c r="AK17" s="455" t="str">
        <f>IF(ISERROR(VLOOKUP(D17,'Base de Datos'!$C$7:$AR$400,2,0))=TRUE," ",(VLOOKUP(D17,'Base de Datos'!$C$7:$AR$400,2,0)))</f>
        <v>2015132</v>
      </c>
      <c r="AL17" s="455" t="str">
        <f>IF(ISERROR(VLOOKUP(D17,'Base de Datos'!$C$7:$AR$400,3,0))=TRUE," ",(VLOOKUP(D17,'Base de Datos'!$C$7:$AR$400,3,0)))</f>
        <v>150083-0-2015</v>
      </c>
      <c r="AM17" s="458" t="str">
        <f>IF(ISERROR(VLOOKUP(D17,'Base de Datos'!$C$7:$AR$4014,6,0))=TRUE," ",(VLOOKUP(D17,'Base de Datos'!$C$7:$AR$400,6,0)))</f>
        <v>Prestar servicios profesionales para acompañar la Oficina de Comunicaciones del Concejo de Bogotá en la implementación de estrategias comunicativas.</v>
      </c>
      <c r="AN17" s="458">
        <f>IF(ISERROR(VLOOKUP(D17,'Base de Datos'!$C$7:$AR$400,20,0))=TRUE," ",(VLOOKUP(D17,'Base de Datos'!$C$7:$AR$400,19,0)))</f>
        <v>30900000</v>
      </c>
      <c r="AO17" s="461">
        <f>IF(ISERROR(VLOOKUP(D17,'Base de Datos'!$C$7:$AR$400,9,0))=TRUE," ",(VLOOKUP(D17,'Base de Datos'!$C$7:$AR$400,9,0)))</f>
        <v>2015</v>
      </c>
      <c r="AP17" s="461">
        <f>IF(ISERROR(VLOOKUP(D17,'Base de Datos'!$C$7:$AR$400,10,0))=TRUE," ",(VLOOKUP(D17,'Base de Datos'!$C$7:$AR$400,10,0)))</f>
        <v>42055</v>
      </c>
      <c r="AQ17" s="463">
        <f>IF(ISERROR(VLOOKUP(D17,'Base de Datos'!$C$7:$AR$400,11,0))=TRUE," ",(VLOOKUP(D17,'Base de Datos'!$C$7:$AR$400,11,0)))</f>
        <v>42065</v>
      </c>
      <c r="AR17" s="464">
        <f>IF(ISERROR(VLOOKUP(D17,'Base de Datos'!$C$7:$AR$400,12,0))=TRUE," ",(VLOOKUP(D17,'Base de Datos'!$C$7:$AR$400,12,0)))</f>
        <v>42431</v>
      </c>
      <c r="AS17" s="463">
        <f>IF(ISERROR(VLOOKUP(D17,'Base de Datos'!$C$7:$AR$400,13,0))=TRUE," ",(VLOOKUP(D17,'Base de Datos'!$C$7:$AR$400,13,0)))</f>
        <v>0</v>
      </c>
      <c r="AT17" s="463">
        <f>IF(ISERROR(VLOOKUP(D17,'Base de Datos'!$C$7:$AR$400,14,0))=TRUE," ",(VLOOKUP(D17,'Base de Datos'!$C$7:$AR$400,14,0)))</f>
        <v>0</v>
      </c>
      <c r="AU17" s="461" t="str">
        <f>IF(ISERROR(VLOOKUP(D17,'Base de Datos'!$C$7:$AR$400,16,0))=TRUE," ",(VLOOKUP(D17,'Base de Datos'!$C$7:$AR$400,16,0)))</f>
        <v/>
      </c>
      <c r="AV17" s="465" t="str">
        <f>IF(ISERROR(VLOOKUP(D17,'Base de Datos'!$C$7:$AR$400,17,0))=TRUE," ",(VLOOKUP(D17,'Base de Datos'!$C$7:$AR$400,17,0)))</f>
        <v/>
      </c>
      <c r="AW17" s="465">
        <f>IF(ISERROR(VLOOKUP(D17,'Base de Datos'!$C$7:$AR$400,18,0))=TRUE," ",(VLOOKUP(D17,'Base de Datos'!$C$7:$AR$400,18,0)))</f>
        <v>42431</v>
      </c>
      <c r="AX17" s="465">
        <f>IF(ISERROR(VLOOKUP(D17,'Base de Datos'!$C$7:$AR$400,19,0))=TRUE," ",(VLOOKUP(D17,'Base de Datos'!$C$7:$AR$400,19,0)))</f>
        <v>30900000</v>
      </c>
      <c r="AY17" s="468">
        <f>IF(ISERROR(VLOOKUP(D17,'Base de Datos'!$C$7:$AR$400,21,0))=TRUE," ",(VLOOKUP(D17,'Base de Datos'!$C$7:$AR$400,21,0)))</f>
        <v>0</v>
      </c>
      <c r="AZ17" s="468" t="str">
        <f>IF(ISERROR(VLOOKUP(D17,'Base de Datos'!$C$7:$AR$400,22,0))=TRUE," ",(VLOOKUP(D17,'Base de Datos'!$C$7:$AR$400,22,0)))</f>
        <v>Mensual</v>
      </c>
      <c r="BA17" s="475"/>
      <c r="BB17" s="485"/>
    </row>
    <row r="18" spans="2:54" ht="55.5" hidden="1" customHeight="1" x14ac:dyDescent="0.25">
      <c r="B18" s="438">
        <v>12</v>
      </c>
      <c r="C18" s="446" t="s">
        <v>1645</v>
      </c>
      <c r="D18" s="438">
        <v>133</v>
      </c>
      <c r="E18" s="446" t="s">
        <v>1646</v>
      </c>
      <c r="F18" s="447">
        <f>VLOOKUP(D18,'Presupuesto - PAA 2015'!$B$10:$E$265,4,0)</f>
        <v>63654000</v>
      </c>
      <c r="G18" s="439" t="str">
        <f>VLOOKUP(D18,'[3]Seguimiento Plan'!$C$2:$R$101,16,0)</f>
        <v>Prestar los servicios profesionales para  apoyar al Concejo de Bogotá en el enlace con la Unidad Ejecutora 04 de la Secretaría Distrital de Hacienda para la liquidación y cierre de los expedientes contractuales</v>
      </c>
      <c r="H18" s="439" t="s">
        <v>1779</v>
      </c>
      <c r="I18" s="439" t="s">
        <v>1714</v>
      </c>
      <c r="J18" s="448" t="s">
        <v>908</v>
      </c>
      <c r="K18" s="449" t="s">
        <v>390</v>
      </c>
      <c r="L18" s="449" t="str">
        <f>VLOOKUP(D18,'[3]Seguimiento Plan'!$C$2:$AJ$101,30,0)</f>
        <v>SI</v>
      </c>
      <c r="M18" s="450">
        <f>VLOOKUP(D18,'[3]Seguimiento Plan'!$C$2:$AJ$101,31,0)</f>
        <v>42020</v>
      </c>
      <c r="N18" s="449"/>
      <c r="O18" s="451"/>
      <c r="P18" s="451"/>
      <c r="Q18" s="451"/>
      <c r="R18" s="529"/>
      <c r="S18" s="355" t="s">
        <v>1570</v>
      </c>
      <c r="T18" s="453"/>
      <c r="U18" s="455" t="str">
        <f>IF(ISERROR(VLOOKUP(T18,'Base de Datos'!$E$7:$AR$302,3,0))=TRUE," ",(VLOOKUP(T18,'Base de Datos'!$E$7:$AR$302,2,0)))</f>
        <v xml:space="preserve"> </v>
      </c>
      <c r="V18" s="458" t="str">
        <f>IF(ISERROR(VLOOKUP(T18,'Base de Datos'!$E$7:$AR$302,5,0))=TRUE," ",(VLOOKUP(T18,'Base de Datos'!$E$7:$AR$302,5,0)))</f>
        <v xml:space="preserve"> </v>
      </c>
      <c r="W18" s="455" t="str">
        <f>IF(ISERROR(VLOOKUP(T18,'Base de Datos'!$E$7:$AR$302,19,0))=TRUE," ",(VLOOKUP(T18,'Base de Datos'!$E$7:$AR$302,19,0)))</f>
        <v xml:space="preserve"> </v>
      </c>
      <c r="X18" s="460" t="str">
        <f>IF(ISERROR(VLOOKUP(T18,'Base de Datos'!$E$7:$AR$302,8,0))=TRUE," ",(VLOOKUP(T18,'Base de Datos'!$E$7:$AR$302,8,0)))</f>
        <v xml:space="preserve"> </v>
      </c>
      <c r="Y18" s="460" t="str">
        <f>IF(ISERROR(VLOOKUP(T18,'Base de Datos'!$E$7:$AR$302,9,0))=TRUE," ",(VLOOKUP(T18,'Base de Datos'!$E$7:$AR$302,9,0)))</f>
        <v xml:space="preserve"> </v>
      </c>
      <c r="Z18" s="454" t="str">
        <f>IF(ISERROR(VLOOKUP(T18,'Base de Datos'!$E$7:$AR$302,10,0))=TRUE," ",(VLOOKUP(T18,'Base de Datos'!$E$7:$AR$302,10,0)))</f>
        <v xml:space="preserve"> </v>
      </c>
      <c r="AA18" s="457" t="str">
        <f>IF(ISERROR(VLOOKUP(T18,'Base de Datos'!$E$7:$AR$302,11,0))=TRUE," ",(VLOOKUP(T18,'Base de Datos'!$E$7:$AR$302,11,0)))</f>
        <v xml:space="preserve"> </v>
      </c>
      <c r="AB18" s="454" t="str">
        <f>IF(ISERROR(VLOOKUP(T18,'Base de Datos'!$E$7:$AR$302,12,0))=TRUE," ",(VLOOKUP(T18,'Base de Datos'!$E$7:$AR$302,12,0)))</f>
        <v xml:space="preserve"> </v>
      </c>
      <c r="AC18" s="454" t="str">
        <f>IF(ISERROR(VLOOKUP(T18,'Base de Datos'!$E$7:$AR$302,12,0))=TRUE," ",(VLOOKUP(T18,'Base de Datos'!$E$7:$AR$302,12,0)))</f>
        <v xml:space="preserve"> </v>
      </c>
      <c r="AD18" s="460" t="str">
        <f>IF(ISERROR(VLOOKUP(T18,'Base de Datos'!$E$7:$AR$302,15,0))=TRUE," ",(VLOOKUP(T18,'Base de Datos'!$E$7:$AR$302,15,0)))</f>
        <v xml:space="preserve"> </v>
      </c>
      <c r="AE18" s="465" t="str">
        <f>IF(ISERROR(VLOOKUP(T18,'Base de Datos'!$E$7:$AR$302,16,0))=TRUE," ",(VLOOKUP(T18,'Base de Datos'!$E$7:$AR$302,16,0)))</f>
        <v xml:space="preserve"> </v>
      </c>
      <c r="AF18" s="465" t="str">
        <f>IF(ISERROR(VLOOKUP(T18,'Base de Datos'!$E$7:$AR$302,17,0))=TRUE," ",(VLOOKUP(T18,'Base de Datos'!$E$7:$AR$302,17,0)))</f>
        <v xml:space="preserve"> </v>
      </c>
      <c r="AG18" s="465" t="str">
        <f>IF(ISERROR(VLOOKUP(T18,'Base de Datos'!$E$7:$AR$302,18,0))=TRUE," ",(VLOOKUP(T18,'Base de Datos'!$E$7:$AR$302,18,0)))</f>
        <v xml:space="preserve"> </v>
      </c>
      <c r="AH18" s="466" t="str">
        <f>IF(ISERROR(VLOOKUP(T18,'Base de Datos'!$E$7:$AR$302,20,0))=TRUE," ",(VLOOKUP(T18,'Base de Datos'!$E$7:$AR$302,20,0)))</f>
        <v xml:space="preserve"> </v>
      </c>
      <c r="AI18" s="466" t="str">
        <f>IF(ISERROR(VLOOKUP(T18,'Base de Datos'!$E$7:$AR$302,21,0))=TRUE," ",(VLOOKUP(T18,'Base de Datos'!$E$7:$AR$302,21,0)))</f>
        <v xml:space="preserve"> </v>
      </c>
      <c r="AJ18" s="460">
        <v>42053</v>
      </c>
      <c r="AK18" s="455" t="str">
        <f>IF(ISERROR(VLOOKUP(D18,'Base de Datos'!$C$7:$AR$400,2,0))=TRUE," ",(VLOOKUP(D18,'Base de Datos'!$C$7:$AR$400,2,0)))</f>
        <v>2015133</v>
      </c>
      <c r="AL18" s="455" t="str">
        <f>IF(ISERROR(VLOOKUP(D18,'Base de Datos'!$C$7:$AR$400,3,0))=TRUE," ",(VLOOKUP(D18,'Base de Datos'!$C$7:$AR$400,3,0)))</f>
        <v>150076-0-2015</v>
      </c>
      <c r="AM18" s="458"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8">
        <f>IF(ISERROR(VLOOKUP(D18,'Base de Datos'!$C$7:$AR$400,20,0))=TRUE," ",(VLOOKUP(D18,'Base de Datos'!$C$7:$AR$400,19,0)))</f>
        <v>63654000</v>
      </c>
      <c r="AO18" s="461">
        <f>IF(ISERROR(VLOOKUP(D18,'Base de Datos'!$C$7:$AR$400,9,0))=TRUE," ",(VLOOKUP(D18,'Base de Datos'!$C$7:$AR$400,9,0)))</f>
        <v>2015</v>
      </c>
      <c r="AP18" s="461">
        <f>IF(ISERROR(VLOOKUP(D18,'Base de Datos'!$C$7:$AR$400,10,0))=TRUE," ",(VLOOKUP(D18,'Base de Datos'!$C$7:$AR$400,10,0)))</f>
        <v>42053</v>
      </c>
      <c r="AQ18" s="463">
        <f>IF(ISERROR(VLOOKUP(D18,'Base de Datos'!$C$7:$AR$400,11,0))=TRUE," ",(VLOOKUP(D18,'Base de Datos'!$C$7:$AR$400,11,0)))</f>
        <v>42054</v>
      </c>
      <c r="AR18" s="464">
        <f>IF(ISERROR(VLOOKUP(D18,'Base de Datos'!$C$7:$AR$400,12,0))=TRUE," ",(VLOOKUP(D18,'Base de Datos'!$C$7:$AR$400,12,0)))</f>
        <v>42419</v>
      </c>
      <c r="AS18" s="463">
        <f>IF(ISERROR(VLOOKUP(D18,'Base de Datos'!$C$7:$AR$400,13,0))=TRUE," ",(VLOOKUP(D18,'Base de Datos'!$C$7:$AR$400,13,0)))</f>
        <v>0</v>
      </c>
      <c r="AT18" s="463">
        <f>IF(ISERROR(VLOOKUP(D18,'Base de Datos'!$C$7:$AR$400,14,0))=TRUE," ",(VLOOKUP(D18,'Base de Datos'!$C$7:$AR$400,14,0)))</f>
        <v>0</v>
      </c>
      <c r="AU18" s="461" t="str">
        <f>IF(ISERROR(VLOOKUP(D18,'Base de Datos'!$C$7:$AR$400,16,0))=TRUE," ",(VLOOKUP(D18,'Base de Datos'!$C$7:$AR$400,16,0)))</f>
        <v/>
      </c>
      <c r="AV18" s="465" t="str">
        <f>IF(ISERROR(VLOOKUP(D18,'Base de Datos'!$C$7:$AR$400,17,0))=TRUE," ",(VLOOKUP(D18,'Base de Datos'!$C$7:$AR$400,17,0)))</f>
        <v/>
      </c>
      <c r="AW18" s="465">
        <f>IF(ISERROR(VLOOKUP(D18,'Base de Datos'!$C$7:$AR$400,18,0))=TRUE," ",(VLOOKUP(D18,'Base de Datos'!$C$7:$AR$400,18,0)))</f>
        <v>42419</v>
      </c>
      <c r="AX18" s="465">
        <f>IF(ISERROR(VLOOKUP(D18,'Base de Datos'!$C$7:$AR$400,19,0))=TRUE," ",(VLOOKUP(D18,'Base de Datos'!$C$7:$AR$400,19,0)))</f>
        <v>63654000</v>
      </c>
      <c r="AY18" s="468">
        <f>IF(ISERROR(VLOOKUP(D18,'Base de Datos'!$C$7:$AR$400,21,0))=TRUE," ",(VLOOKUP(D18,'Base de Datos'!$C$7:$AR$400,21,0)))</f>
        <v>0</v>
      </c>
      <c r="AZ18" s="468" t="str">
        <f>IF(ISERROR(VLOOKUP(D18,'Base de Datos'!$C$7:$AR$400,22,0))=TRUE," ",(VLOOKUP(D18,'Base de Datos'!$C$7:$AR$400,22,0)))</f>
        <v>Mensual</v>
      </c>
      <c r="BA18" s="475"/>
      <c r="BB18" s="485"/>
    </row>
    <row r="19" spans="2:54" ht="55.5" hidden="1" customHeight="1" x14ac:dyDescent="0.25">
      <c r="B19" s="438">
        <v>13</v>
      </c>
      <c r="C19" s="446" t="s">
        <v>1645</v>
      </c>
      <c r="D19" s="438">
        <v>134</v>
      </c>
      <c r="E19" s="446" t="s">
        <v>1646</v>
      </c>
      <c r="F19" s="447">
        <f>VLOOKUP(D19,'Presupuesto - PAA 2015'!$B$10:$E$265,4,0)</f>
        <v>6660000</v>
      </c>
      <c r="G19" s="439" t="str">
        <f>VLOOKUP(D19,'[3]Seguimiento Plan'!$C$2:$R$101,16,0)</f>
        <v>Prestar los servicios para la elaboracion del retrato sobre lienzo al oleo del Presidente de la Mesa Directiva del Concejo de Bogota.</v>
      </c>
      <c r="H19" s="439" t="s">
        <v>1779</v>
      </c>
      <c r="I19" s="439" t="s">
        <v>1713</v>
      </c>
      <c r="J19" s="448" t="s">
        <v>908</v>
      </c>
      <c r="K19" s="449"/>
      <c r="L19" s="449"/>
      <c r="M19" s="450"/>
      <c r="N19" s="449"/>
      <c r="O19" s="451"/>
      <c r="P19" s="451"/>
      <c r="Q19" s="451"/>
      <c r="R19" s="452"/>
      <c r="S19" s="452"/>
      <c r="T19" s="453"/>
      <c r="U19" s="455" t="str">
        <f>IF(ISERROR(VLOOKUP(T19,'Base de Datos'!$E$7:$AR$302,3,0))=TRUE," ",(VLOOKUP(T19,'Base de Datos'!$E$7:$AR$302,2,0)))</f>
        <v xml:space="preserve"> </v>
      </c>
      <c r="V19" s="458" t="str">
        <f>IF(ISERROR(VLOOKUP(T19,'Base de Datos'!$E$7:$AR$302,5,0))=TRUE," ",(VLOOKUP(T19,'Base de Datos'!$E$7:$AR$302,5,0)))</f>
        <v xml:space="preserve"> </v>
      </c>
      <c r="W19" s="455" t="str">
        <f>IF(ISERROR(VLOOKUP(T19,'Base de Datos'!$E$7:$AR$302,19,0))=TRUE," ",(VLOOKUP(T19,'Base de Datos'!$E$7:$AR$302,19,0)))</f>
        <v xml:space="preserve"> </v>
      </c>
      <c r="X19" s="460" t="str">
        <f>IF(ISERROR(VLOOKUP(T19,'Base de Datos'!$E$7:$AR$302,8,0))=TRUE," ",(VLOOKUP(T19,'Base de Datos'!$E$7:$AR$302,8,0)))</f>
        <v xml:space="preserve"> </v>
      </c>
      <c r="Y19" s="460" t="str">
        <f>IF(ISERROR(VLOOKUP(T19,'Base de Datos'!$E$7:$AR$302,9,0))=TRUE," ",(VLOOKUP(T19,'Base de Datos'!$E$7:$AR$302,9,0)))</f>
        <v xml:space="preserve"> </v>
      </c>
      <c r="Z19" s="454" t="str">
        <f>IF(ISERROR(VLOOKUP(T19,'Base de Datos'!$E$7:$AR$302,10,0))=TRUE," ",(VLOOKUP(T19,'Base de Datos'!$E$7:$AR$302,10,0)))</f>
        <v xml:space="preserve"> </v>
      </c>
      <c r="AA19" s="457" t="str">
        <f>IF(ISERROR(VLOOKUP(T19,'Base de Datos'!$E$7:$AR$302,11,0))=TRUE," ",(VLOOKUP(T19,'Base de Datos'!$E$7:$AR$302,11,0)))</f>
        <v xml:space="preserve"> </v>
      </c>
      <c r="AB19" s="454" t="str">
        <f>IF(ISERROR(VLOOKUP(T19,'Base de Datos'!$E$7:$AR$302,12,0))=TRUE," ",(VLOOKUP(T19,'Base de Datos'!$E$7:$AR$302,12,0)))</f>
        <v xml:space="preserve"> </v>
      </c>
      <c r="AC19" s="454" t="str">
        <f>IF(ISERROR(VLOOKUP(T19,'Base de Datos'!$E$7:$AR$302,12,0))=TRUE," ",(VLOOKUP(T19,'Base de Datos'!$E$7:$AR$302,12,0)))</f>
        <v xml:space="preserve"> </v>
      </c>
      <c r="AD19" s="460" t="str">
        <f>IF(ISERROR(VLOOKUP(T19,'Base de Datos'!$E$7:$AR$302,15,0))=TRUE," ",(VLOOKUP(T19,'Base de Datos'!$E$7:$AR$302,15,0)))</f>
        <v xml:space="preserve"> </v>
      </c>
      <c r="AE19" s="465" t="str">
        <f>IF(ISERROR(VLOOKUP(T19,'Base de Datos'!$E$7:$AR$302,16,0))=TRUE," ",(VLOOKUP(T19,'Base de Datos'!$E$7:$AR$302,16,0)))</f>
        <v xml:space="preserve"> </v>
      </c>
      <c r="AF19" s="465" t="str">
        <f>IF(ISERROR(VLOOKUP(T19,'Base de Datos'!$E$7:$AR$302,17,0))=TRUE," ",(VLOOKUP(T19,'Base de Datos'!$E$7:$AR$302,17,0)))</f>
        <v xml:space="preserve"> </v>
      </c>
      <c r="AG19" s="465" t="str">
        <f>IF(ISERROR(VLOOKUP(T19,'Base de Datos'!$E$7:$AR$302,18,0))=TRUE," ",(VLOOKUP(T19,'Base de Datos'!$E$7:$AR$302,18,0)))</f>
        <v xml:space="preserve"> </v>
      </c>
      <c r="AH19" s="466" t="str">
        <f>IF(ISERROR(VLOOKUP(T19,'Base de Datos'!$E$7:$AR$302,20,0))=TRUE," ",(VLOOKUP(T19,'Base de Datos'!$E$7:$AR$302,20,0)))</f>
        <v xml:space="preserve"> </v>
      </c>
      <c r="AI19" s="466" t="str">
        <f>IF(ISERROR(VLOOKUP(T19,'Base de Datos'!$E$7:$AR$302,21,0))=TRUE," ",(VLOOKUP(T19,'Base de Datos'!$E$7:$AR$302,21,0)))</f>
        <v xml:space="preserve"> </v>
      </c>
      <c r="AJ19" s="455"/>
      <c r="AK19" s="455" t="str">
        <f>IF(ISERROR(VLOOKUP(D19,'Base de Datos'!$C$7:$AR$400,2,0))=TRUE," ",(VLOOKUP(D19,'Base de Datos'!$C$7:$AR$400,2,0)))</f>
        <v>2015134</v>
      </c>
      <c r="AL19" s="455" t="str">
        <f>IF(ISERROR(VLOOKUP(D19,'Base de Datos'!$C$7:$AR$400,3,0))=TRUE," ",(VLOOKUP(D19,'Base de Datos'!$C$7:$AR$400,3,0)))</f>
        <v>150369-0-2015</v>
      </c>
      <c r="AM19" s="458" t="str">
        <f>IF(ISERROR(VLOOKUP(D19,'Base de Datos'!$C$7:$AR$4014,6,0))=TRUE," ",(VLOOKUP(D19,'Base de Datos'!$C$7:$AR$400,6,0)))</f>
        <v>PRESTAR LOS SERVICIOS PARA LA ELABORACIÓN DEL RETRATO SOBRE LIENZO AL ÓLEO DEL PRESIDENTE DE LA MESA DIRECTIVA DEL CONCEJO DE BOGOTÁ.</v>
      </c>
      <c r="AN19" s="458">
        <f>IF(ISERROR(VLOOKUP(D19,'Base de Datos'!$C$7:$AR$400,20,0))=TRUE," ",(VLOOKUP(D19,'Base de Datos'!$C$7:$AR$400,19,0)))</f>
        <v>6660000</v>
      </c>
      <c r="AO19" s="461">
        <f>IF(ISERROR(VLOOKUP(D19,'Base de Datos'!$C$7:$AR$400,9,0))=TRUE," ",(VLOOKUP(D19,'Base de Datos'!$C$7:$AR$400,9,0)))</f>
        <v>2015</v>
      </c>
      <c r="AP19" s="461">
        <f>IF(ISERROR(VLOOKUP(D19,'Base de Datos'!$C$7:$AR$400,10,0))=TRUE," ",(VLOOKUP(D19,'Base de Datos'!$C$7:$AR$400,10,0)))</f>
        <v>42284</v>
      </c>
      <c r="AQ19" s="463">
        <f>IF(ISERROR(VLOOKUP(D19,'Base de Datos'!$C$7:$AR$400,11,0))=TRUE," ",(VLOOKUP(D19,'Base de Datos'!$C$7:$AR$400,11,0)))</f>
        <v>42303</v>
      </c>
      <c r="AR19" s="464">
        <f>IF(ISERROR(VLOOKUP(D19,'Base de Datos'!$C$7:$AR$400,12,0))=TRUE," ",(VLOOKUP(D19,'Base de Datos'!$C$7:$AR$400,12,0)))</f>
        <v>42364</v>
      </c>
      <c r="AS19" s="463">
        <f>IF(ISERROR(VLOOKUP(D19,'Base de Datos'!$C$7:$AR$400,13,0))=TRUE," ",(VLOOKUP(D19,'Base de Datos'!$C$7:$AR$400,13,0)))</f>
        <v>0</v>
      </c>
      <c r="AT19" s="463">
        <f>IF(ISERROR(VLOOKUP(D19,'Base de Datos'!$C$7:$AR$400,14,0))=TRUE," ",(VLOOKUP(D19,'Base de Datos'!$C$7:$AR$400,14,0)))</f>
        <v>0</v>
      </c>
      <c r="AU19" s="461" t="str">
        <f>IF(ISERROR(VLOOKUP(D19,'Base de Datos'!$C$7:$AR$400,16,0))=TRUE," ",(VLOOKUP(D19,'Base de Datos'!$C$7:$AR$400,16,0)))</f>
        <v/>
      </c>
      <c r="AV19" s="465" t="str">
        <f>IF(ISERROR(VLOOKUP(D19,'Base de Datos'!$C$7:$AR$400,17,0))=TRUE," ",(VLOOKUP(D19,'Base de Datos'!$C$7:$AR$400,17,0)))</f>
        <v/>
      </c>
      <c r="AW19" s="465">
        <f>IF(ISERROR(VLOOKUP(D19,'Base de Datos'!$C$7:$AR$400,18,0))=TRUE," ",(VLOOKUP(D19,'Base de Datos'!$C$7:$AR$400,18,0)))</f>
        <v>42364</v>
      </c>
      <c r="AX19" s="465">
        <f>IF(ISERROR(VLOOKUP(D19,'Base de Datos'!$C$7:$AR$400,19,0))=TRUE," ",(VLOOKUP(D19,'Base de Datos'!$C$7:$AR$400,19,0)))</f>
        <v>6660000</v>
      </c>
      <c r="AY19" s="468">
        <f>IF(ISERROR(VLOOKUP(D19,'Base de Datos'!$C$7:$AR$400,21,0))=TRUE," ",(VLOOKUP(D19,'Base de Datos'!$C$7:$AR$400,21,0)))</f>
        <v>60000</v>
      </c>
      <c r="AZ19" s="468" t="str">
        <f>IF(ISERROR(VLOOKUP(D19,'Base de Datos'!$C$7:$AR$400,22,0))=TRUE," ",(VLOOKUP(D19,'Base de Datos'!$C$7:$AR$400,22,0)))</f>
        <v>Un único pago</v>
      </c>
      <c r="BA19" s="475"/>
      <c r="BB19" s="485"/>
    </row>
    <row r="20" spans="2:54" ht="55.5" hidden="1" customHeight="1" x14ac:dyDescent="0.25">
      <c r="B20" s="438">
        <v>14</v>
      </c>
      <c r="C20" s="446" t="s">
        <v>1645</v>
      </c>
      <c r="D20" s="438">
        <v>135</v>
      </c>
      <c r="E20" s="446" t="s">
        <v>1646</v>
      </c>
      <c r="F20" s="447">
        <f>VLOOKUP(D20,'Presupuesto - PAA 2015'!$B$10:$E$265,4,0)</f>
        <v>84000000</v>
      </c>
      <c r="G20" s="439" t="str">
        <f>VLOOKUP(D20,'[3]Seguimiento Plan'!$C$2:$R$101,16,0)</f>
        <v>Prestar los servicios profesionales para realizar acompañamiento y seguimiento a los procesos de adquisición de bienes y servicios y seguimiento a la ejecución de contratos para el Concejo de Bogotá D. C.</v>
      </c>
      <c r="H20" s="439" t="s">
        <v>1779</v>
      </c>
      <c r="I20" s="439" t="s">
        <v>1714</v>
      </c>
      <c r="J20" s="448" t="s">
        <v>908</v>
      </c>
      <c r="K20" s="449" t="s">
        <v>390</v>
      </c>
      <c r="L20" s="449" t="str">
        <f>VLOOKUP(D20,'[3]Seguimiento Plan'!$C$2:$AJ$101,30,0)</f>
        <v>SI</v>
      </c>
      <c r="M20" s="450">
        <f>VLOOKUP(D20,'[3]Seguimiento Plan'!$C$2:$AJ$101,31,0)</f>
        <v>42013</v>
      </c>
      <c r="N20" s="449"/>
      <c r="O20" s="451"/>
      <c r="P20" s="451"/>
      <c r="Q20" s="451"/>
      <c r="R20" s="452"/>
      <c r="S20" s="470" t="s">
        <v>1538</v>
      </c>
      <c r="T20" s="348" t="s">
        <v>555</v>
      </c>
      <c r="U20" s="455" t="str">
        <f>IF(ISERROR(VLOOKUP(T20,'Base de Datos'!$E$7:$AR$302,3,0))=TRUE," ",(VLOOKUP(T20,'Base de Datos'!$E$7:$AR$302,2,0)))</f>
        <v>NAYIVE CARRASCO PATIÑO</v>
      </c>
      <c r="V20" s="458">
        <f>IF(ISERROR(VLOOKUP(T20,'Base de Datos'!$E$7:$AR$302,5,0))=TRUE," ",(VLOOKUP(T20,'Base de Datos'!$E$7:$AR$302,5,0)))</f>
        <v>25000000</v>
      </c>
      <c r="W20" s="455">
        <f>IF(ISERROR(VLOOKUP(T20,'Base de Datos'!$E$7:$AR$302,19,0))=TRUE," ",(VLOOKUP(T20,'Base de Datos'!$E$7:$AR$302,19,0)))</f>
        <v>0</v>
      </c>
      <c r="X20" s="460" t="str">
        <f>IF(ISERROR(VLOOKUP(T20,'Base de Datos'!$E$7:$AR$302,8,0))=TRUE," ",(VLOOKUP(T20,'Base de Datos'!$E$7:$AR$302,8,0)))</f>
        <v xml:space="preserve"> </v>
      </c>
      <c r="Y20" s="460">
        <f>IF(ISERROR(VLOOKUP(T20,'Base de Datos'!$E$7:$AR$302,9,0))=TRUE," ",(VLOOKUP(T20,'Base de Datos'!$E$7:$AR$302,9,0)))</f>
        <v>41891</v>
      </c>
      <c r="Z20" s="454">
        <f>IF(ISERROR(VLOOKUP(T20,'Base de Datos'!$E$7:$AR$302,10,0))=TRUE," ",(VLOOKUP(T20,'Base de Datos'!$E$7:$AR$302,10,0)))</f>
        <v>42013</v>
      </c>
      <c r="AA20" s="457">
        <f>IF(ISERROR(VLOOKUP(T20,'Base de Datos'!$E$7:$AR$302,11,0))=TRUE," ",(VLOOKUP(T20,'Base de Datos'!$E$7:$AR$302,11,0)))</f>
        <v>0</v>
      </c>
      <c r="AB20" s="454">
        <f>IF(ISERROR(VLOOKUP(T20,'Base de Datos'!$E$7:$AR$302,12,0))=TRUE," ",(VLOOKUP(T20,'Base de Datos'!$E$7:$AR$302,12,0)))</f>
        <v>0</v>
      </c>
      <c r="AC20" s="454">
        <f>IF(ISERROR(VLOOKUP(T20,'Base de Datos'!$E$7:$AR$302,12,0))=TRUE," ",(VLOOKUP(T20,'Base de Datos'!$E$7:$AR$302,12,0)))</f>
        <v>0</v>
      </c>
      <c r="AD20" s="460" t="str">
        <f>IF(ISERROR(VLOOKUP(T20,'Base de Datos'!$E$7:$AR$302,15,0))=TRUE," ",(VLOOKUP(T20,'Base de Datos'!$E$7:$AR$302,15,0)))</f>
        <v/>
      </c>
      <c r="AE20" s="465">
        <f>IF(ISERROR(VLOOKUP(T20,'Base de Datos'!$E$7:$AR$302,16,0))=TRUE," ",(VLOOKUP(T20,'Base de Datos'!$E$7:$AR$302,16,0)))</f>
        <v>42013</v>
      </c>
      <c r="AF20" s="465">
        <f>IF(ISERROR(VLOOKUP(T20,'Base de Datos'!$E$7:$AR$302,17,0))=TRUE," ",(VLOOKUP(T20,'Base de Datos'!$E$7:$AR$302,17,0)))</f>
        <v>25000000</v>
      </c>
      <c r="AG20" s="465">
        <f>IF(ISERROR(VLOOKUP(T20,'Base de Datos'!$E$7:$AR$302,18,0))=TRUE," ",(VLOOKUP(T20,'Base de Datos'!$E$7:$AR$302,18,0)))</f>
        <v>25000000</v>
      </c>
      <c r="AH20" s="466"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6">
        <f>IF(ISERROR(VLOOKUP(T20,'Base de Datos'!$E$7:$AR$302,21,0))=TRUE," ",(VLOOKUP(T20,'Base de Datos'!$E$7:$AR$302,21,0)))</f>
        <v>1</v>
      </c>
      <c r="AJ20" s="460">
        <v>42027</v>
      </c>
      <c r="AK20" s="455" t="str">
        <f>IF(ISERROR(VLOOKUP(D20,'Base de Datos'!$C$7:$AR$400,2,0))=TRUE," ",(VLOOKUP(D20,'Base de Datos'!$C$7:$AR$400,2,0)))</f>
        <v>2015135</v>
      </c>
      <c r="AL20" s="455" t="str">
        <f>IF(ISERROR(VLOOKUP(D20,'Base de Datos'!$C$7:$AR$400,3,0))=TRUE," ",(VLOOKUP(D20,'Base de Datos'!$C$7:$AR$400,3,0)))</f>
        <v>150028-0-2015</v>
      </c>
      <c r="AM20" s="458"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8">
        <f>IF(ISERROR(VLOOKUP(D20,'Base de Datos'!$C$7:$AR$400,20,0))=TRUE," ",(VLOOKUP(D20,'Base de Datos'!$C$7:$AR$400,19,0)))</f>
        <v>84000000</v>
      </c>
      <c r="AO20" s="461">
        <f>IF(ISERROR(VLOOKUP(D20,'Base de Datos'!$C$7:$AR$400,9,0))=TRUE," ",(VLOOKUP(D20,'Base de Datos'!$C$7:$AR$400,9,0)))</f>
        <v>2015</v>
      </c>
      <c r="AP20" s="461">
        <f>IF(ISERROR(VLOOKUP(D20,'Base de Datos'!$C$7:$AR$400,10,0))=TRUE," ",(VLOOKUP(D20,'Base de Datos'!$C$7:$AR$400,10,0)))</f>
        <v>42027</v>
      </c>
      <c r="AQ20" s="463">
        <f>IF(ISERROR(VLOOKUP(D20,'Base de Datos'!$C$7:$AR$400,11,0))=TRUE," ",(VLOOKUP(D20,'Base de Datos'!$C$7:$AR$400,11,0)))</f>
        <v>42031</v>
      </c>
      <c r="AR20" s="464">
        <f>IF(ISERROR(VLOOKUP(D20,'Base de Datos'!$C$7:$AR$400,12,0))=TRUE," ",(VLOOKUP(D20,'Base de Datos'!$C$7:$AR$400,12,0)))</f>
        <v>42396</v>
      </c>
      <c r="AS20" s="463">
        <f>IF(ISERROR(VLOOKUP(D20,'Base de Datos'!$C$7:$AR$400,13,0))=TRUE," ",(VLOOKUP(D20,'Base de Datos'!$C$7:$AR$400,13,0)))</f>
        <v>0</v>
      </c>
      <c r="AT20" s="463">
        <f>IF(ISERROR(VLOOKUP(D20,'Base de Datos'!$C$7:$AR$400,14,0))=TRUE," ",(VLOOKUP(D20,'Base de Datos'!$C$7:$AR$400,14,0)))</f>
        <v>0</v>
      </c>
      <c r="AU20" s="461" t="str">
        <f>IF(ISERROR(VLOOKUP(D20,'Base de Datos'!$C$7:$AR$400,16,0))=TRUE," ",(VLOOKUP(D20,'Base de Datos'!$C$7:$AR$400,16,0)))</f>
        <v/>
      </c>
      <c r="AV20" s="465" t="str">
        <f>IF(ISERROR(VLOOKUP(D20,'Base de Datos'!$C$7:$AR$400,17,0))=TRUE," ",(VLOOKUP(D20,'Base de Datos'!$C$7:$AR$400,17,0)))</f>
        <v/>
      </c>
      <c r="AW20" s="465">
        <f>IF(ISERROR(VLOOKUP(D20,'Base de Datos'!$C$7:$AR$400,18,0))=TRUE," ",(VLOOKUP(D20,'Base de Datos'!$C$7:$AR$400,18,0)))</f>
        <v>42396</v>
      </c>
      <c r="AX20" s="465">
        <f>IF(ISERROR(VLOOKUP(D20,'Base de Datos'!$C$7:$AR$400,19,0))=TRUE," ",(VLOOKUP(D20,'Base de Datos'!$C$7:$AR$400,19,0)))</f>
        <v>84000000</v>
      </c>
      <c r="AY20" s="468">
        <f>IF(ISERROR(VLOOKUP(D20,'Base de Datos'!$C$7:$AR$400,21,0))=TRUE," ",(VLOOKUP(D20,'Base de Datos'!$C$7:$AR$400,21,0)))</f>
        <v>0</v>
      </c>
      <c r="AZ20" s="468" t="str">
        <f>IF(ISERROR(VLOOKUP(D20,'Base de Datos'!$C$7:$AR$400,22,0))=TRUE," ",(VLOOKUP(D20,'Base de Datos'!$C$7:$AR$400,22,0)))</f>
        <v>Mensuales</v>
      </c>
      <c r="BA20" s="475"/>
      <c r="BB20" s="485"/>
    </row>
    <row r="21" spans="2:54" ht="55.5" hidden="1" customHeight="1" x14ac:dyDescent="0.25">
      <c r="B21" s="438">
        <v>15</v>
      </c>
      <c r="C21" s="446" t="s">
        <v>1645</v>
      </c>
      <c r="D21" s="438">
        <v>136</v>
      </c>
      <c r="E21" s="446" t="s">
        <v>1646</v>
      </c>
      <c r="F21" s="447">
        <f>VLOOKUP(D21,'Presupuesto - PAA 2015'!$B$10:$E$265,4,0)</f>
        <v>43260000</v>
      </c>
      <c r="G21" s="439" t="str">
        <f>VLOOKUP(D21,'[3]Seguimiento Plan'!$C$2:$R$101,16,0)</f>
        <v>Prestar los servicios profesionales para sistematizar y consolidar la informacion de los trámites contractuales a cargo del proceso administrativo y finanaciero del Concejo de Bogotá</v>
      </c>
      <c r="H21" s="439" t="s">
        <v>1779</v>
      </c>
      <c r="I21" s="439" t="s">
        <v>1714</v>
      </c>
      <c r="J21" s="448" t="s">
        <v>908</v>
      </c>
      <c r="K21" s="449" t="s">
        <v>390</v>
      </c>
      <c r="L21" s="449" t="str">
        <f>VLOOKUP(D21,'[3]Seguimiento Plan'!$C$2:$AJ$101,30,0)</f>
        <v>SI</v>
      </c>
      <c r="M21" s="450">
        <f>VLOOKUP(D21,'[3]Seguimiento Plan'!$C$2:$AJ$101,31,0)</f>
        <v>42025</v>
      </c>
      <c r="N21" s="449"/>
      <c r="O21" s="451"/>
      <c r="P21" s="451"/>
      <c r="Q21" s="451"/>
      <c r="R21" s="529"/>
      <c r="S21" s="355" t="s">
        <v>1560</v>
      </c>
      <c r="T21" s="350" t="s">
        <v>1069</v>
      </c>
      <c r="U21" s="455" t="str">
        <f>IF(ISERROR(VLOOKUP(T21,'Base de Datos'!$E$7:$AR$302,3,0))=TRUE," ",(VLOOKUP(T21,'Base de Datos'!$E$7:$AR$302,2,0)))</f>
        <v>LIZETH  GONZÁLEZ VARGAS</v>
      </c>
      <c r="V21" s="458">
        <f>IF(ISERROR(VLOOKUP(T21,'Base de Datos'!$E$7:$AR$302,5,0))=TRUE," ",(VLOOKUP(T21,'Base de Datos'!$E$7:$AR$302,5,0)))</f>
        <v>17500000</v>
      </c>
      <c r="W21" s="455">
        <f>IF(ISERROR(VLOOKUP(T21,'Base de Datos'!$E$7:$AR$302,19,0))=TRUE," ",(VLOOKUP(T21,'Base de Datos'!$E$7:$AR$302,19,0)))</f>
        <v>0</v>
      </c>
      <c r="X21" s="460" t="str">
        <f>IF(ISERROR(VLOOKUP(T21,'Base de Datos'!$E$7:$AR$302,8,0))=TRUE," ",(VLOOKUP(T21,'Base de Datos'!$E$7:$AR$302,8,0)))</f>
        <v xml:space="preserve"> </v>
      </c>
      <c r="Y21" s="460">
        <f>IF(ISERROR(VLOOKUP(T21,'Base de Datos'!$E$7:$AR$302,9,0))=TRUE," ",(VLOOKUP(T21,'Base de Datos'!$E$7:$AR$302,9,0)))</f>
        <v>41900</v>
      </c>
      <c r="Z21" s="454">
        <f>IF(ISERROR(VLOOKUP(T21,'Base de Datos'!$E$7:$AR$302,10,0))=TRUE," ",(VLOOKUP(T21,'Base de Datos'!$E$7:$AR$302,10,0)))</f>
        <v>42053</v>
      </c>
      <c r="AA21" s="457">
        <f>IF(ISERROR(VLOOKUP(T21,'Base de Datos'!$E$7:$AR$302,11,0))=TRUE," ",(VLOOKUP(T21,'Base de Datos'!$E$7:$AR$302,11,0)))</f>
        <v>0</v>
      </c>
      <c r="AB21" s="454">
        <f>IF(ISERROR(VLOOKUP(T21,'Base de Datos'!$E$7:$AR$302,12,0))=TRUE," ",(VLOOKUP(T21,'Base de Datos'!$E$7:$AR$302,12,0)))</f>
        <v>0</v>
      </c>
      <c r="AC21" s="454">
        <f>IF(ISERROR(VLOOKUP(T21,'Base de Datos'!$E$7:$AR$302,12,0))=TRUE," ",(VLOOKUP(T21,'Base de Datos'!$E$7:$AR$302,12,0)))</f>
        <v>0</v>
      </c>
      <c r="AD21" s="460" t="str">
        <f>IF(ISERROR(VLOOKUP(T21,'Base de Datos'!$E$7:$AR$302,15,0))=TRUE," ",(VLOOKUP(T21,'Base de Datos'!$E$7:$AR$302,15,0)))</f>
        <v/>
      </c>
      <c r="AE21" s="465">
        <f>IF(ISERROR(VLOOKUP(T21,'Base de Datos'!$E$7:$AR$302,16,0))=TRUE," ",(VLOOKUP(T21,'Base de Datos'!$E$7:$AR$302,16,0)))</f>
        <v>42053</v>
      </c>
      <c r="AF21" s="465">
        <f>IF(ISERROR(VLOOKUP(T21,'Base de Datos'!$E$7:$AR$302,17,0))=TRUE," ",(VLOOKUP(T21,'Base de Datos'!$E$7:$AR$302,17,0)))</f>
        <v>17500000</v>
      </c>
      <c r="AG21" s="465">
        <f>IF(ISERROR(VLOOKUP(T21,'Base de Datos'!$E$7:$AR$302,18,0))=TRUE," ",(VLOOKUP(T21,'Base de Datos'!$E$7:$AR$302,18,0)))</f>
        <v>17500000</v>
      </c>
      <c r="AH21" s="466"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6">
        <f>IF(ISERROR(VLOOKUP(T21,'Base de Datos'!$E$7:$AR$302,21,0))=TRUE," ",(VLOOKUP(T21,'Base de Datos'!$E$7:$AR$302,21,0)))</f>
        <v>1</v>
      </c>
      <c r="AJ21" s="460">
        <v>42054</v>
      </c>
      <c r="AK21" s="455" t="str">
        <f>IF(ISERROR(VLOOKUP(D21,'Base de Datos'!$C$7:$AR$400,2,0))=TRUE," ",(VLOOKUP(D21,'Base de Datos'!$C$7:$AR$400,2,0)))</f>
        <v>2015136</v>
      </c>
      <c r="AL21" s="455" t="str">
        <f>IF(ISERROR(VLOOKUP(D21,'Base de Datos'!$C$7:$AR$400,3,0))=TRUE," ",(VLOOKUP(D21,'Base de Datos'!$C$7:$AR$400,3,0)))</f>
        <v>150080-0-2015</v>
      </c>
      <c r="AM21" s="458"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8">
        <f>IF(ISERROR(VLOOKUP(D21,'Base de Datos'!$C$7:$AR$400,20,0))=TRUE," ",(VLOOKUP(D21,'Base de Datos'!$C$7:$AR$400,19,0)))</f>
        <v>43260000</v>
      </c>
      <c r="AO21" s="461">
        <f>IF(ISERROR(VLOOKUP(D21,'Base de Datos'!$C$7:$AR$400,9,0))=TRUE," ",(VLOOKUP(D21,'Base de Datos'!$C$7:$AR$400,9,0)))</f>
        <v>2015</v>
      </c>
      <c r="AP21" s="461">
        <f>IF(ISERROR(VLOOKUP(D21,'Base de Datos'!$C$7:$AR$400,10,0))=TRUE," ",(VLOOKUP(D21,'Base de Datos'!$C$7:$AR$400,10,0)))</f>
        <v>42054</v>
      </c>
      <c r="AQ21" s="463">
        <f>IF(ISERROR(VLOOKUP(D21,'Base de Datos'!$C$7:$AR$400,11,0))=TRUE," ",(VLOOKUP(D21,'Base de Datos'!$C$7:$AR$400,11,0)))</f>
        <v>42060</v>
      </c>
      <c r="AR21" s="464">
        <f>IF(ISERROR(VLOOKUP(D21,'Base de Datos'!$C$7:$AR$400,12,0))=TRUE," ",(VLOOKUP(D21,'Base de Datos'!$C$7:$AR$400,12,0)))</f>
        <v>42425</v>
      </c>
      <c r="AS21" s="463">
        <f>IF(ISERROR(VLOOKUP(D21,'Base de Datos'!$C$7:$AR$400,13,0))=TRUE," ",(VLOOKUP(D21,'Base de Datos'!$C$7:$AR$400,13,0)))</f>
        <v>0</v>
      </c>
      <c r="AT21" s="463">
        <f>IF(ISERROR(VLOOKUP(D21,'Base de Datos'!$C$7:$AR$400,14,0))=TRUE," ",(VLOOKUP(D21,'Base de Datos'!$C$7:$AR$400,14,0)))</f>
        <v>0</v>
      </c>
      <c r="AU21" s="461" t="str">
        <f>IF(ISERROR(VLOOKUP(D21,'Base de Datos'!$C$7:$AR$400,16,0))=TRUE," ",(VLOOKUP(D21,'Base de Datos'!$C$7:$AR$400,16,0)))</f>
        <v/>
      </c>
      <c r="AV21" s="465" t="str">
        <f>IF(ISERROR(VLOOKUP(D21,'Base de Datos'!$C$7:$AR$400,17,0))=TRUE," ",(VLOOKUP(D21,'Base de Datos'!$C$7:$AR$400,17,0)))</f>
        <v/>
      </c>
      <c r="AW21" s="465">
        <f>IF(ISERROR(VLOOKUP(D21,'Base de Datos'!$C$7:$AR$400,18,0))=TRUE," ",(VLOOKUP(D21,'Base de Datos'!$C$7:$AR$400,18,0)))</f>
        <v>42425</v>
      </c>
      <c r="AX21" s="465">
        <f>IF(ISERROR(VLOOKUP(D21,'Base de Datos'!$C$7:$AR$400,19,0))=TRUE," ",(VLOOKUP(D21,'Base de Datos'!$C$7:$AR$400,19,0)))</f>
        <v>43260000</v>
      </c>
      <c r="AY21" s="468">
        <f>IF(ISERROR(VLOOKUP(D21,'Base de Datos'!$C$7:$AR$400,21,0))=TRUE," ",(VLOOKUP(D21,'Base de Datos'!$C$7:$AR$400,21,0)))</f>
        <v>0</v>
      </c>
      <c r="AZ21" s="468" t="str">
        <f>IF(ISERROR(VLOOKUP(D21,'Base de Datos'!$C$7:$AR$400,22,0))=TRUE," ",(VLOOKUP(D21,'Base de Datos'!$C$7:$AR$400,22,0)))</f>
        <v>Mensual</v>
      </c>
      <c r="BA21" s="475"/>
      <c r="BB21" s="485"/>
    </row>
    <row r="22" spans="2:54" ht="55.5" hidden="1" customHeight="1" x14ac:dyDescent="0.25">
      <c r="B22" s="438">
        <v>16</v>
      </c>
      <c r="C22" s="446" t="s">
        <v>1645</v>
      </c>
      <c r="D22" s="438">
        <v>137</v>
      </c>
      <c r="E22" s="446" t="s">
        <v>1646</v>
      </c>
      <c r="F22" s="447">
        <f>VLOOKUP(D22,'Presupuesto - PAA 2015'!$B$10:$E$265,4,0)</f>
        <v>63654000</v>
      </c>
      <c r="G22" s="439" t="str">
        <f>VLOOKUP(D22,'[3]Seguimiento Plan'!$C$2:$R$101,16,0)</f>
        <v>Prestar los servicios profesionales para acompañar la definición de especificaciones y condiciones técnicas para la adquisición de bienes y servicios relacionadas con tecnología e informática</v>
      </c>
      <c r="H22" s="439" t="s">
        <v>1779</v>
      </c>
      <c r="I22" s="439" t="s">
        <v>1714</v>
      </c>
      <c r="J22" s="448" t="s">
        <v>908</v>
      </c>
      <c r="K22" s="449" t="s">
        <v>390</v>
      </c>
      <c r="L22" s="449" t="str">
        <f>VLOOKUP(D22,'[3]Seguimiento Plan'!$C$2:$AJ$101,30,0)</f>
        <v>SI</v>
      </c>
      <c r="M22" s="450">
        <f>VLOOKUP(D22,'[3]Seguimiento Plan'!$C$2:$AJ$101,31,0)</f>
        <v>42025</v>
      </c>
      <c r="N22" s="449"/>
      <c r="O22" s="451"/>
      <c r="P22" s="451"/>
      <c r="Q22" s="451"/>
      <c r="R22" s="529"/>
      <c r="S22" s="355" t="s">
        <v>1555</v>
      </c>
      <c r="T22" s="453"/>
      <c r="U22" s="455" t="str">
        <f>IF(ISERROR(VLOOKUP(T22,'Base de Datos'!$E$7:$AR$302,3,0))=TRUE," ",(VLOOKUP(T22,'Base de Datos'!$E$7:$AR$302,2,0)))</f>
        <v xml:space="preserve"> </v>
      </c>
      <c r="V22" s="458" t="str">
        <f>IF(ISERROR(VLOOKUP(T22,'Base de Datos'!$E$7:$AR$302,5,0))=TRUE," ",(VLOOKUP(T22,'Base de Datos'!$E$7:$AR$302,5,0)))</f>
        <v xml:space="preserve"> </v>
      </c>
      <c r="W22" s="455" t="str">
        <f>IF(ISERROR(VLOOKUP(T22,'Base de Datos'!$E$7:$AR$302,19,0))=TRUE," ",(VLOOKUP(T22,'Base de Datos'!$E$7:$AR$302,19,0)))</f>
        <v xml:space="preserve"> </v>
      </c>
      <c r="X22" s="460" t="str">
        <f>IF(ISERROR(VLOOKUP(T22,'Base de Datos'!$E$7:$AR$302,8,0))=TRUE," ",(VLOOKUP(T22,'Base de Datos'!$E$7:$AR$302,8,0)))</f>
        <v xml:space="preserve"> </v>
      </c>
      <c r="Y22" s="460" t="str">
        <f>IF(ISERROR(VLOOKUP(T22,'Base de Datos'!$E$7:$AR$302,9,0))=TRUE," ",(VLOOKUP(T22,'Base de Datos'!$E$7:$AR$302,9,0)))</f>
        <v xml:space="preserve"> </v>
      </c>
      <c r="Z22" s="454" t="str">
        <f>IF(ISERROR(VLOOKUP(T22,'Base de Datos'!$E$7:$AR$302,10,0))=TRUE," ",(VLOOKUP(T22,'Base de Datos'!$E$7:$AR$302,10,0)))</f>
        <v xml:space="preserve"> </v>
      </c>
      <c r="AA22" s="457" t="str">
        <f>IF(ISERROR(VLOOKUP(T22,'Base de Datos'!$E$7:$AR$302,11,0))=TRUE," ",(VLOOKUP(T22,'Base de Datos'!$E$7:$AR$302,11,0)))</f>
        <v xml:space="preserve"> </v>
      </c>
      <c r="AB22" s="454" t="str">
        <f>IF(ISERROR(VLOOKUP(T22,'Base de Datos'!$E$7:$AR$302,12,0))=TRUE," ",(VLOOKUP(T22,'Base de Datos'!$E$7:$AR$302,12,0)))</f>
        <v xml:space="preserve"> </v>
      </c>
      <c r="AC22" s="454" t="str">
        <f>IF(ISERROR(VLOOKUP(T22,'Base de Datos'!$E$7:$AR$302,12,0))=TRUE," ",(VLOOKUP(T22,'Base de Datos'!$E$7:$AR$302,12,0)))</f>
        <v xml:space="preserve"> </v>
      </c>
      <c r="AD22" s="460" t="str">
        <f>IF(ISERROR(VLOOKUP(T22,'Base de Datos'!$E$7:$AR$302,15,0))=TRUE," ",(VLOOKUP(T22,'Base de Datos'!$E$7:$AR$302,15,0)))</f>
        <v xml:space="preserve"> </v>
      </c>
      <c r="AE22" s="465" t="str">
        <f>IF(ISERROR(VLOOKUP(T22,'Base de Datos'!$E$7:$AR$302,16,0))=TRUE," ",(VLOOKUP(T22,'Base de Datos'!$E$7:$AR$302,16,0)))</f>
        <v xml:space="preserve"> </v>
      </c>
      <c r="AF22" s="465" t="str">
        <f>IF(ISERROR(VLOOKUP(T22,'Base de Datos'!$E$7:$AR$302,17,0))=TRUE," ",(VLOOKUP(T22,'Base de Datos'!$E$7:$AR$302,17,0)))</f>
        <v xml:space="preserve"> </v>
      </c>
      <c r="AG22" s="465" t="str">
        <f>IF(ISERROR(VLOOKUP(T22,'Base de Datos'!$E$7:$AR$302,18,0))=TRUE," ",(VLOOKUP(T22,'Base de Datos'!$E$7:$AR$302,18,0)))</f>
        <v xml:space="preserve"> </v>
      </c>
      <c r="AH22" s="466" t="str">
        <f>IF(ISERROR(VLOOKUP(T22,'Base de Datos'!$E$7:$AR$302,20,0))=TRUE," ",(VLOOKUP(T22,'Base de Datos'!$E$7:$AR$302,20,0)))</f>
        <v xml:space="preserve"> </v>
      </c>
      <c r="AI22" s="466" t="str">
        <f>IF(ISERROR(VLOOKUP(T22,'Base de Datos'!$E$7:$AR$302,21,0))=TRUE," ",(VLOOKUP(T22,'Base de Datos'!$E$7:$AR$302,21,0)))</f>
        <v xml:space="preserve"> </v>
      </c>
      <c r="AJ22" s="460">
        <v>42044</v>
      </c>
      <c r="AK22" s="455" t="str">
        <f>IF(ISERROR(VLOOKUP(D22,'Base de Datos'!$C$7:$AR$400,2,0))=TRUE," ",(VLOOKUP(D22,'Base de Datos'!$C$7:$AR$400,2,0)))</f>
        <v>2015137</v>
      </c>
      <c r="AL22" s="455" t="str">
        <f>IF(ISERROR(VLOOKUP(D22,'Base de Datos'!$C$7:$AR$400,3,0))=TRUE," ",(VLOOKUP(D22,'Base de Datos'!$C$7:$AR$400,3,0)))</f>
        <v>150053-0-2015</v>
      </c>
      <c r="AM22" s="458"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8">
        <f>IF(ISERROR(VLOOKUP(D22,'Base de Datos'!$C$7:$AR$400,20,0))=TRUE," ",(VLOOKUP(D22,'Base de Datos'!$C$7:$AR$400,19,0)))</f>
        <v>63654000</v>
      </c>
      <c r="AO22" s="461">
        <f>IF(ISERROR(VLOOKUP(D22,'Base de Datos'!$C$7:$AR$400,9,0))=TRUE," ",(VLOOKUP(D22,'Base de Datos'!$C$7:$AR$400,9,0)))</f>
        <v>2015</v>
      </c>
      <c r="AP22" s="461">
        <f>IF(ISERROR(VLOOKUP(D22,'Base de Datos'!$C$7:$AR$400,10,0))=TRUE," ",(VLOOKUP(D22,'Base de Datos'!$C$7:$AR$400,10,0)))</f>
        <v>42044</v>
      </c>
      <c r="AQ22" s="463">
        <f>IF(ISERROR(VLOOKUP(D22,'Base de Datos'!$C$7:$AR$400,11,0))=TRUE," ",(VLOOKUP(D22,'Base de Datos'!$C$7:$AR$400,11,0)))</f>
        <v>42045</v>
      </c>
      <c r="AR22" s="464">
        <f>IF(ISERROR(VLOOKUP(D22,'Base de Datos'!$C$7:$AR$400,12,0))=TRUE," ",(VLOOKUP(D22,'Base de Datos'!$C$7:$AR$400,12,0)))</f>
        <v>42379</v>
      </c>
      <c r="AS22" s="463">
        <f>IF(ISERROR(VLOOKUP(D22,'Base de Datos'!$C$7:$AR$400,13,0))=TRUE," ",(VLOOKUP(D22,'Base de Datos'!$C$7:$AR$400,13,0)))</f>
        <v>0</v>
      </c>
      <c r="AT22" s="463">
        <f>IF(ISERROR(VLOOKUP(D22,'Base de Datos'!$C$7:$AR$400,14,0))=TRUE," ",(VLOOKUP(D22,'Base de Datos'!$C$7:$AR$400,14,0)))</f>
        <v>0</v>
      </c>
      <c r="AU22" s="461" t="str">
        <f>IF(ISERROR(VLOOKUP(D22,'Base de Datos'!$C$7:$AR$400,16,0))=TRUE," ",(VLOOKUP(D22,'Base de Datos'!$C$7:$AR$400,16,0)))</f>
        <v>1 mes</v>
      </c>
      <c r="AV22" s="465">
        <f>IF(ISERROR(VLOOKUP(D22,'Base de Datos'!$C$7:$AR$400,17,0))=TRUE," ",(VLOOKUP(D22,'Base de Datos'!$C$7:$AR$400,17,0)))</f>
        <v>42410</v>
      </c>
      <c r="AW22" s="465">
        <f>IF(ISERROR(VLOOKUP(D22,'Base de Datos'!$C$7:$AR$400,18,0))=TRUE," ",(VLOOKUP(D22,'Base de Datos'!$C$7:$AR$400,18,0)))</f>
        <v>42410</v>
      </c>
      <c r="AX22" s="465">
        <f>IF(ISERROR(VLOOKUP(D22,'Base de Datos'!$C$7:$AR$400,19,0))=TRUE," ",(VLOOKUP(D22,'Base de Datos'!$C$7:$AR$400,19,0)))</f>
        <v>63654000</v>
      </c>
      <c r="AY22" s="468">
        <f>IF(ISERROR(VLOOKUP(D22,'Base de Datos'!$C$7:$AR$400,21,0))=TRUE," ",(VLOOKUP(D22,'Base de Datos'!$C$7:$AR$400,21,0)))</f>
        <v>33418364</v>
      </c>
      <c r="AZ22" s="468" t="str">
        <f>IF(ISERROR(VLOOKUP(D22,'Base de Datos'!$C$7:$AR$400,22,0))=TRUE," ",(VLOOKUP(D22,'Base de Datos'!$C$7:$AR$400,22,0)))</f>
        <v>Mensual</v>
      </c>
      <c r="BA22" s="475"/>
      <c r="BB22" s="485"/>
    </row>
    <row r="23" spans="2:54" ht="71.25" hidden="1" customHeight="1" x14ac:dyDescent="0.25">
      <c r="B23" s="438">
        <v>17</v>
      </c>
      <c r="C23" s="446" t="s">
        <v>1645</v>
      </c>
      <c r="D23" s="438">
        <v>274</v>
      </c>
      <c r="E23" s="446" t="s">
        <v>1648</v>
      </c>
      <c r="F23" s="447">
        <f>VLOOKUP(D23,'Presupuesto - PAA 2015'!$B$10:$E$265,4,0)</f>
        <v>18000000</v>
      </c>
      <c r="G23" s="439" t="str">
        <f>VLOOKUP(D23,'[3]Seguimiento Plan'!$C$2:$R$101,16,0)</f>
        <v>Prestar los servicios de apoyo al Concejo de Bogota D.C., en la elaboracion y actualizacion  para el control en el proceso de depuracion y actualizacion de la normativa de los acuerdos Distritales.</v>
      </c>
      <c r="H23" s="439" t="s">
        <v>1779</v>
      </c>
      <c r="I23" s="439" t="s">
        <v>1713</v>
      </c>
      <c r="J23" s="448" t="s">
        <v>908</v>
      </c>
      <c r="K23" s="449" t="s">
        <v>390</v>
      </c>
      <c r="L23" s="449" t="str">
        <f>VLOOKUP(D23,'[3]Seguimiento Plan'!$C$2:$AJ$101,30,0)</f>
        <v>SI</v>
      </c>
      <c r="M23" s="450"/>
      <c r="N23" s="449"/>
      <c r="O23" s="451"/>
      <c r="P23" s="451"/>
      <c r="Q23" s="451"/>
      <c r="R23" s="452"/>
      <c r="S23" s="452"/>
      <c r="T23" s="453"/>
      <c r="U23" s="455" t="str">
        <f>IF(ISERROR(VLOOKUP(T23,'Base de Datos'!$E$7:$AR$302,3,0))=TRUE," ",(VLOOKUP(T23,'Base de Datos'!$E$7:$AR$302,2,0)))</f>
        <v xml:space="preserve"> </v>
      </c>
      <c r="V23" s="458" t="str">
        <f>IF(ISERROR(VLOOKUP(T23,'Base de Datos'!$E$7:$AR$302,5,0))=TRUE," ",(VLOOKUP(T23,'Base de Datos'!$E$7:$AR$302,5,0)))</f>
        <v xml:space="preserve"> </v>
      </c>
      <c r="W23" s="455" t="str">
        <f>IF(ISERROR(VLOOKUP(T23,'Base de Datos'!$E$7:$AR$302,19,0))=TRUE," ",(VLOOKUP(T23,'Base de Datos'!$E$7:$AR$302,19,0)))</f>
        <v xml:space="preserve"> </v>
      </c>
      <c r="X23" s="460" t="str">
        <f>IF(ISERROR(VLOOKUP(T23,'Base de Datos'!$E$7:$AR$302,8,0))=TRUE," ",(VLOOKUP(T23,'Base de Datos'!$E$7:$AR$302,8,0)))</f>
        <v xml:space="preserve"> </v>
      </c>
      <c r="Y23" s="460" t="str">
        <f>IF(ISERROR(VLOOKUP(T23,'Base de Datos'!$E$7:$AR$302,9,0))=TRUE," ",(VLOOKUP(T23,'Base de Datos'!$E$7:$AR$302,9,0)))</f>
        <v xml:space="preserve"> </v>
      </c>
      <c r="Z23" s="454" t="str">
        <f>IF(ISERROR(VLOOKUP(T23,'Base de Datos'!$E$7:$AR$302,10,0))=TRUE," ",(VLOOKUP(T23,'Base de Datos'!$E$7:$AR$302,10,0)))</f>
        <v xml:space="preserve"> </v>
      </c>
      <c r="AA23" s="457" t="str">
        <f>IF(ISERROR(VLOOKUP(T23,'Base de Datos'!$E$7:$AR$302,11,0))=TRUE," ",(VLOOKUP(T23,'Base de Datos'!$E$7:$AR$302,11,0)))</f>
        <v xml:space="preserve"> </v>
      </c>
      <c r="AB23" s="454" t="str">
        <f>IF(ISERROR(VLOOKUP(T23,'Base de Datos'!$E$7:$AR$302,12,0))=TRUE," ",(VLOOKUP(T23,'Base de Datos'!$E$7:$AR$302,12,0)))</f>
        <v xml:space="preserve"> </v>
      </c>
      <c r="AC23" s="454" t="str">
        <f>IF(ISERROR(VLOOKUP(T23,'Base de Datos'!$E$7:$AR$302,12,0))=TRUE," ",(VLOOKUP(T23,'Base de Datos'!$E$7:$AR$302,12,0)))</f>
        <v xml:space="preserve"> </v>
      </c>
      <c r="AD23" s="460" t="str">
        <f>IF(ISERROR(VLOOKUP(T23,'Base de Datos'!$E$7:$AR$302,15,0))=TRUE," ",(VLOOKUP(T23,'Base de Datos'!$E$7:$AR$302,15,0)))</f>
        <v xml:space="preserve"> </v>
      </c>
      <c r="AE23" s="465" t="str">
        <f>IF(ISERROR(VLOOKUP(T23,'Base de Datos'!$E$7:$AR$302,16,0))=TRUE," ",(VLOOKUP(T23,'Base de Datos'!$E$7:$AR$302,16,0)))</f>
        <v xml:space="preserve"> </v>
      </c>
      <c r="AF23" s="465" t="str">
        <f>IF(ISERROR(VLOOKUP(T23,'Base de Datos'!$E$7:$AR$302,17,0))=TRUE," ",(VLOOKUP(T23,'Base de Datos'!$E$7:$AR$302,17,0)))</f>
        <v xml:space="preserve"> </v>
      </c>
      <c r="AG23" s="465" t="str">
        <f>IF(ISERROR(VLOOKUP(T23,'Base de Datos'!$E$7:$AR$302,18,0))=TRUE," ",(VLOOKUP(T23,'Base de Datos'!$E$7:$AR$302,18,0)))</f>
        <v xml:space="preserve"> </v>
      </c>
      <c r="AH23" s="466" t="str">
        <f>IF(ISERROR(VLOOKUP(T23,'Base de Datos'!$E$7:$AR$302,20,0))=TRUE," ",(VLOOKUP(T23,'Base de Datos'!$E$7:$AR$302,20,0)))</f>
        <v xml:space="preserve"> </v>
      </c>
      <c r="AI23" s="466" t="str">
        <f>IF(ISERROR(VLOOKUP(T23,'Base de Datos'!$E$7:$AR$302,21,0))=TRUE," ",(VLOOKUP(T23,'Base de Datos'!$E$7:$AR$302,21,0)))</f>
        <v xml:space="preserve"> </v>
      </c>
      <c r="AJ23" s="469">
        <v>42130</v>
      </c>
      <c r="AK23" s="455" t="str">
        <f>IF(ISERROR(VLOOKUP(D23,'Base de Datos'!$C$7:$AR$400,2,0))=TRUE," ",(VLOOKUP(D23,'Base de Datos'!$C$7:$AR$400,2,0)))</f>
        <v>2015274</v>
      </c>
      <c r="AL23" s="455" t="str">
        <f>IF(ISERROR(VLOOKUP(D23,'Base de Datos'!$C$7:$AR$400,3,0))=TRUE," ",(VLOOKUP(D23,'Base de Datos'!$C$7:$AR$400,3,0)))</f>
        <v>150214-0-2015</v>
      </c>
      <c r="AM23" s="458" t="str">
        <f>IF(ISERROR(VLOOKUP(D23,'Base de Datos'!$C$7:$AR$4014,6,0))=TRUE," ",(VLOOKUP(D23,'Base de Datos'!$C$7:$AR$400,6,0)))</f>
        <v>Prestar servicios de apoyo al Concejo de Bogotá D.C., en la elaboración y actualización de las bases de datos para el control y depuración de los acuerdos distritales.</v>
      </c>
      <c r="AN23" s="458">
        <f>IF(ISERROR(VLOOKUP(D23,'Base de Datos'!$C$7:$AR$400,20,0))=TRUE," ",(VLOOKUP(D23,'Base de Datos'!$C$7:$AR$400,19,0)))</f>
        <v>18000000</v>
      </c>
      <c r="AO23" s="461">
        <f>IF(ISERROR(VLOOKUP(D23,'Base de Datos'!$C$7:$AR$400,9,0))=TRUE," ",(VLOOKUP(D23,'Base de Datos'!$C$7:$AR$400,9,0)))</f>
        <v>2015</v>
      </c>
      <c r="AP23" s="461">
        <f>IF(ISERROR(VLOOKUP(D23,'Base de Datos'!$C$7:$AR$400,10,0))=TRUE," ",(VLOOKUP(D23,'Base de Datos'!$C$7:$AR$400,10,0)))</f>
        <v>42130</v>
      </c>
      <c r="AQ23" s="463">
        <f>IF(ISERROR(VLOOKUP(D23,'Base de Datos'!$C$7:$AR$400,11,0))=TRUE," ",(VLOOKUP(D23,'Base de Datos'!$C$7:$AR$400,11,0)))</f>
        <v>42137</v>
      </c>
      <c r="AR23" s="464">
        <f>IF(ISERROR(VLOOKUP(D23,'Base de Datos'!$C$7:$AR$400,12,0))=TRUE," ",(VLOOKUP(D23,'Base de Datos'!$C$7:$AR$400,12,0)))</f>
        <v>42413</v>
      </c>
      <c r="AS23" s="463">
        <f>IF(ISERROR(VLOOKUP(D23,'Base de Datos'!$C$7:$AR$400,13,0))=TRUE," ",(VLOOKUP(D23,'Base de Datos'!$C$7:$AR$400,13,0)))</f>
        <v>0</v>
      </c>
      <c r="AT23" s="463">
        <f>IF(ISERROR(VLOOKUP(D23,'Base de Datos'!$C$7:$AR$400,14,0))=TRUE," ",(VLOOKUP(D23,'Base de Datos'!$C$7:$AR$400,14,0)))</f>
        <v>0</v>
      </c>
      <c r="AU23" s="461" t="str">
        <f>IF(ISERROR(VLOOKUP(D23,'Base de Datos'!$C$7:$AR$400,16,0))=TRUE," ",(VLOOKUP(D23,'Base de Datos'!$C$7:$AR$400,16,0)))</f>
        <v/>
      </c>
      <c r="AV23" s="465" t="str">
        <f>IF(ISERROR(VLOOKUP(D23,'Base de Datos'!$C$7:$AR$400,17,0))=TRUE," ",(VLOOKUP(D23,'Base de Datos'!$C$7:$AR$400,17,0)))</f>
        <v/>
      </c>
      <c r="AW23" s="465">
        <f>IF(ISERROR(VLOOKUP(D23,'Base de Datos'!$C$7:$AR$400,18,0))=TRUE," ",(VLOOKUP(D23,'Base de Datos'!$C$7:$AR$400,18,0)))</f>
        <v>42413</v>
      </c>
      <c r="AX23" s="465">
        <f>IF(ISERROR(VLOOKUP(D23,'Base de Datos'!$C$7:$AR$400,19,0))=TRUE," ",(VLOOKUP(D23,'Base de Datos'!$C$7:$AR$400,19,0)))</f>
        <v>18000000</v>
      </c>
      <c r="AY23" s="468">
        <f>IF(ISERROR(VLOOKUP(D23,'Base de Datos'!$C$7:$AR$400,21,0))=TRUE," ",(VLOOKUP(D23,'Base de Datos'!$C$7:$AR$400,21,0)))</f>
        <v>0</v>
      </c>
      <c r="AZ23" s="468" t="str">
        <f>IF(ISERROR(VLOOKUP(D23,'Base de Datos'!$C$7:$AR$400,22,0))=TRUE," ",(VLOOKUP(D23,'Base de Datos'!$C$7:$AR$400,22,0)))</f>
        <v>Mensuales</v>
      </c>
      <c r="BA23" s="475"/>
      <c r="BB23" s="485"/>
    </row>
    <row r="24" spans="2:54" ht="55.5" hidden="1" customHeight="1" x14ac:dyDescent="0.25">
      <c r="B24" s="438">
        <v>18</v>
      </c>
      <c r="C24" s="446" t="s">
        <v>1645</v>
      </c>
      <c r="D24" s="438">
        <v>53</v>
      </c>
      <c r="E24" s="446" t="s">
        <v>1651</v>
      </c>
      <c r="F24" s="447" t="str">
        <f>VLOOKUP(D24,'Presupuesto - PAA 2015'!$B$10:$E$265,4,0)</f>
        <v>Se unifican 53 y 56</v>
      </c>
      <c r="G24" s="439" t="str">
        <f>VLOOKUP(D24,'[3]Seguimiento Plan'!$C$2:$R$101,16,0)</f>
        <v>Prestar el servicio integral de servicios de impresión para la Secretaría Distrital de Hacienda y el Concejo de Bogotá.</v>
      </c>
      <c r="H24" s="439" t="s">
        <v>1780</v>
      </c>
      <c r="I24" s="439" t="s">
        <v>1713</v>
      </c>
      <c r="J24" s="448" t="s">
        <v>1737</v>
      </c>
      <c r="K24" s="449" t="s">
        <v>390</v>
      </c>
      <c r="L24" s="449" t="str">
        <f>VLOOKUP(D24,'[3]Seguimiento Plan'!$C$2:$AJ$101,30,0)</f>
        <v>SI</v>
      </c>
      <c r="M24" s="450">
        <f>VLOOKUP(D24,'[3]Seguimiento Plan'!$C$2:$AJ$101,31,0)</f>
        <v>42009</v>
      </c>
      <c r="N24" s="449" t="s">
        <v>1800</v>
      </c>
      <c r="O24" s="451"/>
      <c r="P24" s="451"/>
      <c r="Q24" s="451"/>
      <c r="R24" s="452"/>
      <c r="S24" s="452"/>
      <c r="T24" s="453"/>
      <c r="U24" s="455" t="str">
        <f>IF(ISERROR(VLOOKUP(T24,'Base de Datos'!$E$7:$AR$302,3,0))=TRUE," ",(VLOOKUP(T24,'Base de Datos'!$E$7:$AR$302,2,0)))</f>
        <v xml:space="preserve"> </v>
      </c>
      <c r="V24" s="458" t="str">
        <f>IF(ISERROR(VLOOKUP(T24,'Base de Datos'!$E$7:$AR$302,5,0))=TRUE," ",(VLOOKUP(T24,'Base de Datos'!$E$7:$AR$302,5,0)))</f>
        <v xml:space="preserve"> </v>
      </c>
      <c r="W24" s="455" t="str">
        <f>IF(ISERROR(VLOOKUP(T24,'Base de Datos'!$E$7:$AR$302,19,0))=TRUE," ",(VLOOKUP(T24,'Base de Datos'!$E$7:$AR$302,19,0)))</f>
        <v xml:space="preserve"> </v>
      </c>
      <c r="X24" s="460" t="str">
        <f>IF(ISERROR(VLOOKUP(T24,'Base de Datos'!$E$7:$AR$302,8,0))=TRUE," ",(VLOOKUP(T24,'Base de Datos'!$E$7:$AR$302,8,0)))</f>
        <v xml:space="preserve"> </v>
      </c>
      <c r="Y24" s="460" t="str">
        <f>IF(ISERROR(VLOOKUP(T24,'Base de Datos'!$E$7:$AR$302,9,0))=TRUE," ",(VLOOKUP(T24,'Base de Datos'!$E$7:$AR$302,9,0)))</f>
        <v xml:space="preserve"> </v>
      </c>
      <c r="Z24" s="454" t="str">
        <f>IF(ISERROR(VLOOKUP(T24,'Base de Datos'!$E$7:$AR$302,10,0))=TRUE," ",(VLOOKUP(T24,'Base de Datos'!$E$7:$AR$302,10,0)))</f>
        <v xml:space="preserve"> </v>
      </c>
      <c r="AA24" s="457" t="str">
        <f>IF(ISERROR(VLOOKUP(T24,'Base de Datos'!$E$7:$AR$302,11,0))=TRUE," ",(VLOOKUP(T24,'Base de Datos'!$E$7:$AR$302,11,0)))</f>
        <v xml:space="preserve"> </v>
      </c>
      <c r="AB24" s="454" t="str">
        <f>IF(ISERROR(VLOOKUP(T24,'Base de Datos'!$E$7:$AR$302,12,0))=TRUE," ",(VLOOKUP(T24,'Base de Datos'!$E$7:$AR$302,12,0)))</f>
        <v xml:space="preserve"> </v>
      </c>
      <c r="AC24" s="454" t="str">
        <f>IF(ISERROR(VLOOKUP(T24,'Base de Datos'!$E$7:$AR$302,12,0))=TRUE," ",(VLOOKUP(T24,'Base de Datos'!$E$7:$AR$302,12,0)))</f>
        <v xml:space="preserve"> </v>
      </c>
      <c r="AD24" s="460" t="str">
        <f>IF(ISERROR(VLOOKUP(T24,'Base de Datos'!$E$7:$AR$302,15,0))=TRUE," ",(VLOOKUP(T24,'Base de Datos'!$E$7:$AR$302,15,0)))</f>
        <v xml:space="preserve"> </v>
      </c>
      <c r="AE24" s="465" t="str">
        <f>IF(ISERROR(VLOOKUP(T24,'Base de Datos'!$E$7:$AR$302,16,0))=TRUE," ",(VLOOKUP(T24,'Base de Datos'!$E$7:$AR$302,16,0)))</f>
        <v xml:space="preserve"> </v>
      </c>
      <c r="AF24" s="465" t="str">
        <f>IF(ISERROR(VLOOKUP(T24,'Base de Datos'!$E$7:$AR$302,17,0))=TRUE," ",(VLOOKUP(T24,'Base de Datos'!$E$7:$AR$302,17,0)))</f>
        <v xml:space="preserve"> </v>
      </c>
      <c r="AG24" s="465" t="str">
        <f>IF(ISERROR(VLOOKUP(T24,'Base de Datos'!$E$7:$AR$302,18,0))=TRUE," ",(VLOOKUP(T24,'Base de Datos'!$E$7:$AR$302,18,0)))</f>
        <v xml:space="preserve"> </v>
      </c>
      <c r="AH24" s="466" t="str">
        <f>IF(ISERROR(VLOOKUP(T24,'Base de Datos'!$E$7:$AR$302,20,0))=TRUE," ",(VLOOKUP(T24,'Base de Datos'!$E$7:$AR$302,20,0)))</f>
        <v xml:space="preserve"> </v>
      </c>
      <c r="AI24" s="466" t="str">
        <f>IF(ISERROR(VLOOKUP(T24,'Base de Datos'!$E$7:$AR$302,21,0))=TRUE," ",(VLOOKUP(T24,'Base de Datos'!$E$7:$AR$302,21,0)))</f>
        <v xml:space="preserve"> </v>
      </c>
      <c r="AJ24" s="455"/>
      <c r="AK24" s="455" t="str">
        <f>IF(ISERROR(VLOOKUP(D24,'Base de Datos'!$C$7:$AR$400,2,0))=TRUE," ",(VLOOKUP(D24,'Base de Datos'!$C$7:$AR$400,2,0)))</f>
        <v xml:space="preserve"> </v>
      </c>
      <c r="AL24" s="455" t="str">
        <f>IF(ISERROR(VLOOKUP(D24,'Base de Datos'!$C$7:$AR$400,3,0))=TRUE," ",(VLOOKUP(D24,'Base de Datos'!$C$7:$AR$400,3,0)))</f>
        <v xml:space="preserve"> </v>
      </c>
      <c r="AM24" s="458" t="str">
        <f>IF(ISERROR(VLOOKUP(D24,'Base de Datos'!$C$7:$AR$4014,6,0))=TRUE," ",(VLOOKUP(D24,'Base de Datos'!$C$7:$AR$400,6,0)))</f>
        <v xml:space="preserve"> </v>
      </c>
      <c r="AN24" s="458" t="str">
        <f>IF(ISERROR(VLOOKUP(D24,'Base de Datos'!$C$7:$AR$400,20,0))=TRUE," ",(VLOOKUP(D24,'Base de Datos'!$C$7:$AR$400,19,0)))</f>
        <v xml:space="preserve"> </v>
      </c>
      <c r="AO24" s="461" t="str">
        <f>IF(ISERROR(VLOOKUP(D24,'Base de Datos'!$C$7:$AR$400,9,0))=TRUE," ",(VLOOKUP(D24,'Base de Datos'!$C$7:$AR$400,9,0)))</f>
        <v xml:space="preserve"> </v>
      </c>
      <c r="AP24" s="461" t="str">
        <f>IF(ISERROR(VLOOKUP(D24,'Base de Datos'!$C$7:$AR$400,10,0))=TRUE," ",(VLOOKUP(D24,'Base de Datos'!$C$7:$AR$400,10,0)))</f>
        <v xml:space="preserve"> </v>
      </c>
      <c r="AQ24" s="463" t="str">
        <f>IF(ISERROR(VLOOKUP(D24,'Base de Datos'!$C$7:$AR$400,11,0))=TRUE," ",(VLOOKUP(D24,'Base de Datos'!$C$7:$AR$400,11,0)))</f>
        <v xml:space="preserve"> </v>
      </c>
      <c r="AR24" s="464" t="str">
        <f>IF(ISERROR(VLOOKUP(D24,'Base de Datos'!$C$7:$AR$400,12,0))=TRUE," ",(VLOOKUP(D24,'Base de Datos'!$C$7:$AR$400,12,0)))</f>
        <v xml:space="preserve"> </v>
      </c>
      <c r="AS24" s="463" t="str">
        <f>IF(ISERROR(VLOOKUP(D24,'Base de Datos'!$C$7:$AR$400,13,0))=TRUE," ",(VLOOKUP(D24,'Base de Datos'!$C$7:$AR$400,13,0)))</f>
        <v xml:space="preserve"> </v>
      </c>
      <c r="AT24" s="463" t="str">
        <f>IF(ISERROR(VLOOKUP(D24,'Base de Datos'!$C$7:$AR$400,14,0))=TRUE," ",(VLOOKUP(D24,'Base de Datos'!$C$7:$AR$400,14,0)))</f>
        <v xml:space="preserve"> </v>
      </c>
      <c r="AU24" s="461" t="str">
        <f>IF(ISERROR(VLOOKUP(D24,'Base de Datos'!$C$7:$AR$400,16,0))=TRUE," ",(VLOOKUP(D24,'Base de Datos'!$C$7:$AR$400,16,0)))</f>
        <v xml:space="preserve"> </v>
      </c>
      <c r="AV24" s="465" t="str">
        <f>IF(ISERROR(VLOOKUP(D24,'Base de Datos'!$C$7:$AR$400,17,0))=TRUE," ",(VLOOKUP(D24,'Base de Datos'!$C$7:$AR$400,17,0)))</f>
        <v xml:space="preserve"> </v>
      </c>
      <c r="AW24" s="465" t="str">
        <f>IF(ISERROR(VLOOKUP(D24,'Base de Datos'!$C$7:$AR$400,18,0))=TRUE," ",(VLOOKUP(D24,'Base de Datos'!$C$7:$AR$400,18,0)))</f>
        <v xml:space="preserve"> </v>
      </c>
      <c r="AX24" s="465" t="str">
        <f>IF(ISERROR(VLOOKUP(D24,'Base de Datos'!$C$7:$AR$400,19,0))=TRUE," ",(VLOOKUP(D24,'Base de Datos'!$C$7:$AR$400,19,0)))</f>
        <v xml:space="preserve"> </v>
      </c>
      <c r="AY24" s="468" t="str">
        <f>IF(ISERROR(VLOOKUP(D24,'Base de Datos'!$C$7:$AR$400,21,0))=TRUE," ",(VLOOKUP(D24,'Base de Datos'!$C$7:$AR$400,21,0)))</f>
        <v xml:space="preserve"> </v>
      </c>
      <c r="AZ24" s="468" t="str">
        <f>IF(ISERROR(VLOOKUP(D24,'Base de Datos'!$C$7:$AR$400,22,0))=TRUE," ",(VLOOKUP(D24,'Base de Datos'!$C$7:$AR$400,22,0)))</f>
        <v xml:space="preserve"> </v>
      </c>
      <c r="BA24" s="475"/>
      <c r="BB24" s="485"/>
    </row>
    <row r="25" spans="2:54" ht="66.75" hidden="1" customHeight="1" x14ac:dyDescent="0.25">
      <c r="B25" s="438">
        <v>19</v>
      </c>
      <c r="C25" s="446" t="s">
        <v>1645</v>
      </c>
      <c r="D25" s="438">
        <v>54</v>
      </c>
      <c r="E25" s="446" t="s">
        <v>1651</v>
      </c>
      <c r="F25" s="447">
        <f>VLOOKUP(D25,'Presupuesto - PAA 2015'!$B$10:$E$265,4,0)</f>
        <v>60000000</v>
      </c>
      <c r="G25" s="439"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9" t="s">
        <v>1780</v>
      </c>
      <c r="I25" s="439" t="s">
        <v>1713</v>
      </c>
      <c r="J25" s="448" t="s">
        <v>1737</v>
      </c>
      <c r="K25" s="449" t="s">
        <v>390</v>
      </c>
      <c r="L25" s="449" t="str">
        <f>VLOOKUP(D25,'[3]Seguimiento Plan'!$C$2:$AJ$101,30,0)</f>
        <v>SI</v>
      </c>
      <c r="M25" s="450">
        <f>VLOOKUP(D25,'[3]Seguimiento Plan'!$C$2:$AJ$101,31,0)</f>
        <v>41983</v>
      </c>
      <c r="N25" s="449" t="s">
        <v>1801</v>
      </c>
      <c r="O25" s="451"/>
      <c r="P25" s="451"/>
      <c r="Q25" s="451"/>
      <c r="R25" s="452"/>
      <c r="S25" s="470" t="s">
        <v>1768</v>
      </c>
      <c r="T25" s="453"/>
      <c r="U25" s="455" t="str">
        <f>IF(ISERROR(VLOOKUP(T25,'Base de Datos'!$E$7:$AR$302,3,0))=TRUE," ",(VLOOKUP(T25,'Base de Datos'!$E$7:$AR$302,2,0)))</f>
        <v xml:space="preserve"> </v>
      </c>
      <c r="V25" s="458" t="str">
        <f>IF(ISERROR(VLOOKUP(T25,'Base de Datos'!$E$7:$AR$302,5,0))=TRUE," ",(VLOOKUP(T25,'Base de Datos'!$E$7:$AR$302,5,0)))</f>
        <v xml:space="preserve"> </v>
      </c>
      <c r="W25" s="455" t="str">
        <f>IF(ISERROR(VLOOKUP(T25,'Base de Datos'!$E$7:$AR$302,19,0))=TRUE," ",(VLOOKUP(T25,'Base de Datos'!$E$7:$AR$302,19,0)))</f>
        <v xml:space="preserve"> </v>
      </c>
      <c r="X25" s="460" t="str">
        <f>IF(ISERROR(VLOOKUP(T25,'Base de Datos'!$E$7:$AR$302,8,0))=TRUE," ",(VLOOKUP(T25,'Base de Datos'!$E$7:$AR$302,8,0)))</f>
        <v xml:space="preserve"> </v>
      </c>
      <c r="Y25" s="460" t="str">
        <f>IF(ISERROR(VLOOKUP(T25,'Base de Datos'!$E$7:$AR$302,9,0))=TRUE," ",(VLOOKUP(T25,'Base de Datos'!$E$7:$AR$302,9,0)))</f>
        <v xml:space="preserve"> </v>
      </c>
      <c r="Z25" s="454" t="str">
        <f>IF(ISERROR(VLOOKUP(T25,'Base de Datos'!$E$7:$AR$302,10,0))=TRUE," ",(VLOOKUP(T25,'Base de Datos'!$E$7:$AR$302,10,0)))</f>
        <v xml:space="preserve"> </v>
      </c>
      <c r="AA25" s="457" t="str">
        <f>IF(ISERROR(VLOOKUP(T25,'Base de Datos'!$E$7:$AR$302,11,0))=TRUE," ",(VLOOKUP(T25,'Base de Datos'!$E$7:$AR$302,11,0)))</f>
        <v xml:space="preserve"> </v>
      </c>
      <c r="AB25" s="454" t="str">
        <f>IF(ISERROR(VLOOKUP(T25,'Base de Datos'!$E$7:$AR$302,12,0))=TRUE," ",(VLOOKUP(T25,'Base de Datos'!$E$7:$AR$302,12,0)))</f>
        <v xml:space="preserve"> </v>
      </c>
      <c r="AC25" s="454" t="str">
        <f>IF(ISERROR(VLOOKUP(T25,'Base de Datos'!$E$7:$AR$302,12,0))=TRUE," ",(VLOOKUP(T25,'Base de Datos'!$E$7:$AR$302,12,0)))</f>
        <v xml:space="preserve"> </v>
      </c>
      <c r="AD25" s="460" t="str">
        <f>IF(ISERROR(VLOOKUP(T25,'Base de Datos'!$E$7:$AR$302,15,0))=TRUE," ",(VLOOKUP(T25,'Base de Datos'!$E$7:$AR$302,15,0)))</f>
        <v xml:space="preserve"> </v>
      </c>
      <c r="AE25" s="465" t="str">
        <f>IF(ISERROR(VLOOKUP(T25,'Base de Datos'!$E$7:$AR$302,16,0))=TRUE," ",(VLOOKUP(T25,'Base de Datos'!$E$7:$AR$302,16,0)))</f>
        <v xml:space="preserve"> </v>
      </c>
      <c r="AF25" s="465" t="str">
        <f>IF(ISERROR(VLOOKUP(T25,'Base de Datos'!$E$7:$AR$302,17,0))=TRUE," ",(VLOOKUP(T25,'Base de Datos'!$E$7:$AR$302,17,0)))</f>
        <v xml:space="preserve"> </v>
      </c>
      <c r="AG25" s="465" t="str">
        <f>IF(ISERROR(VLOOKUP(T25,'Base de Datos'!$E$7:$AR$302,18,0))=TRUE," ",(VLOOKUP(T25,'Base de Datos'!$E$7:$AR$302,18,0)))</f>
        <v xml:space="preserve"> </v>
      </c>
      <c r="AH25" s="466" t="str">
        <f>IF(ISERROR(VLOOKUP(T25,'Base de Datos'!$E$7:$AR$302,20,0))=TRUE," ",(VLOOKUP(T25,'Base de Datos'!$E$7:$AR$302,20,0)))</f>
        <v xml:space="preserve"> </v>
      </c>
      <c r="AI25" s="466" t="str">
        <f>IF(ISERROR(VLOOKUP(T25,'Base de Datos'!$E$7:$AR$302,21,0))=TRUE," ",(VLOOKUP(T25,'Base de Datos'!$E$7:$AR$302,21,0)))</f>
        <v xml:space="preserve"> </v>
      </c>
      <c r="AJ25" s="469">
        <v>42128</v>
      </c>
      <c r="AK25" s="455" t="str">
        <f>IF(ISERROR(VLOOKUP(D25,'Base de Datos'!$C$7:$AR$400,2,0))=TRUE," ",(VLOOKUP(D25,'Base de Datos'!$C$7:$AR$400,2,0)))</f>
        <v>201554</v>
      </c>
      <c r="AL25" s="455" t="str">
        <f>IF(ISERROR(VLOOKUP(D25,'Base de Datos'!$C$7:$AR$400,3,0))=TRUE," ",(VLOOKUP(D25,'Base de Datos'!$C$7:$AR$400,3,0)))</f>
        <v>150211-0-2015</v>
      </c>
      <c r="AM25" s="458"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8">
        <f>IF(ISERROR(VLOOKUP(D25,'Base de Datos'!$C$7:$AR$400,20,0))=TRUE," ",(VLOOKUP(D25,'Base de Datos'!$C$7:$AR$400,19,0)))</f>
        <v>68000000</v>
      </c>
      <c r="AO25" s="461">
        <f>IF(ISERROR(VLOOKUP(D25,'Base de Datos'!$C$7:$AR$400,9,0))=TRUE," ",(VLOOKUP(D25,'Base de Datos'!$C$7:$AR$400,9,0)))</f>
        <v>2015</v>
      </c>
      <c r="AP25" s="461">
        <f>IF(ISERROR(VLOOKUP(D25,'Base de Datos'!$C$7:$AR$400,10,0))=TRUE," ",(VLOOKUP(D25,'Base de Datos'!$C$7:$AR$400,10,0)))</f>
        <v>42128</v>
      </c>
      <c r="AQ25" s="463">
        <f>IF(ISERROR(VLOOKUP(D25,'Base de Datos'!$C$7:$AR$400,11,0))=TRUE," ",(VLOOKUP(D25,'Base de Datos'!$C$7:$AR$400,11,0)))</f>
        <v>42156</v>
      </c>
      <c r="AR25" s="464">
        <f>IF(ISERROR(VLOOKUP(D25,'Base de Datos'!$C$7:$AR$400,12,0))=TRUE," ",(VLOOKUP(D25,'Base de Datos'!$C$7:$AR$400,12,0)))</f>
        <v>42522</v>
      </c>
      <c r="AS25" s="463">
        <f>IF(ISERROR(VLOOKUP(D25,'Base de Datos'!$C$7:$AR$400,13,0))=TRUE," ",(VLOOKUP(D25,'Base de Datos'!$C$7:$AR$400,13,0)))</f>
        <v>1</v>
      </c>
      <c r="AT25" s="463">
        <f>IF(ISERROR(VLOOKUP(D25,'Base de Datos'!$C$7:$AR$400,14,0))=TRUE," ",(VLOOKUP(D25,'Base de Datos'!$C$7:$AR$400,14,0)))</f>
        <v>8000000</v>
      </c>
      <c r="AU25" s="461" t="str">
        <f>IF(ISERROR(VLOOKUP(D25,'Base de Datos'!$C$7:$AR$400,16,0))=TRUE," ",(VLOOKUP(D25,'Base de Datos'!$C$7:$AR$400,16,0)))</f>
        <v>4 meses</v>
      </c>
      <c r="AV25" s="465">
        <f>IF(ISERROR(VLOOKUP(D25,'Base de Datos'!$C$7:$AR$400,17,0))=TRUE," ",(VLOOKUP(D25,'Base de Datos'!$C$7:$AR$400,17,0)))</f>
        <v>42644</v>
      </c>
      <c r="AW25" s="465">
        <f>IF(ISERROR(VLOOKUP(D25,'Base de Datos'!$C$7:$AR$400,18,0))=TRUE," ",(VLOOKUP(D25,'Base de Datos'!$C$7:$AR$400,18,0)))</f>
        <v>42644</v>
      </c>
      <c r="AX25" s="465">
        <f>IF(ISERROR(VLOOKUP(D25,'Base de Datos'!$C$7:$AR$400,19,0))=TRUE," ",(VLOOKUP(D25,'Base de Datos'!$C$7:$AR$400,19,0)))</f>
        <v>68000000</v>
      </c>
      <c r="AY25" s="468">
        <f>IF(ISERROR(VLOOKUP(D25,'Base de Datos'!$C$7:$AR$400,21,0))=TRUE," ",(VLOOKUP(D25,'Base de Datos'!$C$7:$AR$400,21,0)))</f>
        <v>455345</v>
      </c>
      <c r="AZ25" s="468" t="str">
        <f>IF(ISERROR(VLOOKUP(D25,'Base de Datos'!$C$7:$AR$400,22,0))=TRUE," ",(VLOOKUP(D25,'Base de Datos'!$C$7:$AR$400,22,0)))</f>
        <v>Pagos mensuales de acuerdo a los servicios por demanda</v>
      </c>
      <c r="BA25" s="475"/>
      <c r="BB25" s="485"/>
    </row>
    <row r="26" spans="2:54" ht="55.5" hidden="1" customHeight="1" x14ac:dyDescent="0.25">
      <c r="B26" s="438">
        <v>20</v>
      </c>
      <c r="C26" s="446" t="s">
        <v>1645</v>
      </c>
      <c r="D26" s="438">
        <v>55</v>
      </c>
      <c r="E26" s="446" t="s">
        <v>1651</v>
      </c>
      <c r="F26" s="447">
        <f>VLOOKUP(D26,'Presupuesto - PAA 2015'!$B$10:$E$265,4,0)</f>
        <v>10514762</v>
      </c>
      <c r="G26" s="439" t="str">
        <f>VLOOKUP(D26,'[3]Seguimiento Plan'!$C$2:$R$101,16,0)</f>
        <v>Adquisición de medios magnéticos para copias de respaldo para la Secretaría Distrital de Hacienda y el Concejo de Bogotá.</v>
      </c>
      <c r="H26" s="439" t="s">
        <v>1780</v>
      </c>
      <c r="I26" s="439" t="s">
        <v>1715</v>
      </c>
      <c r="J26" s="448" t="s">
        <v>909</v>
      </c>
      <c r="K26" s="449" t="s">
        <v>390</v>
      </c>
      <c r="L26" s="449" t="str">
        <f>VLOOKUP(D26,'[3]Seguimiento Plan'!$C$2:$AJ$101,30,0)</f>
        <v>SI</v>
      </c>
      <c r="M26" s="450">
        <f>VLOOKUP(D26,'[3]Seguimiento Plan'!$C$2:$AJ$101,31,0)</f>
        <v>42018</v>
      </c>
      <c r="N26" s="449" t="s">
        <v>1802</v>
      </c>
      <c r="O26" s="451"/>
      <c r="P26" s="451"/>
      <c r="Q26" s="471">
        <v>42083</v>
      </c>
      <c r="R26" s="530"/>
      <c r="S26" s="470" t="s">
        <v>1763</v>
      </c>
      <c r="T26" s="453" t="s">
        <v>289</v>
      </c>
      <c r="U26" s="455" t="str">
        <f>IF(ISERROR(VLOOKUP(T26,'Base de Datos'!$E$7:$AR$302,3,0))=TRUE," ",(VLOOKUP(T26,'Base de Datos'!$E$7:$AR$302,2,0)))</f>
        <v>UNIPLES S.A.</v>
      </c>
      <c r="V26" s="458">
        <f>IF(ISERROR(VLOOKUP(T26,'Base de Datos'!$E$7:$AR$302,5,0))=TRUE," ",(VLOOKUP(T26,'Base de Datos'!$E$7:$AR$302,5,0)))</f>
        <v>9998117</v>
      </c>
      <c r="W26" s="455">
        <f>IF(ISERROR(VLOOKUP(T26,'Base de Datos'!$E$7:$AR$302,19,0))=TRUE," ",(VLOOKUP(T26,'Base de Datos'!$E$7:$AR$302,19,0)))</f>
        <v>20</v>
      </c>
      <c r="X26" s="460" t="str">
        <f>IF(ISERROR(VLOOKUP(T26,'Base de Datos'!$E$7:$AR$302,8,0))=TRUE," ",(VLOOKUP(T26,'Base de Datos'!$E$7:$AR$302,8,0)))</f>
        <v xml:space="preserve"> </v>
      </c>
      <c r="Y26" s="460">
        <f>IF(ISERROR(VLOOKUP(T26,'Base de Datos'!$E$7:$AR$302,9,0))=TRUE," ",(VLOOKUP(T26,'Base de Datos'!$E$7:$AR$302,9,0)))</f>
        <v>41794</v>
      </c>
      <c r="Z26" s="454">
        <f>IF(ISERROR(VLOOKUP(T26,'Base de Datos'!$E$7:$AR$302,10,0))=TRUE," ",(VLOOKUP(T26,'Base de Datos'!$E$7:$AR$302,10,0)))</f>
        <v>41855</v>
      </c>
      <c r="AA26" s="457">
        <f>IF(ISERROR(VLOOKUP(T26,'Base de Datos'!$E$7:$AR$302,11,0))=TRUE," ",(VLOOKUP(T26,'Base de Datos'!$E$7:$AR$302,11,0)))</f>
        <v>0</v>
      </c>
      <c r="AB26" s="454">
        <f>IF(ISERROR(VLOOKUP(T26,'Base de Datos'!$E$7:$AR$302,12,0))=TRUE," ",(VLOOKUP(T26,'Base de Datos'!$E$7:$AR$302,12,0)))</f>
        <v>0</v>
      </c>
      <c r="AC26" s="454">
        <f>IF(ISERROR(VLOOKUP(T26,'Base de Datos'!$E$7:$AR$302,12,0))=TRUE," ",(VLOOKUP(T26,'Base de Datos'!$E$7:$AR$302,12,0)))</f>
        <v>0</v>
      </c>
      <c r="AD26" s="460" t="str">
        <f>IF(ISERROR(VLOOKUP(T26,'Base de Datos'!$E$7:$AR$302,15,0))=TRUE," ",(VLOOKUP(T26,'Base de Datos'!$E$7:$AR$302,15,0)))</f>
        <v/>
      </c>
      <c r="AE26" s="465">
        <f>IF(ISERROR(VLOOKUP(T26,'Base de Datos'!$E$7:$AR$302,16,0))=TRUE," ",(VLOOKUP(T26,'Base de Datos'!$E$7:$AR$302,16,0)))</f>
        <v>41855</v>
      </c>
      <c r="AF26" s="465">
        <f>IF(ISERROR(VLOOKUP(T26,'Base de Datos'!$E$7:$AR$302,17,0))=TRUE," ",(VLOOKUP(T26,'Base de Datos'!$E$7:$AR$302,17,0)))</f>
        <v>9998117</v>
      </c>
      <c r="AG26" s="465">
        <f>IF(ISERROR(VLOOKUP(T26,'Base de Datos'!$E$7:$AR$302,18,0))=TRUE," ",(VLOOKUP(T26,'Base de Datos'!$E$7:$AR$302,18,0)))</f>
        <v>9998097</v>
      </c>
      <c r="AH26" s="466"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6">
        <f>IF(ISERROR(VLOOKUP(T26,'Base de Datos'!$E$7:$AR$302,21,0))=TRUE," ",(VLOOKUP(T26,'Base de Datos'!$E$7:$AR$302,21,0)))</f>
        <v>0.99999799962332903</v>
      </c>
      <c r="AJ26" s="469">
        <v>42108</v>
      </c>
      <c r="AK26" s="455" t="str">
        <f>IF(ISERROR(VLOOKUP(D26,'Base de Datos'!$C$7:$AR$400,2,0))=TRUE," ",(VLOOKUP(D26,'Base de Datos'!$C$7:$AR$400,2,0)))</f>
        <v>201555</v>
      </c>
      <c r="AL26" s="455" t="str">
        <f>IF(ISERROR(VLOOKUP(D26,'Base de Datos'!$C$7:$AR$400,3,0))=TRUE," ",(VLOOKUP(D26,'Base de Datos'!$C$7:$AR$400,3,0)))</f>
        <v>150189-0-2015</v>
      </c>
      <c r="AM26" s="458" t="str">
        <f>IF(ISERROR(VLOOKUP(D26,'Base de Datos'!$C$7:$AR$4014,6,0))=TRUE," ",(VLOOKUP(D26,'Base de Datos'!$C$7:$AR$400,6,0)))</f>
        <v>Adquisición de medios magnéticos para copias de respaldo para el Concejo de Bogotá D.C</v>
      </c>
      <c r="AN26" s="458">
        <f>IF(ISERROR(VLOOKUP(D26,'Base de Datos'!$C$7:$AR$400,20,0))=TRUE," ",(VLOOKUP(D26,'Base de Datos'!$C$7:$AR$400,19,0)))</f>
        <v>10514762</v>
      </c>
      <c r="AO26" s="461">
        <f>IF(ISERROR(VLOOKUP(D26,'Base de Datos'!$C$7:$AR$400,9,0))=TRUE," ",(VLOOKUP(D26,'Base de Datos'!$C$7:$AR$400,9,0)))</f>
        <v>2015</v>
      </c>
      <c r="AP26" s="461">
        <f>IF(ISERROR(VLOOKUP(D26,'Base de Datos'!$C$7:$AR$400,10,0))=TRUE," ",(VLOOKUP(D26,'Base de Datos'!$C$7:$AR$400,10,0)))</f>
        <v>42108</v>
      </c>
      <c r="AQ26" s="463">
        <f>IF(ISERROR(VLOOKUP(D26,'Base de Datos'!$C$7:$AR$400,11,0))=TRUE," ",(VLOOKUP(D26,'Base de Datos'!$C$7:$AR$400,11,0)))</f>
        <v>42117</v>
      </c>
      <c r="AR26" s="464">
        <f>IF(ISERROR(VLOOKUP(D26,'Base de Datos'!$C$7:$AR$400,12,0))=TRUE," ",(VLOOKUP(D26,'Base de Datos'!$C$7:$AR$400,12,0)))</f>
        <v>42147</v>
      </c>
      <c r="AS26" s="463">
        <f>IF(ISERROR(VLOOKUP(D26,'Base de Datos'!$C$7:$AR$400,13,0))=TRUE," ",(VLOOKUP(D26,'Base de Datos'!$C$7:$AR$400,13,0)))</f>
        <v>0</v>
      </c>
      <c r="AT26" s="463">
        <f>IF(ISERROR(VLOOKUP(D26,'Base de Datos'!$C$7:$AR$400,14,0))=TRUE," ",(VLOOKUP(D26,'Base de Datos'!$C$7:$AR$400,14,0)))</f>
        <v>0</v>
      </c>
      <c r="AU26" s="461" t="str">
        <f>IF(ISERROR(VLOOKUP(D26,'Base de Datos'!$C$7:$AR$400,16,0))=TRUE," ",(VLOOKUP(D26,'Base de Datos'!$C$7:$AR$400,16,0)))</f>
        <v/>
      </c>
      <c r="AV26" s="465" t="str">
        <f>IF(ISERROR(VLOOKUP(D26,'Base de Datos'!$C$7:$AR$400,17,0))=TRUE," ",(VLOOKUP(D26,'Base de Datos'!$C$7:$AR$400,17,0)))</f>
        <v/>
      </c>
      <c r="AW26" s="465">
        <f>IF(ISERROR(VLOOKUP(D26,'Base de Datos'!$C$7:$AR$400,18,0))=TRUE," ",(VLOOKUP(D26,'Base de Datos'!$C$7:$AR$400,18,0)))</f>
        <v>42147</v>
      </c>
      <c r="AX26" s="465">
        <f>IF(ISERROR(VLOOKUP(D26,'Base de Datos'!$C$7:$AR$400,19,0))=TRUE," ",(VLOOKUP(D26,'Base de Datos'!$C$7:$AR$400,19,0)))</f>
        <v>10514762</v>
      </c>
      <c r="AY26" s="468">
        <f>IF(ISERROR(VLOOKUP(D26,'Base de Datos'!$C$7:$AR$400,21,0))=TRUE," ",(VLOOKUP(D26,'Base de Datos'!$C$7:$AR$400,21,0)))</f>
        <v>0</v>
      </c>
      <c r="AZ26" s="468" t="str">
        <f>IF(ISERROR(VLOOKUP(D26,'Base de Datos'!$C$7:$AR$400,22,0))=TRUE," ",(VLOOKUP(D26,'Base de Datos'!$C$7:$AR$400,22,0)))</f>
        <v>Un pago a contra entrega a satisfacción</v>
      </c>
      <c r="BA26" s="475"/>
      <c r="BB26" s="485"/>
    </row>
    <row r="27" spans="2:54" ht="55.5" hidden="1" customHeight="1" x14ac:dyDescent="0.25">
      <c r="B27" s="438"/>
      <c r="C27" s="446" t="s">
        <v>1645</v>
      </c>
      <c r="D27" s="438">
        <v>57</v>
      </c>
      <c r="E27" s="446" t="s">
        <v>1651</v>
      </c>
      <c r="F27" s="447">
        <f>VLOOKUP(D27,'Presupuesto - PAA 2015'!$B$10:$E$265,4,0)</f>
        <v>154954934</v>
      </c>
      <c r="G27" s="439" t="s">
        <v>1940</v>
      </c>
      <c r="H27" s="439" t="s">
        <v>1780</v>
      </c>
      <c r="I27" s="439" t="s">
        <v>1713</v>
      </c>
      <c r="J27" s="448" t="s">
        <v>1737</v>
      </c>
      <c r="K27" s="449"/>
      <c r="L27" s="449"/>
      <c r="M27" s="450"/>
      <c r="N27" s="449"/>
      <c r="O27" s="451"/>
      <c r="P27" s="451"/>
      <c r="Q27" s="471"/>
      <c r="R27" s="530"/>
      <c r="S27" s="470" t="s">
        <v>2162</v>
      </c>
      <c r="T27" s="529"/>
      <c r="U27" s="455"/>
      <c r="V27" s="458"/>
      <c r="W27" s="455"/>
      <c r="X27" s="460"/>
      <c r="Y27" s="460"/>
      <c r="Z27" s="454"/>
      <c r="AA27" s="457"/>
      <c r="AB27" s="454"/>
      <c r="AC27" s="454"/>
      <c r="AD27" s="460"/>
      <c r="AE27" s="465"/>
      <c r="AF27" s="465"/>
      <c r="AG27" s="465"/>
      <c r="AH27" s="466"/>
      <c r="AI27" s="466"/>
      <c r="AJ27" s="469"/>
      <c r="AK27" s="455"/>
      <c r="AL27" s="455"/>
      <c r="AM27" s="458"/>
      <c r="AN27" s="458"/>
      <c r="AO27" s="461"/>
      <c r="AP27" s="461"/>
      <c r="AQ27" s="463"/>
      <c r="AR27" s="464"/>
      <c r="AS27" s="463"/>
      <c r="AT27" s="463"/>
      <c r="AU27" s="461"/>
      <c r="AV27" s="465"/>
      <c r="AW27" s="465"/>
      <c r="AX27" s="465"/>
      <c r="AY27" s="468"/>
      <c r="AZ27" s="468"/>
      <c r="BA27" s="475"/>
      <c r="BB27" s="485"/>
    </row>
    <row r="28" spans="2:54" ht="55.5" hidden="1" customHeight="1" x14ac:dyDescent="0.25">
      <c r="B28" s="438">
        <v>21</v>
      </c>
      <c r="C28" s="446" t="s">
        <v>1645</v>
      </c>
      <c r="D28" s="438">
        <v>58</v>
      </c>
      <c r="E28" s="446" t="s">
        <v>1651</v>
      </c>
      <c r="F28" s="447">
        <f>VLOOKUP(D28,'Presupuesto - PAA 2015'!$B$10:$E$265,4,0)</f>
        <v>450880</v>
      </c>
      <c r="G28" s="439" t="str">
        <f>VLOOKUP(D28,'[3]Seguimiento Plan'!$C$2:$R$101,16,0)</f>
        <v>Prestar los servicios de mantenimiento y actualizacion  de módulo de contabilidad programa SIIGO.-</v>
      </c>
      <c r="H28" s="439" t="s">
        <v>1780</v>
      </c>
      <c r="I28" s="439" t="s">
        <v>1713</v>
      </c>
      <c r="J28" s="448" t="s">
        <v>908</v>
      </c>
      <c r="K28" s="449" t="s">
        <v>390</v>
      </c>
      <c r="L28" s="449" t="str">
        <f>VLOOKUP(D28,'[3]Seguimiento Plan'!$C$2:$AJ$101,30,0)</f>
        <v>SI</v>
      </c>
      <c r="M28" s="450">
        <f>VLOOKUP(D28,'[3]Seguimiento Plan'!$C$2:$AJ$101,31,0)</f>
        <v>42081</v>
      </c>
      <c r="N28" s="449" t="s">
        <v>1803</v>
      </c>
      <c r="O28" s="451"/>
      <c r="P28" s="451"/>
      <c r="Q28" s="451"/>
      <c r="R28" s="452"/>
      <c r="S28" s="710" t="s">
        <v>2070</v>
      </c>
      <c r="T28" s="351" t="s">
        <v>1120</v>
      </c>
      <c r="U28" s="455" t="str">
        <f>IF(ISERROR(VLOOKUP(T28,'Base de Datos'!$E$7:$AR$302,3,0))=TRUE," ",(VLOOKUP(T28,'Base de Datos'!$E$7:$AR$302,2,0)))</f>
        <v>SOLUCIONES EN INGENIERIA Y SOFTWARE SAS</v>
      </c>
      <c r="V28" s="458">
        <f>IF(ISERROR(VLOOKUP(T28,'Base de Datos'!$E$7:$AR$302,5,0))=TRUE," ",(VLOOKUP(T28,'Base de Datos'!$E$7:$AR$302,5,0)))</f>
        <v>812500</v>
      </c>
      <c r="W28" s="455">
        <f>IF(ISERROR(VLOOKUP(T28,'Base de Datos'!$E$7:$AR$302,19,0))=TRUE," ",(VLOOKUP(T28,'Base de Datos'!$E$7:$AR$302,19,0)))</f>
        <v>0</v>
      </c>
      <c r="X28" s="460" t="str">
        <f>IF(ISERROR(VLOOKUP(T28,'Base de Datos'!$E$7:$AR$302,8,0))=TRUE," ",(VLOOKUP(T28,'Base de Datos'!$E$7:$AR$302,8,0)))</f>
        <v xml:space="preserve"> </v>
      </c>
      <c r="Y28" s="460">
        <f>IF(ISERROR(VLOOKUP(T28,'Base de Datos'!$E$7:$AR$302,9,0))=TRUE," ",(VLOOKUP(T28,'Base de Datos'!$E$7:$AR$302,9,0)))</f>
        <v>41928</v>
      </c>
      <c r="Z28" s="454">
        <f>IF(ISERROR(VLOOKUP(T28,'Base de Datos'!$E$7:$AR$302,10,0))=TRUE," ",(VLOOKUP(T28,'Base de Datos'!$E$7:$AR$302,10,0)))</f>
        <v>42004</v>
      </c>
      <c r="AA28" s="457">
        <f>IF(ISERROR(VLOOKUP(T28,'Base de Datos'!$E$7:$AR$302,11,0))=TRUE," ",(VLOOKUP(T28,'Base de Datos'!$E$7:$AR$302,11,0)))</f>
        <v>0</v>
      </c>
      <c r="AB28" s="454">
        <f>IF(ISERROR(VLOOKUP(T28,'Base de Datos'!$E$7:$AR$302,12,0))=TRUE," ",(VLOOKUP(T28,'Base de Datos'!$E$7:$AR$302,12,0)))</f>
        <v>0</v>
      </c>
      <c r="AC28" s="454">
        <f>IF(ISERROR(VLOOKUP(T28,'Base de Datos'!$E$7:$AR$302,12,0))=TRUE," ",(VLOOKUP(T28,'Base de Datos'!$E$7:$AR$302,12,0)))</f>
        <v>0</v>
      </c>
      <c r="AD28" s="460" t="str">
        <f>IF(ISERROR(VLOOKUP(T28,'Base de Datos'!$E$7:$AR$302,15,0))=TRUE," ",(VLOOKUP(T28,'Base de Datos'!$E$7:$AR$302,15,0)))</f>
        <v/>
      </c>
      <c r="AE28" s="465">
        <f>IF(ISERROR(VLOOKUP(T28,'Base de Datos'!$E$7:$AR$302,16,0))=TRUE," ",(VLOOKUP(T28,'Base de Datos'!$E$7:$AR$302,16,0)))</f>
        <v>42004</v>
      </c>
      <c r="AF28" s="465">
        <f>IF(ISERROR(VLOOKUP(T28,'Base de Datos'!$E$7:$AR$302,17,0))=TRUE," ",(VLOOKUP(T28,'Base de Datos'!$E$7:$AR$302,17,0)))</f>
        <v>812500</v>
      </c>
      <c r="AG28" s="465">
        <f>IF(ISERROR(VLOOKUP(T28,'Base de Datos'!$E$7:$AR$302,18,0))=TRUE," ",(VLOOKUP(T28,'Base de Datos'!$E$7:$AR$302,18,0)))</f>
        <v>812500</v>
      </c>
      <c r="AH28" s="466">
        <f>IF(ISERROR(VLOOKUP(T28,'Base de Datos'!$E$7:$AR$302,20,0))=TRUE," ",(VLOOKUP(T28,'Base de Datos'!$E$7:$AR$302,20,0)))</f>
        <v>0</v>
      </c>
      <c r="AI28" s="466">
        <f>IF(ISERROR(VLOOKUP(T28,'Base de Datos'!$E$7:$AR$302,21,0))=TRUE," ",(VLOOKUP(T28,'Base de Datos'!$E$7:$AR$302,21,0)))</f>
        <v>1</v>
      </c>
      <c r="AJ28" s="469">
        <v>42194</v>
      </c>
      <c r="AK28" s="455" t="str">
        <f>IF(ISERROR(VLOOKUP(D28,'Base de Datos'!$C$7:$AR$400,2,0))=TRUE," ",(VLOOKUP(D28,'Base de Datos'!$C$7:$AR$400,2,0)))</f>
        <v>201558</v>
      </c>
      <c r="AL28" s="455" t="str">
        <f>IF(ISERROR(VLOOKUP(D28,'Base de Datos'!$C$7:$AR$400,3,0))=TRUE," ",(VLOOKUP(D28,'Base de Datos'!$C$7:$AR$400,3,0)))</f>
        <v>150312-0-2015</v>
      </c>
      <c r="AM28" s="458" t="str">
        <f>IF(ISERROR(VLOOKUP(D28,'Base de Datos'!$C$7:$AR$4014,6,0))=TRUE," ",(VLOOKUP(D28,'Base de Datos'!$C$7:$AR$400,6,0)))</f>
        <v xml:space="preserve">Prestar los servicios de mantenimiento y actualización de módulo de contabilidad programa SIIGO </v>
      </c>
      <c r="AN28" s="458">
        <f>IF(ISERROR(VLOOKUP(D28,'Base de Datos'!$C$7:$AR$400,20,0))=TRUE," ",(VLOOKUP(D28,'Base de Datos'!$C$7:$AR$400,19,0)))</f>
        <v>450880</v>
      </c>
      <c r="AO28" s="461">
        <f>IF(ISERROR(VLOOKUP(D28,'Base de Datos'!$C$7:$AR$400,9,0))=TRUE," ",(VLOOKUP(D28,'Base de Datos'!$C$7:$AR$400,9,0)))</f>
        <v>2015</v>
      </c>
      <c r="AP28" s="461">
        <f>IF(ISERROR(VLOOKUP(D28,'Base de Datos'!$C$7:$AR$400,10,0))=TRUE," ",(VLOOKUP(D28,'Base de Datos'!$C$7:$AR$400,10,0)))</f>
        <v>42194</v>
      </c>
      <c r="AQ28" s="463">
        <f>IF(ISERROR(VLOOKUP(D28,'Base de Datos'!$C$7:$AR$400,11,0))=TRUE," ",(VLOOKUP(D28,'Base de Datos'!$C$7:$AR$400,11,0)))</f>
        <v>42219</v>
      </c>
      <c r="AR28" s="464">
        <f>IF(ISERROR(VLOOKUP(D28,'Base de Datos'!$C$7:$AR$400,12,0))=TRUE," ",(VLOOKUP(D28,'Base de Datos'!$C$7:$AR$400,12,0)))</f>
        <v>42311</v>
      </c>
      <c r="AS28" s="463">
        <f>IF(ISERROR(VLOOKUP(D28,'Base de Datos'!$C$7:$AR$400,13,0))=TRUE," ",(VLOOKUP(D28,'Base de Datos'!$C$7:$AR$400,13,0)))</f>
        <v>0</v>
      </c>
      <c r="AT28" s="463">
        <f>IF(ISERROR(VLOOKUP(D28,'Base de Datos'!$C$7:$AR$400,14,0))=TRUE," ",(VLOOKUP(D28,'Base de Datos'!$C$7:$AR$400,14,0)))</f>
        <v>0</v>
      </c>
      <c r="AU28" s="461" t="str">
        <f>IF(ISERROR(VLOOKUP(D28,'Base de Datos'!$C$7:$AR$400,16,0))=TRUE," ",(VLOOKUP(D28,'Base de Datos'!$C$7:$AR$400,16,0)))</f>
        <v/>
      </c>
      <c r="AV28" s="465" t="str">
        <f>IF(ISERROR(VLOOKUP(D28,'Base de Datos'!$C$7:$AR$400,17,0))=TRUE," ",(VLOOKUP(D28,'Base de Datos'!$C$7:$AR$400,17,0)))</f>
        <v/>
      </c>
      <c r="AW28" s="465">
        <f>IF(ISERROR(VLOOKUP(D28,'Base de Datos'!$C$7:$AR$400,18,0))=TRUE," ",(VLOOKUP(D28,'Base de Datos'!$C$7:$AR$400,18,0)))</f>
        <v>42311</v>
      </c>
      <c r="AX28" s="465">
        <f>IF(ISERROR(VLOOKUP(D28,'Base de Datos'!$C$7:$AR$400,19,0))=TRUE," ",(VLOOKUP(D28,'Base de Datos'!$C$7:$AR$400,19,0)))</f>
        <v>450880</v>
      </c>
      <c r="AY28" s="468">
        <f>IF(ISERROR(VLOOKUP(D28,'Base de Datos'!$C$7:$AR$400,21,0))=TRUE," ",(VLOOKUP(D28,'Base de Datos'!$C$7:$AR$400,21,0)))</f>
        <v>0</v>
      </c>
      <c r="AZ28" s="468" t="str">
        <f>IF(ISERROR(VLOOKUP(D28,'Base de Datos'!$C$7:$AR$400,22,0))=TRUE," ",(VLOOKUP(D28,'Base de Datos'!$C$7:$AR$400,22,0)))</f>
        <v>Único pago</v>
      </c>
      <c r="BA28" s="475"/>
      <c r="BB28" s="485"/>
    </row>
    <row r="29" spans="2:54" ht="55.5" hidden="1" customHeight="1" x14ac:dyDescent="0.25">
      <c r="B29" s="438">
        <v>22</v>
      </c>
      <c r="C29" s="446" t="s">
        <v>1645</v>
      </c>
      <c r="D29" s="438">
        <v>59</v>
      </c>
      <c r="E29" s="446" t="s">
        <v>1651</v>
      </c>
      <c r="F29" s="447">
        <f>VLOOKUP(D29,'Presupuesto - PAA 2015'!$B$10:$E$265,4,0)</f>
        <v>20136071</v>
      </c>
      <c r="G29" s="439" t="str">
        <f>VLOOKUP(D29,'[3]Seguimiento Plan'!$C$2:$R$101,16,0)</f>
        <v>Prestar los servicios de mantenimiento preventivo, correctivo y soporte técnico especializado para sistema biométrico y control de horarios.</v>
      </c>
      <c r="H29" s="439" t="s">
        <v>1780</v>
      </c>
      <c r="I29" s="439" t="s">
        <v>1713</v>
      </c>
      <c r="J29" s="448" t="s">
        <v>909</v>
      </c>
      <c r="K29" s="449" t="s">
        <v>390</v>
      </c>
      <c r="L29" s="449" t="str">
        <f>VLOOKUP(D29,'[3]Seguimiento Plan'!$C$2:$AJ$101,30,0)</f>
        <v>SI</v>
      </c>
      <c r="M29" s="450">
        <f>VLOOKUP(D29,'[3]Seguimiento Plan'!$C$2:$AJ$101,31,0)</f>
        <v>41940</v>
      </c>
      <c r="N29" s="449" t="s">
        <v>1804</v>
      </c>
      <c r="O29" s="451"/>
      <c r="P29" s="451"/>
      <c r="Q29" s="451"/>
      <c r="R29" s="452"/>
      <c r="S29" s="709" t="s">
        <v>2055</v>
      </c>
      <c r="T29" s="453"/>
      <c r="U29" s="455" t="str">
        <f>IF(ISERROR(VLOOKUP(T29,'Base de Datos'!$E$7:$AR$302,3,0))=TRUE," ",(VLOOKUP(T29,'Base de Datos'!$E$7:$AR$302,2,0)))</f>
        <v xml:space="preserve"> </v>
      </c>
      <c r="V29" s="458" t="str">
        <f>IF(ISERROR(VLOOKUP(T29,'Base de Datos'!$E$7:$AR$302,5,0))=TRUE," ",(VLOOKUP(T29,'Base de Datos'!$E$7:$AR$302,5,0)))</f>
        <v xml:space="preserve"> </v>
      </c>
      <c r="W29" s="455" t="str">
        <f>IF(ISERROR(VLOOKUP(T29,'Base de Datos'!$E$7:$AR$302,19,0))=TRUE," ",(VLOOKUP(T29,'Base de Datos'!$E$7:$AR$302,19,0)))</f>
        <v xml:space="preserve"> </v>
      </c>
      <c r="X29" s="460" t="str">
        <f>IF(ISERROR(VLOOKUP(T29,'Base de Datos'!$E$7:$AR$302,8,0))=TRUE," ",(VLOOKUP(T29,'Base de Datos'!$E$7:$AR$302,8,0)))</f>
        <v xml:space="preserve"> </v>
      </c>
      <c r="Y29" s="460" t="str">
        <f>IF(ISERROR(VLOOKUP(T29,'Base de Datos'!$E$7:$AR$302,9,0))=TRUE," ",(VLOOKUP(T29,'Base de Datos'!$E$7:$AR$302,9,0)))</f>
        <v xml:space="preserve"> </v>
      </c>
      <c r="Z29" s="454" t="str">
        <f>IF(ISERROR(VLOOKUP(T29,'Base de Datos'!$E$7:$AR$302,10,0))=TRUE," ",(VLOOKUP(T29,'Base de Datos'!$E$7:$AR$302,10,0)))</f>
        <v xml:space="preserve"> </v>
      </c>
      <c r="AA29" s="457" t="str">
        <f>IF(ISERROR(VLOOKUP(T29,'Base de Datos'!$E$7:$AR$302,11,0))=TRUE," ",(VLOOKUP(T29,'Base de Datos'!$E$7:$AR$302,11,0)))</f>
        <v xml:space="preserve"> </v>
      </c>
      <c r="AB29" s="454" t="str">
        <f>IF(ISERROR(VLOOKUP(T29,'Base de Datos'!$E$7:$AR$302,12,0))=TRUE," ",(VLOOKUP(T29,'Base de Datos'!$E$7:$AR$302,12,0)))</f>
        <v xml:space="preserve"> </v>
      </c>
      <c r="AC29" s="454" t="str">
        <f>IF(ISERROR(VLOOKUP(T29,'Base de Datos'!$E$7:$AR$302,12,0))=TRUE," ",(VLOOKUP(T29,'Base de Datos'!$E$7:$AR$302,12,0)))</f>
        <v xml:space="preserve"> </v>
      </c>
      <c r="AD29" s="460" t="str">
        <f>IF(ISERROR(VLOOKUP(T29,'Base de Datos'!$E$7:$AR$302,15,0))=TRUE," ",(VLOOKUP(T29,'Base de Datos'!$E$7:$AR$302,15,0)))</f>
        <v xml:space="preserve"> </v>
      </c>
      <c r="AE29" s="465" t="str">
        <f>IF(ISERROR(VLOOKUP(T29,'Base de Datos'!$E$7:$AR$302,16,0))=TRUE," ",(VLOOKUP(T29,'Base de Datos'!$E$7:$AR$302,16,0)))</f>
        <v xml:space="preserve"> </v>
      </c>
      <c r="AF29" s="465" t="str">
        <f>IF(ISERROR(VLOOKUP(T29,'Base de Datos'!$E$7:$AR$302,17,0))=TRUE," ",(VLOOKUP(T29,'Base de Datos'!$E$7:$AR$302,17,0)))</f>
        <v xml:space="preserve"> </v>
      </c>
      <c r="AG29" s="465" t="str">
        <f>IF(ISERROR(VLOOKUP(T29,'Base de Datos'!$E$7:$AR$302,18,0))=TRUE," ",(VLOOKUP(T29,'Base de Datos'!$E$7:$AR$302,18,0)))</f>
        <v xml:space="preserve"> </v>
      </c>
      <c r="AH29" s="466" t="str">
        <f>IF(ISERROR(VLOOKUP(T29,'Base de Datos'!$E$7:$AR$302,20,0))=TRUE," ",(VLOOKUP(T29,'Base de Datos'!$E$7:$AR$302,20,0)))</f>
        <v xml:space="preserve"> </v>
      </c>
      <c r="AI29" s="466" t="str">
        <f>IF(ISERROR(VLOOKUP(T29,'Base de Datos'!$E$7:$AR$302,21,0))=TRUE," ",(VLOOKUP(T29,'Base de Datos'!$E$7:$AR$302,21,0)))</f>
        <v xml:space="preserve"> </v>
      </c>
      <c r="AJ29" s="469">
        <v>42209</v>
      </c>
      <c r="AK29" s="455" t="str">
        <f>IF(ISERROR(VLOOKUP(D29,'Base de Datos'!$C$7:$AR$400,2,0))=TRUE," ",(VLOOKUP(D29,'Base de Datos'!$C$7:$AR$400,2,0)))</f>
        <v>201559</v>
      </c>
      <c r="AL29" s="455" t="str">
        <f>IF(ISERROR(VLOOKUP(D29,'Base de Datos'!$C$7:$AR$400,3,0))=TRUE," ",(VLOOKUP(D29,'Base de Datos'!$C$7:$AR$400,3,0)))</f>
        <v>150322-0-2015</v>
      </c>
      <c r="AM29" s="458" t="str">
        <f>IF(ISERROR(VLOOKUP(D29,'Base de Datos'!$C$7:$AR$4014,6,0))=TRUE," ",(VLOOKUP(D29,'Base de Datos'!$C$7:$AR$400,6,0)))</f>
        <v>Prestar los servicios de mantenimiento preventivo, correctivo y soporte técnico especializado para sistema biométrico del Concejo de Bogotá</v>
      </c>
      <c r="AN29" s="458">
        <f>IF(ISERROR(VLOOKUP(D29,'Base de Datos'!$C$7:$AR$400,20,0))=TRUE," ",(VLOOKUP(D29,'Base de Datos'!$C$7:$AR$400,19,0)))</f>
        <v>20136071</v>
      </c>
      <c r="AO29" s="461">
        <f>IF(ISERROR(VLOOKUP(D29,'Base de Datos'!$C$7:$AR$400,9,0))=TRUE," ",(VLOOKUP(D29,'Base de Datos'!$C$7:$AR$400,9,0)))</f>
        <v>2015</v>
      </c>
      <c r="AP29" s="461">
        <f>IF(ISERROR(VLOOKUP(D29,'Base de Datos'!$C$7:$AR$400,10,0))=TRUE," ",(VLOOKUP(D29,'Base de Datos'!$C$7:$AR$400,10,0)))</f>
        <v>42209</v>
      </c>
      <c r="AQ29" s="463">
        <f>IF(ISERROR(VLOOKUP(D29,'Base de Datos'!$C$7:$AR$400,11,0))=TRUE," ",(VLOOKUP(D29,'Base de Datos'!$C$7:$AR$400,11,0)))</f>
        <v>42221</v>
      </c>
      <c r="AR29" s="464">
        <f>IF(ISERROR(VLOOKUP(D29,'Base de Datos'!$C$7:$AR$400,12,0))=TRUE," ",(VLOOKUP(D29,'Base de Datos'!$C$7:$AR$400,12,0)))</f>
        <v>42587</v>
      </c>
      <c r="AS29" s="463">
        <f>IF(ISERROR(VLOOKUP(D29,'Base de Datos'!$C$7:$AR$400,13,0))=TRUE," ",(VLOOKUP(D29,'Base de Datos'!$C$7:$AR$400,13,0)))</f>
        <v>0</v>
      </c>
      <c r="AT29" s="463">
        <f>IF(ISERROR(VLOOKUP(D29,'Base de Datos'!$C$7:$AR$400,14,0))=TRUE," ",(VLOOKUP(D29,'Base de Datos'!$C$7:$AR$400,14,0)))</f>
        <v>0</v>
      </c>
      <c r="AU29" s="461" t="str">
        <f>IF(ISERROR(VLOOKUP(D29,'Base de Datos'!$C$7:$AR$400,16,0))=TRUE," ",(VLOOKUP(D29,'Base de Datos'!$C$7:$AR$400,16,0)))</f>
        <v/>
      </c>
      <c r="AV29" s="465" t="str">
        <f>IF(ISERROR(VLOOKUP(D29,'Base de Datos'!$C$7:$AR$400,17,0))=TRUE," ",(VLOOKUP(D29,'Base de Datos'!$C$7:$AR$400,17,0)))</f>
        <v/>
      </c>
      <c r="AW29" s="465">
        <f>IF(ISERROR(VLOOKUP(D29,'Base de Datos'!$C$7:$AR$400,18,0))=TRUE," ",(VLOOKUP(D29,'Base de Datos'!$C$7:$AR$400,18,0)))</f>
        <v>42587</v>
      </c>
      <c r="AX29" s="465">
        <f>IF(ISERROR(VLOOKUP(D29,'Base de Datos'!$C$7:$AR$400,19,0))=TRUE," ",(VLOOKUP(D29,'Base de Datos'!$C$7:$AR$400,19,0)))</f>
        <v>20136071</v>
      </c>
      <c r="AY29" s="468">
        <f>IF(ISERROR(VLOOKUP(D29,'Base de Datos'!$C$7:$AR$400,21,0))=TRUE," ",(VLOOKUP(D29,'Base de Datos'!$C$7:$AR$400,21,0)))</f>
        <v>9196142</v>
      </c>
      <c r="AZ29" s="468" t="str">
        <f>IF(ISERROR(VLOOKUP(D29,'Base de Datos'!$C$7:$AR$400,22,0))=TRUE," ",(VLOOKUP(D29,'Base de Datos'!$C$7:$AR$400,22,0)))</f>
        <v>De acuerdo a los servicios recibidos.</v>
      </c>
      <c r="BA29" s="475"/>
      <c r="BB29" s="485"/>
    </row>
    <row r="30" spans="2:54" ht="55.5" hidden="1" customHeight="1" x14ac:dyDescent="0.25">
      <c r="B30" s="438">
        <v>23</v>
      </c>
      <c r="C30" s="446" t="s">
        <v>1645</v>
      </c>
      <c r="D30" s="438">
        <v>60</v>
      </c>
      <c r="E30" s="446" t="s">
        <v>1651</v>
      </c>
      <c r="F30" s="447">
        <f>VLOOKUP(D30,'Presupuesto - PAA 2015'!$B$10:$E$265,4,0)</f>
        <v>85933385</v>
      </c>
      <c r="G30" s="439" t="s">
        <v>2124</v>
      </c>
      <c r="H30" s="439" t="s">
        <v>1780</v>
      </c>
      <c r="I30" s="439" t="s">
        <v>1713</v>
      </c>
      <c r="J30" s="448" t="s">
        <v>909</v>
      </c>
      <c r="K30" s="449" t="s">
        <v>390</v>
      </c>
      <c r="L30" s="449" t="str">
        <f>VLOOKUP(D30,'[3]Seguimiento Plan'!$C$2:$AJ$101,30,0)</f>
        <v>SI</v>
      </c>
      <c r="M30" s="450">
        <f>VLOOKUP(D30,'[3]Seguimiento Plan'!$C$2:$AJ$101,31,0)</f>
        <v>42065</v>
      </c>
      <c r="N30" s="449"/>
      <c r="O30" s="451"/>
      <c r="P30" s="451"/>
      <c r="Q30" s="451"/>
      <c r="R30" s="452"/>
      <c r="S30" s="452"/>
      <c r="T30" s="453"/>
      <c r="U30" s="455" t="str">
        <f>IF(ISERROR(VLOOKUP(T30,'Base de Datos'!$E$7:$AR$302,3,0))=TRUE," ",(VLOOKUP(T30,'Base de Datos'!$E$7:$AR$302,2,0)))</f>
        <v xml:space="preserve"> </v>
      </c>
      <c r="V30" s="458" t="str">
        <f>IF(ISERROR(VLOOKUP(T30,'Base de Datos'!$E$7:$AR$302,5,0))=TRUE," ",(VLOOKUP(T30,'Base de Datos'!$E$7:$AR$302,5,0)))</f>
        <v xml:space="preserve"> </v>
      </c>
      <c r="W30" s="455" t="str">
        <f>IF(ISERROR(VLOOKUP(T30,'Base de Datos'!$E$7:$AR$302,19,0))=TRUE," ",(VLOOKUP(T30,'Base de Datos'!$E$7:$AR$302,19,0)))</f>
        <v xml:space="preserve"> </v>
      </c>
      <c r="X30" s="460" t="str">
        <f>IF(ISERROR(VLOOKUP(T30,'Base de Datos'!$E$7:$AR$302,8,0))=TRUE," ",(VLOOKUP(T30,'Base de Datos'!$E$7:$AR$302,8,0)))</f>
        <v xml:space="preserve"> </v>
      </c>
      <c r="Y30" s="460" t="str">
        <f>IF(ISERROR(VLOOKUP(T30,'Base de Datos'!$E$7:$AR$302,9,0))=TRUE," ",(VLOOKUP(T30,'Base de Datos'!$E$7:$AR$302,9,0)))</f>
        <v xml:space="preserve"> </v>
      </c>
      <c r="Z30" s="454" t="str">
        <f>IF(ISERROR(VLOOKUP(T30,'Base de Datos'!$E$7:$AR$302,10,0))=TRUE," ",(VLOOKUP(T30,'Base de Datos'!$E$7:$AR$302,10,0)))</f>
        <v xml:space="preserve"> </v>
      </c>
      <c r="AA30" s="457" t="str">
        <f>IF(ISERROR(VLOOKUP(T30,'Base de Datos'!$E$7:$AR$302,11,0))=TRUE," ",(VLOOKUP(T30,'Base de Datos'!$E$7:$AR$302,11,0)))</f>
        <v xml:space="preserve"> </v>
      </c>
      <c r="AB30" s="454" t="str">
        <f>IF(ISERROR(VLOOKUP(T30,'Base de Datos'!$E$7:$AR$302,12,0))=TRUE," ",(VLOOKUP(T30,'Base de Datos'!$E$7:$AR$302,12,0)))</f>
        <v xml:space="preserve"> </v>
      </c>
      <c r="AC30" s="454" t="str">
        <f>IF(ISERROR(VLOOKUP(T30,'Base de Datos'!$E$7:$AR$302,12,0))=TRUE," ",(VLOOKUP(T30,'Base de Datos'!$E$7:$AR$302,12,0)))</f>
        <v xml:space="preserve"> </v>
      </c>
      <c r="AD30" s="460" t="str">
        <f>IF(ISERROR(VLOOKUP(T30,'Base de Datos'!$E$7:$AR$302,15,0))=TRUE," ",(VLOOKUP(T30,'Base de Datos'!$E$7:$AR$302,15,0)))</f>
        <v xml:space="preserve"> </v>
      </c>
      <c r="AE30" s="465" t="str">
        <f>IF(ISERROR(VLOOKUP(T30,'Base de Datos'!$E$7:$AR$302,16,0))=TRUE," ",(VLOOKUP(T30,'Base de Datos'!$E$7:$AR$302,16,0)))</f>
        <v xml:space="preserve"> </v>
      </c>
      <c r="AF30" s="465" t="str">
        <f>IF(ISERROR(VLOOKUP(T30,'Base de Datos'!$E$7:$AR$302,17,0))=TRUE," ",(VLOOKUP(T30,'Base de Datos'!$E$7:$AR$302,17,0)))</f>
        <v xml:space="preserve"> </v>
      </c>
      <c r="AG30" s="465" t="str">
        <f>IF(ISERROR(VLOOKUP(T30,'Base de Datos'!$E$7:$AR$302,18,0))=TRUE," ",(VLOOKUP(T30,'Base de Datos'!$E$7:$AR$302,18,0)))</f>
        <v xml:space="preserve"> </v>
      </c>
      <c r="AH30" s="466" t="str">
        <f>IF(ISERROR(VLOOKUP(T30,'Base de Datos'!$E$7:$AR$302,20,0))=TRUE," ",(VLOOKUP(T30,'Base de Datos'!$E$7:$AR$302,20,0)))</f>
        <v xml:space="preserve"> </v>
      </c>
      <c r="AI30" s="466" t="str">
        <f>IF(ISERROR(VLOOKUP(T30,'Base de Datos'!$E$7:$AR$302,21,0))=TRUE," ",(VLOOKUP(T30,'Base de Datos'!$E$7:$AR$302,21,0)))</f>
        <v xml:space="preserve"> </v>
      </c>
      <c r="AJ30" s="455"/>
      <c r="AK30" s="455" t="str">
        <f>IF(ISERROR(VLOOKUP(D30,'Base de Datos'!$C$7:$AR$400,2,0))=TRUE," ",(VLOOKUP(D30,'Base de Datos'!$C$7:$AR$400,2,0)))</f>
        <v>201560</v>
      </c>
      <c r="AL30" s="455" t="str">
        <f>IF(ISERROR(VLOOKUP(D30,'Base de Datos'!$C$7:$AR$400,3,0))=TRUE," ",(VLOOKUP(D30,'Base de Datos'!$C$7:$AR$400,3,0)))</f>
        <v>150314-0-2015</v>
      </c>
      <c r="AM30" s="458"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8">
        <f>IF(ISERROR(VLOOKUP(D30,'Base de Datos'!$C$7:$AR$400,20,0))=TRUE," ",(VLOOKUP(D30,'Base de Datos'!$C$7:$AR$400,19,0)))</f>
        <v>85933385</v>
      </c>
      <c r="AO30" s="461">
        <f>IF(ISERROR(VLOOKUP(D30,'Base de Datos'!$C$7:$AR$400,9,0))=TRUE," ",(VLOOKUP(D30,'Base de Datos'!$C$7:$AR$400,9,0)))</f>
        <v>2015</v>
      </c>
      <c r="AP30" s="461">
        <f>IF(ISERROR(VLOOKUP(D30,'Base de Datos'!$C$7:$AR$400,10,0))=TRUE," ",(VLOOKUP(D30,'Base de Datos'!$C$7:$AR$400,10,0)))</f>
        <v>42200</v>
      </c>
      <c r="AQ30" s="463">
        <f>IF(ISERROR(VLOOKUP(D30,'Base de Datos'!$C$7:$AR$400,11,0))=TRUE," ",(VLOOKUP(D30,'Base de Datos'!$C$7:$AR$400,11,0)))</f>
        <v>42209</v>
      </c>
      <c r="AR30" s="464">
        <f>IF(ISERROR(VLOOKUP(D30,'Base de Datos'!$C$7:$AR$400,12,0))=TRUE," ",(VLOOKUP(D30,'Base de Datos'!$C$7:$AR$400,12,0)))</f>
        <v>42575</v>
      </c>
      <c r="AS30" s="463">
        <f>IF(ISERROR(VLOOKUP(D30,'Base de Datos'!$C$7:$AR$400,13,0))=TRUE," ",(VLOOKUP(D30,'Base de Datos'!$C$7:$AR$400,13,0)))</f>
        <v>0</v>
      </c>
      <c r="AT30" s="463">
        <f>IF(ISERROR(VLOOKUP(D30,'Base de Datos'!$C$7:$AR$400,14,0))=TRUE," ",(VLOOKUP(D30,'Base de Datos'!$C$7:$AR$400,14,0)))</f>
        <v>0</v>
      </c>
      <c r="AU30" s="461" t="str">
        <f>IF(ISERROR(VLOOKUP(D30,'Base de Datos'!$C$7:$AR$400,16,0))=TRUE," ",(VLOOKUP(D30,'Base de Datos'!$C$7:$AR$400,16,0)))</f>
        <v/>
      </c>
      <c r="AV30" s="465" t="str">
        <f>IF(ISERROR(VLOOKUP(D30,'Base de Datos'!$C$7:$AR$400,17,0))=TRUE," ",(VLOOKUP(D30,'Base de Datos'!$C$7:$AR$400,17,0)))</f>
        <v/>
      </c>
      <c r="AW30" s="465">
        <f>IF(ISERROR(VLOOKUP(D30,'Base de Datos'!$C$7:$AR$400,18,0))=TRUE," ",(VLOOKUP(D30,'Base de Datos'!$C$7:$AR$400,18,0)))</f>
        <v>42575</v>
      </c>
      <c r="AX30" s="465">
        <f>IF(ISERROR(VLOOKUP(D30,'Base de Datos'!$C$7:$AR$400,19,0))=TRUE," ",(VLOOKUP(D30,'Base de Datos'!$C$7:$AR$400,19,0)))</f>
        <v>85933385</v>
      </c>
      <c r="AY30" s="468">
        <f>IF(ISERROR(VLOOKUP(D30,'Base de Datos'!$C$7:$AR$400,21,0))=TRUE," ",(VLOOKUP(D30,'Base de Datos'!$C$7:$AR$400,21,0)))</f>
        <v>1763557</v>
      </c>
      <c r="AZ30" s="468">
        <f>IF(ISERROR(VLOOKUP(D30,'Base de Datos'!$C$7:$AR$400,22,0))=TRUE," ",(VLOOKUP(D30,'Base de Datos'!$C$7:$AR$400,22,0)))</f>
        <v>0</v>
      </c>
      <c r="BA30" s="475"/>
      <c r="BB30" s="485"/>
    </row>
    <row r="31" spans="2:54" ht="55.5" hidden="1" customHeight="1" x14ac:dyDescent="0.25">
      <c r="B31" s="438">
        <v>24</v>
      </c>
      <c r="C31" s="446" t="s">
        <v>1645</v>
      </c>
      <c r="D31" s="438">
        <v>61</v>
      </c>
      <c r="E31" s="446" t="s">
        <v>1651</v>
      </c>
      <c r="F31" s="447">
        <f>VLOOKUP(D31,'Presupuesto - PAA 2015'!$B$10:$E$265,4,0)</f>
        <v>40610000</v>
      </c>
      <c r="G31" s="439" t="str">
        <f>VLOOKUP(D31,'[3]Seguimiento Plan'!$C$2:$R$101,16,0)</f>
        <v>Adición y prórroga al contrato 140317 -2014 que tiene por objeto:  Prestar el servicio de actualización, mantenimiento y soporte al sitio WEB e intranet del Concejo de Bogotá.</v>
      </c>
      <c r="H31" s="439" t="s">
        <v>1780</v>
      </c>
      <c r="I31" s="439" t="s">
        <v>1713</v>
      </c>
      <c r="J31" s="448" t="s">
        <v>590</v>
      </c>
      <c r="K31" s="449"/>
      <c r="L31" s="449"/>
      <c r="M31" s="450"/>
      <c r="N31" s="449"/>
      <c r="O31" s="451"/>
      <c r="P31" s="451"/>
      <c r="Q31" s="451"/>
      <c r="R31" s="452"/>
      <c r="S31" s="452"/>
      <c r="T31" s="351" t="s">
        <v>1159</v>
      </c>
      <c r="U31" s="455" t="str">
        <f>IF(ISERROR(VLOOKUP(T31,'Base de Datos'!$E$7:$AR$302,3,0))=TRUE," ",(VLOOKUP(T31,'Base de Datos'!$E$7:$AR$302,2,0)))</f>
        <v>FACTOR VISUAL EAT</v>
      </c>
      <c r="V31" s="458">
        <f>IF(ISERROR(VLOOKUP(T31,'Base de Datos'!$E$7:$AR$302,5,0))=TRUE," ",(VLOOKUP(T31,'Base de Datos'!$E$7:$AR$302,5,0)))</f>
        <v>44544000</v>
      </c>
      <c r="W31" s="455">
        <f>IF(ISERROR(VLOOKUP(T31,'Base de Datos'!$E$7:$AR$302,19,0))=TRUE," ",(VLOOKUP(T31,'Base de Datos'!$E$7:$AR$302,19,0)))</f>
        <v>0</v>
      </c>
      <c r="X31" s="460" t="str">
        <f>IF(ISERROR(VLOOKUP(T31,'Base de Datos'!$E$7:$AR$302,8,0))=TRUE," ",(VLOOKUP(T31,'Base de Datos'!$E$7:$AR$302,8,0)))</f>
        <v xml:space="preserve"> </v>
      </c>
      <c r="Y31" s="460">
        <f>IF(ISERROR(VLOOKUP(T31,'Base de Datos'!$E$7:$AR$302,9,0))=TRUE," ",(VLOOKUP(T31,'Base de Datos'!$E$7:$AR$302,9,0)))</f>
        <v>41929</v>
      </c>
      <c r="Z31" s="454">
        <f>IF(ISERROR(VLOOKUP(T31,'Base de Datos'!$E$7:$AR$302,10,0))=TRUE," ",(VLOOKUP(T31,'Base de Datos'!$E$7:$AR$302,10,0)))</f>
        <v>42294</v>
      </c>
      <c r="AA31" s="457">
        <f>IF(ISERROR(VLOOKUP(T31,'Base de Datos'!$E$7:$AR$302,11,0))=TRUE," ",(VLOOKUP(T31,'Base de Datos'!$E$7:$AR$302,11,0)))</f>
        <v>1</v>
      </c>
      <c r="AB31" s="454">
        <f>IF(ISERROR(VLOOKUP(T31,'Base de Datos'!$E$7:$AR$302,12,0))=TRUE," ",(VLOOKUP(T31,'Base de Datos'!$E$7:$AR$302,12,0)))</f>
        <v>22272000</v>
      </c>
      <c r="AC31" s="454">
        <f>IF(ISERROR(VLOOKUP(T31,'Base de Datos'!$E$7:$AR$302,12,0))=TRUE," ",(VLOOKUP(T31,'Base de Datos'!$E$7:$AR$302,12,0)))</f>
        <v>22272000</v>
      </c>
      <c r="AD31" s="460">
        <f>IF(ISERROR(VLOOKUP(T31,'Base de Datos'!$E$7:$AR$302,15,0))=TRUE," ",(VLOOKUP(T31,'Base de Datos'!$E$7:$AR$302,15,0)))</f>
        <v>42477</v>
      </c>
      <c r="AE31" s="465">
        <f>IF(ISERROR(VLOOKUP(T31,'Base de Datos'!$E$7:$AR$302,16,0))=TRUE," ",(VLOOKUP(T31,'Base de Datos'!$E$7:$AR$302,16,0)))</f>
        <v>42477</v>
      </c>
      <c r="AF31" s="465">
        <f>IF(ISERROR(VLOOKUP(T31,'Base de Datos'!$E$7:$AR$302,17,0))=TRUE," ",(VLOOKUP(T31,'Base de Datos'!$E$7:$AR$302,17,0)))</f>
        <v>66816000</v>
      </c>
      <c r="AG31" s="465">
        <f>IF(ISERROR(VLOOKUP(T31,'Base de Datos'!$E$7:$AR$302,18,0))=TRUE," ",(VLOOKUP(T31,'Base de Datos'!$E$7:$AR$302,18,0)))</f>
        <v>66816000</v>
      </c>
      <c r="AH31" s="466"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6">
        <f>IF(ISERROR(VLOOKUP(T31,'Base de Datos'!$E$7:$AR$302,21,0))=TRUE," ",(VLOOKUP(T31,'Base de Datos'!$E$7:$AR$302,21,0)))</f>
        <v>1</v>
      </c>
      <c r="AJ31" s="455"/>
      <c r="AK31" s="455" t="str">
        <f>IF(ISERROR(VLOOKUP(D31,'Base de Datos'!$C$7:$AR$400,2,0))=TRUE," ",(VLOOKUP(D31,'Base de Datos'!$C$7:$AR$400,2,0)))</f>
        <v xml:space="preserve"> </v>
      </c>
      <c r="AL31" s="455" t="str">
        <f>IF(ISERROR(VLOOKUP(D31,'Base de Datos'!$C$7:$AR$400,3,0))=TRUE," ",(VLOOKUP(D31,'Base de Datos'!$C$7:$AR$400,3,0)))</f>
        <v xml:space="preserve"> </v>
      </c>
      <c r="AM31" s="458" t="str">
        <f>IF(ISERROR(VLOOKUP(D31,'Base de Datos'!$C$7:$AR$4014,6,0))=TRUE," ",(VLOOKUP(D31,'Base de Datos'!$C$7:$AR$400,6,0)))</f>
        <v xml:space="preserve"> </v>
      </c>
      <c r="AN31" s="458" t="str">
        <f>IF(ISERROR(VLOOKUP(D31,'Base de Datos'!$C$7:$AR$400,20,0))=TRUE," ",(VLOOKUP(D31,'Base de Datos'!$C$7:$AR$400,19,0)))</f>
        <v xml:space="preserve"> </v>
      </c>
      <c r="AO31" s="461" t="str">
        <f>IF(ISERROR(VLOOKUP(D31,'Base de Datos'!$C$7:$AR$400,9,0))=TRUE," ",(VLOOKUP(D31,'Base de Datos'!$C$7:$AR$400,9,0)))</f>
        <v xml:space="preserve"> </v>
      </c>
      <c r="AP31" s="461" t="str">
        <f>IF(ISERROR(VLOOKUP(D31,'Base de Datos'!$C$7:$AR$400,10,0))=TRUE," ",(VLOOKUP(D31,'Base de Datos'!$C$7:$AR$400,10,0)))</f>
        <v xml:space="preserve"> </v>
      </c>
      <c r="AQ31" s="463" t="str">
        <f>IF(ISERROR(VLOOKUP(D31,'Base de Datos'!$C$7:$AR$400,11,0))=TRUE," ",(VLOOKUP(D31,'Base de Datos'!$C$7:$AR$400,11,0)))</f>
        <v xml:space="preserve"> </v>
      </c>
      <c r="AR31" s="464" t="str">
        <f>IF(ISERROR(VLOOKUP(D31,'Base de Datos'!$C$7:$AR$400,12,0))=TRUE," ",(VLOOKUP(D31,'Base de Datos'!$C$7:$AR$400,12,0)))</f>
        <v xml:space="preserve"> </v>
      </c>
      <c r="AS31" s="463" t="str">
        <f>IF(ISERROR(VLOOKUP(D31,'Base de Datos'!$C$7:$AR$400,13,0))=TRUE," ",(VLOOKUP(D31,'Base de Datos'!$C$7:$AR$400,13,0)))</f>
        <v xml:space="preserve"> </v>
      </c>
      <c r="AT31" s="463" t="str">
        <f>IF(ISERROR(VLOOKUP(D31,'Base de Datos'!$C$7:$AR$400,14,0))=TRUE," ",(VLOOKUP(D31,'Base de Datos'!$C$7:$AR$400,14,0)))</f>
        <v xml:space="preserve"> </v>
      </c>
      <c r="AU31" s="461" t="str">
        <f>IF(ISERROR(VLOOKUP(D31,'Base de Datos'!$C$7:$AR$400,16,0))=TRUE," ",(VLOOKUP(D31,'Base de Datos'!$C$7:$AR$400,16,0)))</f>
        <v xml:space="preserve"> </v>
      </c>
      <c r="AV31" s="465" t="str">
        <f>IF(ISERROR(VLOOKUP(D31,'Base de Datos'!$C$7:$AR$400,17,0))=TRUE," ",(VLOOKUP(D31,'Base de Datos'!$C$7:$AR$400,17,0)))</f>
        <v xml:space="preserve"> </v>
      </c>
      <c r="AW31" s="465" t="str">
        <f>IF(ISERROR(VLOOKUP(D31,'Base de Datos'!$C$7:$AR$400,18,0))=TRUE," ",(VLOOKUP(D31,'Base de Datos'!$C$7:$AR$400,18,0)))</f>
        <v xml:space="preserve"> </v>
      </c>
      <c r="AX31" s="465" t="str">
        <f>IF(ISERROR(VLOOKUP(D31,'Base de Datos'!$C$7:$AR$400,19,0))=TRUE," ",(VLOOKUP(D31,'Base de Datos'!$C$7:$AR$400,19,0)))</f>
        <v xml:space="preserve"> </v>
      </c>
      <c r="AY31" s="468" t="str">
        <f>IF(ISERROR(VLOOKUP(D31,'Base de Datos'!$C$7:$AR$400,21,0))=TRUE," ",(VLOOKUP(D31,'Base de Datos'!$C$7:$AR$400,21,0)))</f>
        <v xml:space="preserve"> </v>
      </c>
      <c r="AZ31" s="468" t="str">
        <f>IF(ISERROR(VLOOKUP(D31,'Base de Datos'!$C$7:$AR$400,22,0))=TRUE," ",(VLOOKUP(D31,'Base de Datos'!$C$7:$AR$400,22,0)))</f>
        <v xml:space="preserve"> </v>
      </c>
      <c r="BA31" s="475"/>
      <c r="BB31" s="485"/>
    </row>
    <row r="32" spans="2:54" ht="55.5" hidden="1" customHeight="1" x14ac:dyDescent="0.25">
      <c r="B32" s="438">
        <v>25</v>
      </c>
      <c r="C32" s="446" t="s">
        <v>1645</v>
      </c>
      <c r="D32" s="438">
        <v>62</v>
      </c>
      <c r="E32" s="446" t="s">
        <v>1651</v>
      </c>
      <c r="F32" s="447">
        <f>VLOOKUP(D32,'Presupuesto - PAA 2015'!$B$10:$E$265,4,0)</f>
        <v>194667840</v>
      </c>
      <c r="G32" s="439" t="str">
        <f>VLOOKUP(D32,'[3]Seguimiento Plan'!$C$2:$R$101,16,0)</f>
        <v>Prestar los servicios de mantenimieto, actualización y soporte de licencias y plataforma del sistema de voto electrónico del Concejo de Bogotá D.C</v>
      </c>
      <c r="H32" s="439" t="s">
        <v>1780</v>
      </c>
      <c r="I32" s="439" t="s">
        <v>1713</v>
      </c>
      <c r="J32" s="448" t="s">
        <v>913</v>
      </c>
      <c r="K32" s="449" t="s">
        <v>390</v>
      </c>
      <c r="L32" s="449" t="str">
        <f>VLOOKUP(D32,'[3]Seguimiento Plan'!$C$2:$AJ$101,30,0)</f>
        <v>SI</v>
      </c>
      <c r="M32" s="450">
        <f>VLOOKUP(D32,'[3]Seguimiento Plan'!$C$2:$AJ$101,31,0)</f>
        <v>42065</v>
      </c>
      <c r="N32" s="449" t="s">
        <v>1805</v>
      </c>
      <c r="O32" s="451"/>
      <c r="P32" s="451"/>
      <c r="Q32" s="451"/>
      <c r="R32" s="452"/>
      <c r="S32" s="470"/>
      <c r="T32" s="354" t="s">
        <v>1352</v>
      </c>
      <c r="U32" s="455" t="str">
        <f>IF(ISERROR(VLOOKUP(T32,'Base de Datos'!$E$7:$AR$302,3,0))=TRUE," ",(VLOOKUP(T32,'Base de Datos'!$E$7:$AR$302,2,0)))</f>
        <v>PROSEGUR TECNOLOGÍA S.A.S.</v>
      </c>
      <c r="V32" s="458">
        <f>IF(ISERROR(VLOOKUP(T32,'Base de Datos'!$E$7:$AR$302,5,0))=TRUE," ",(VLOOKUP(T32,'Base de Datos'!$E$7:$AR$302,5,0)))</f>
        <v>59383678</v>
      </c>
      <c r="W32" s="455">
        <f>IF(ISERROR(VLOOKUP(T32,'Base de Datos'!$E$7:$AR$302,19,0))=TRUE," ",(VLOOKUP(T32,'Base de Datos'!$E$7:$AR$302,19,0)))</f>
        <v>31613526</v>
      </c>
      <c r="X32" s="460" t="str">
        <f>IF(ISERROR(VLOOKUP(T32,'Base de Datos'!$E$7:$AR$302,8,0))=TRUE," ",(VLOOKUP(T32,'Base de Datos'!$E$7:$AR$302,8,0)))</f>
        <v xml:space="preserve"> </v>
      </c>
      <c r="Y32" s="460">
        <f>IF(ISERROR(VLOOKUP(T32,'Base de Datos'!$E$7:$AR$302,9,0))=TRUE," ",(VLOOKUP(T32,'Base de Datos'!$E$7:$AR$302,9,0)))</f>
        <v>41941</v>
      </c>
      <c r="Z32" s="454">
        <f>IF(ISERROR(VLOOKUP(T32,'Base de Datos'!$E$7:$AR$302,10,0))=TRUE," ",(VLOOKUP(T32,'Base de Datos'!$E$7:$AR$302,10,0)))</f>
        <v>42033</v>
      </c>
      <c r="AA32" s="457">
        <f>IF(ISERROR(VLOOKUP(T32,'Base de Datos'!$E$7:$AR$302,11,0))=TRUE," ",(VLOOKUP(T32,'Base de Datos'!$E$7:$AR$302,11,0)))</f>
        <v>0</v>
      </c>
      <c r="AB32" s="454">
        <f>IF(ISERROR(VLOOKUP(T32,'Base de Datos'!$E$7:$AR$302,12,0))=TRUE," ",(VLOOKUP(T32,'Base de Datos'!$E$7:$AR$302,12,0)))</f>
        <v>0</v>
      </c>
      <c r="AC32" s="454">
        <f>IF(ISERROR(VLOOKUP(T32,'Base de Datos'!$E$7:$AR$302,12,0))=TRUE," ",(VLOOKUP(T32,'Base de Datos'!$E$7:$AR$302,12,0)))</f>
        <v>0</v>
      </c>
      <c r="AD32" s="460">
        <f>IF(ISERROR(VLOOKUP(T32,'Base de Datos'!$E$7:$AR$302,15,0))=TRUE," ",(VLOOKUP(T32,'Base de Datos'!$E$7:$AR$302,15,0)))</f>
        <v>42184</v>
      </c>
      <c r="AE32" s="465">
        <f>IF(ISERROR(VLOOKUP(T32,'Base de Datos'!$E$7:$AR$302,16,0))=TRUE," ",(VLOOKUP(T32,'Base de Datos'!$E$7:$AR$302,16,0)))</f>
        <v>42184</v>
      </c>
      <c r="AF32" s="465">
        <f>IF(ISERROR(VLOOKUP(T32,'Base de Datos'!$E$7:$AR$302,17,0))=TRUE," ",(VLOOKUP(T32,'Base de Datos'!$E$7:$AR$302,17,0)))</f>
        <v>59383678</v>
      </c>
      <c r="AG32" s="465">
        <f>IF(ISERROR(VLOOKUP(T32,'Base de Datos'!$E$7:$AR$302,18,0))=TRUE," ",(VLOOKUP(T32,'Base de Datos'!$E$7:$AR$302,18,0)))</f>
        <v>27770152</v>
      </c>
      <c r="AH32" s="466" t="str">
        <f>IF(ISERROR(VLOOKUP(T32,'Base de Datos'!$E$7:$AR$302,20,0))=TRUE," ",(VLOOKUP(T32,'Base de Datos'!$E$7:$AR$302,20,0)))</f>
        <v>Por entrega</v>
      </c>
      <c r="AI32" s="466">
        <f>IF(ISERROR(VLOOKUP(T32,'Base de Datos'!$E$7:$AR$302,21,0))=TRUE," ",(VLOOKUP(T32,'Base de Datos'!$E$7:$AR$302,21,0)))</f>
        <v>0.46763947494124564</v>
      </c>
      <c r="AJ32" s="459"/>
      <c r="AK32" s="455" t="str">
        <f>IF(ISERROR(VLOOKUP(D32,'Base de Datos'!$C$7:$AR$400,2,0))=TRUE," ",(VLOOKUP(D32,'Base de Datos'!$C$7:$AR$400,2,0)))</f>
        <v>201562</v>
      </c>
      <c r="AL32" s="455" t="str">
        <f>IF(ISERROR(VLOOKUP(D32,'Base de Datos'!$C$7:$AR$400,3,0))=TRUE," ",(VLOOKUP(D32,'Base de Datos'!$C$7:$AR$400,3,0)))</f>
        <v>150405-0-2015</v>
      </c>
      <c r="AM32" s="458" t="str">
        <f>IF(ISERROR(VLOOKUP(D32,'Base de Datos'!$C$7:$AR$4014,6,0))=TRUE," ",(VLOOKUP(D32,'Base de Datos'!$C$7:$AR$400,6,0)))</f>
        <v>Prestar los servicios de valoración y mantenimiento preventivo de la plataforma del sistema de voto electrónico del Concejo de Bogotá D.C.</v>
      </c>
      <c r="AN32" s="458">
        <f>IF(ISERROR(VLOOKUP(D32,'Base de Datos'!$C$7:$AR$400,20,0))=TRUE," ",(VLOOKUP(D32,'Base de Datos'!$C$7:$AR$400,19,0)))</f>
        <v>64250000</v>
      </c>
      <c r="AO32" s="461">
        <f>IF(ISERROR(VLOOKUP(D32,'Base de Datos'!$C$7:$AR$400,9,0))=TRUE," ",(VLOOKUP(D32,'Base de Datos'!$C$7:$AR$400,9,0)))</f>
        <v>2015</v>
      </c>
      <c r="AP32" s="461">
        <f>IF(ISERROR(VLOOKUP(D32,'Base de Datos'!$C$7:$AR$400,10,0))=TRUE," ",(VLOOKUP(D32,'Base de Datos'!$C$7:$AR$400,10,0)))</f>
        <v>42359</v>
      </c>
      <c r="AQ32" s="463">
        <f>IF(ISERROR(VLOOKUP(D32,'Base de Datos'!$C$7:$AR$400,11,0))=TRUE," ",(VLOOKUP(D32,'Base de Datos'!$C$7:$AR$400,11,0)))</f>
        <v>42384</v>
      </c>
      <c r="AR32" s="464">
        <f>IF(ISERROR(VLOOKUP(D32,'Base de Datos'!$C$7:$AR$400,12,0))=TRUE," ",(VLOOKUP(D32,'Base de Datos'!$C$7:$AR$400,12,0)))</f>
        <v>42505</v>
      </c>
      <c r="AS32" s="463">
        <f>IF(ISERROR(VLOOKUP(D32,'Base de Datos'!$C$7:$AR$400,13,0))=TRUE," ",(VLOOKUP(D32,'Base de Datos'!$C$7:$AR$400,13,0)))</f>
        <v>0</v>
      </c>
      <c r="AT32" s="463">
        <f>IF(ISERROR(VLOOKUP(D32,'Base de Datos'!$C$7:$AR$400,14,0))=TRUE," ",(VLOOKUP(D32,'Base de Datos'!$C$7:$AR$400,14,0)))</f>
        <v>0</v>
      </c>
      <c r="AU32" s="461" t="str">
        <f>IF(ISERROR(VLOOKUP(D32,'Base de Datos'!$C$7:$AR$400,16,0))=TRUE," ",(VLOOKUP(D32,'Base de Datos'!$C$7:$AR$400,16,0)))</f>
        <v>1 mes</v>
      </c>
      <c r="AV32" s="465">
        <f>IF(ISERROR(VLOOKUP(D32,'Base de Datos'!$C$7:$AR$400,17,0))=TRUE," ",(VLOOKUP(D32,'Base de Datos'!$C$7:$AR$400,17,0)))</f>
        <v>42536</v>
      </c>
      <c r="AW32" s="465">
        <f>IF(ISERROR(VLOOKUP(D32,'Base de Datos'!$C$7:$AR$400,18,0))=TRUE," ",(VLOOKUP(D32,'Base de Datos'!$C$7:$AR$400,18,0)))</f>
        <v>42536</v>
      </c>
      <c r="AX32" s="465">
        <f>IF(ISERROR(VLOOKUP(D32,'Base de Datos'!$C$7:$AR$400,19,0))=TRUE," ",(VLOOKUP(D32,'Base de Datos'!$C$7:$AR$400,19,0)))</f>
        <v>64250000</v>
      </c>
      <c r="AY32" s="468">
        <f>IF(ISERROR(VLOOKUP(D32,'Base de Datos'!$C$7:$AR$400,21,0))=TRUE," ",(VLOOKUP(D32,'Base de Datos'!$C$7:$AR$400,21,0)))</f>
        <v>0</v>
      </c>
      <c r="AZ32" s="468" t="str">
        <f>IF(ISERROR(VLOOKUP(D32,'Base de Datos'!$C$7:$AR$400,22,0))=TRUE," ",(VLOOKUP(D32,'Base de Datos'!$C$7:$AR$400,22,0)))</f>
        <v>Un pago del 100% por la etapa de valoración y mantenimiento preventivo; pagos por demanda de los repuestos, partes, accesorios, elementos, equipos y/o software.</v>
      </c>
      <c r="BA32" s="475"/>
      <c r="BB32" s="485"/>
    </row>
    <row r="33" spans="2:54" ht="55.5" hidden="1" customHeight="1" x14ac:dyDescent="0.25">
      <c r="B33" s="438">
        <v>26</v>
      </c>
      <c r="C33" s="446" t="s">
        <v>1645</v>
      </c>
      <c r="D33" s="438">
        <v>63</v>
      </c>
      <c r="E33" s="446" t="s">
        <v>1651</v>
      </c>
      <c r="F33" s="447">
        <f>VLOOKUP(D33,'Presupuesto - PAA 2015'!$B$10:$E$265,4,0)</f>
        <v>213397762</v>
      </c>
      <c r="G33" s="439" t="str">
        <f>VLOOKUP(D33,'[3]Seguimiento Plan'!$C$2:$R$101,16,0)</f>
        <v>Prestar los servicios de administración y soporte técnico para la plataforma Oracle y Microsoft del Concejo de Bogotá-</v>
      </c>
      <c r="H33" s="439" t="s">
        <v>1780</v>
      </c>
      <c r="I33" s="439" t="s">
        <v>1713</v>
      </c>
      <c r="J33" s="448" t="s">
        <v>913</v>
      </c>
      <c r="K33" s="449" t="s">
        <v>390</v>
      </c>
      <c r="L33" s="449" t="str">
        <f>VLOOKUP(D33,'[3]Seguimiento Plan'!$C$2:$AJ$101,30,0)</f>
        <v>SI</v>
      </c>
      <c r="M33" s="450">
        <f>VLOOKUP(D33,'[3]Seguimiento Plan'!$C$2:$AJ$101,31,0)</f>
        <v>42065</v>
      </c>
      <c r="N33" s="449" t="s">
        <v>1806</v>
      </c>
      <c r="O33" s="451"/>
      <c r="P33" s="451"/>
      <c r="Q33" s="451"/>
      <c r="R33" s="452"/>
      <c r="S33" s="452" t="s">
        <v>2026</v>
      </c>
      <c r="T33" s="453"/>
      <c r="U33" s="455" t="str">
        <f>IF(ISERROR(VLOOKUP(T33,'Base de Datos'!$E$7:$AR$302,3,0))=TRUE," ",(VLOOKUP(T33,'Base de Datos'!$E$7:$AR$302,2,0)))</f>
        <v xml:space="preserve"> </v>
      </c>
      <c r="V33" s="458" t="str">
        <f>IF(ISERROR(VLOOKUP(T33,'Base de Datos'!$E$7:$AR$302,5,0))=TRUE," ",(VLOOKUP(T33,'Base de Datos'!$E$7:$AR$302,5,0)))</f>
        <v xml:space="preserve"> </v>
      </c>
      <c r="W33" s="455" t="str">
        <f>IF(ISERROR(VLOOKUP(T33,'Base de Datos'!$E$7:$AR$302,19,0))=TRUE," ",(VLOOKUP(T33,'Base de Datos'!$E$7:$AR$302,19,0)))</f>
        <v xml:space="preserve"> </v>
      </c>
      <c r="X33" s="460" t="str">
        <f>IF(ISERROR(VLOOKUP(T33,'Base de Datos'!$E$7:$AR$302,8,0))=TRUE," ",(VLOOKUP(T33,'Base de Datos'!$E$7:$AR$302,8,0)))</f>
        <v xml:space="preserve"> </v>
      </c>
      <c r="Y33" s="460" t="str">
        <f>IF(ISERROR(VLOOKUP(T33,'Base de Datos'!$E$7:$AR$302,9,0))=TRUE," ",(VLOOKUP(T33,'Base de Datos'!$E$7:$AR$302,9,0)))</f>
        <v xml:space="preserve"> </v>
      </c>
      <c r="Z33" s="454" t="str">
        <f>IF(ISERROR(VLOOKUP(T33,'Base de Datos'!$E$7:$AR$302,10,0))=TRUE," ",(VLOOKUP(T33,'Base de Datos'!$E$7:$AR$302,10,0)))</f>
        <v xml:space="preserve"> </v>
      </c>
      <c r="AA33" s="457" t="str">
        <f>IF(ISERROR(VLOOKUP(T33,'Base de Datos'!$E$7:$AR$302,11,0))=TRUE," ",(VLOOKUP(T33,'Base de Datos'!$E$7:$AR$302,11,0)))</f>
        <v xml:space="preserve"> </v>
      </c>
      <c r="AB33" s="454" t="str">
        <f>IF(ISERROR(VLOOKUP(T33,'Base de Datos'!$E$7:$AR$302,12,0))=TRUE," ",(VLOOKUP(T33,'Base de Datos'!$E$7:$AR$302,12,0)))</f>
        <v xml:space="preserve"> </v>
      </c>
      <c r="AC33" s="454" t="str">
        <f>IF(ISERROR(VLOOKUP(T33,'Base de Datos'!$E$7:$AR$302,12,0))=TRUE," ",(VLOOKUP(T33,'Base de Datos'!$E$7:$AR$302,12,0)))</f>
        <v xml:space="preserve"> </v>
      </c>
      <c r="AD33" s="460" t="str">
        <f>IF(ISERROR(VLOOKUP(T33,'Base de Datos'!$E$7:$AR$302,15,0))=TRUE," ",(VLOOKUP(T33,'Base de Datos'!$E$7:$AR$302,15,0)))</f>
        <v xml:space="preserve"> </v>
      </c>
      <c r="AE33" s="465" t="str">
        <f>IF(ISERROR(VLOOKUP(T33,'Base de Datos'!$E$7:$AR$302,16,0))=TRUE," ",(VLOOKUP(T33,'Base de Datos'!$E$7:$AR$302,16,0)))</f>
        <v xml:space="preserve"> </v>
      </c>
      <c r="AF33" s="465" t="str">
        <f>IF(ISERROR(VLOOKUP(T33,'Base de Datos'!$E$7:$AR$302,17,0))=TRUE," ",(VLOOKUP(T33,'Base de Datos'!$E$7:$AR$302,17,0)))</f>
        <v xml:space="preserve"> </v>
      </c>
      <c r="AG33" s="465" t="str">
        <f>IF(ISERROR(VLOOKUP(T33,'Base de Datos'!$E$7:$AR$302,18,0))=TRUE," ",(VLOOKUP(T33,'Base de Datos'!$E$7:$AR$302,18,0)))</f>
        <v xml:space="preserve"> </v>
      </c>
      <c r="AH33" s="466" t="str">
        <f>IF(ISERROR(VLOOKUP(T33,'Base de Datos'!$E$7:$AR$302,20,0))=TRUE," ",(VLOOKUP(T33,'Base de Datos'!$E$7:$AR$302,20,0)))</f>
        <v xml:space="preserve"> </v>
      </c>
      <c r="AI33" s="466" t="str">
        <f>IF(ISERROR(VLOOKUP(T33,'Base de Datos'!$E$7:$AR$302,21,0))=TRUE," ",(VLOOKUP(T33,'Base de Datos'!$E$7:$AR$302,21,0)))</f>
        <v xml:space="preserve"> </v>
      </c>
      <c r="AJ33" s="469">
        <v>42165</v>
      </c>
      <c r="AK33" s="455" t="str">
        <f>IF(ISERROR(VLOOKUP(D33,'Base de Datos'!$C$7:$AR$400,2,0))=TRUE," ",(VLOOKUP(D33,'Base de Datos'!$C$7:$AR$400,2,0)))</f>
        <v>201563</v>
      </c>
      <c r="AL33" s="455" t="str">
        <f>IF(ISERROR(VLOOKUP(D33,'Base de Datos'!$C$7:$AR$400,3,0))=TRUE," ",(VLOOKUP(D33,'Base de Datos'!$C$7:$AR$400,3,0)))</f>
        <v>150249-0-2015</v>
      </c>
      <c r="AM33" s="458"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8">
        <f>IF(ISERROR(VLOOKUP(D33,'Base de Datos'!$C$7:$AR$400,20,0))=TRUE," ",(VLOOKUP(D33,'Base de Datos'!$C$7:$AR$400,19,0)))</f>
        <v>213397762</v>
      </c>
      <c r="AO33" s="461">
        <f>IF(ISERROR(VLOOKUP(D33,'Base de Datos'!$C$7:$AR$400,9,0))=TRUE," ",(VLOOKUP(D33,'Base de Datos'!$C$7:$AR$400,9,0)))</f>
        <v>2015</v>
      </c>
      <c r="AP33" s="461">
        <f>IF(ISERROR(VLOOKUP(D33,'Base de Datos'!$C$7:$AR$400,10,0))=TRUE," ",(VLOOKUP(D33,'Base de Datos'!$C$7:$AR$400,10,0)))</f>
        <v>42165</v>
      </c>
      <c r="AQ33" s="463">
        <f>IF(ISERROR(VLOOKUP(D33,'Base de Datos'!$C$7:$AR$400,11,0))=TRUE," ",(VLOOKUP(D33,'Base de Datos'!$C$7:$AR$400,11,0)))</f>
        <v>42181</v>
      </c>
      <c r="AR33" s="464">
        <f>IF(ISERROR(VLOOKUP(D33,'Base de Datos'!$C$7:$AR$400,12,0))=TRUE," ",(VLOOKUP(D33,'Base de Datos'!$C$7:$AR$400,12,0)))</f>
        <v>42537</v>
      </c>
      <c r="AS33" s="463">
        <f>IF(ISERROR(VLOOKUP(D33,'Base de Datos'!$C$7:$AR$400,13,0))=TRUE," ",(VLOOKUP(D33,'Base de Datos'!$C$7:$AR$400,13,0)))</f>
        <v>0</v>
      </c>
      <c r="AT33" s="463">
        <f>IF(ISERROR(VLOOKUP(D33,'Base de Datos'!$C$7:$AR$400,14,0))=TRUE," ",(VLOOKUP(D33,'Base de Datos'!$C$7:$AR$400,14,0)))</f>
        <v>0</v>
      </c>
      <c r="AU33" s="461" t="str">
        <f>IF(ISERROR(VLOOKUP(D33,'Base de Datos'!$C$7:$AR$400,16,0))=TRUE," ",(VLOOKUP(D33,'Base de Datos'!$C$7:$AR$400,16,0)))</f>
        <v/>
      </c>
      <c r="AV33" s="465" t="str">
        <f>IF(ISERROR(VLOOKUP(D33,'Base de Datos'!$C$7:$AR$400,17,0))=TRUE," ",(VLOOKUP(D33,'Base de Datos'!$C$7:$AR$400,17,0)))</f>
        <v/>
      </c>
      <c r="AW33" s="465">
        <f>IF(ISERROR(VLOOKUP(D33,'Base de Datos'!$C$7:$AR$400,18,0))=TRUE," ",(VLOOKUP(D33,'Base de Datos'!$C$7:$AR$400,18,0)))</f>
        <v>42537</v>
      </c>
      <c r="AX33" s="465">
        <f>IF(ISERROR(VLOOKUP(D33,'Base de Datos'!$C$7:$AR$400,19,0))=TRUE," ",(VLOOKUP(D33,'Base de Datos'!$C$7:$AR$400,19,0)))</f>
        <v>213397762</v>
      </c>
      <c r="AY33" s="468">
        <f>IF(ISERROR(VLOOKUP(D33,'Base de Datos'!$C$7:$AR$400,21,0))=TRUE," ",(VLOOKUP(D33,'Base de Datos'!$C$7:$AR$400,21,0)))</f>
        <v>4</v>
      </c>
      <c r="AZ33" s="468">
        <f>IF(ISERROR(VLOOKUP(D33,'Base de Datos'!$C$7:$AR$400,22,0))=TRUE," ",(VLOOKUP(D33,'Base de Datos'!$C$7:$AR$400,22,0)))</f>
        <v>0</v>
      </c>
      <c r="BA33" s="475"/>
      <c r="BB33" s="485"/>
    </row>
    <row r="34" spans="2:54" ht="55.5" hidden="1" customHeight="1" x14ac:dyDescent="0.25">
      <c r="B34" s="438">
        <v>27</v>
      </c>
      <c r="C34" s="446" t="s">
        <v>1645</v>
      </c>
      <c r="D34" s="438">
        <v>64</v>
      </c>
      <c r="E34" s="446" t="s">
        <v>1651</v>
      </c>
      <c r="F34" s="447">
        <f>VLOOKUP(D34,'Presupuesto - PAA 2015'!$B$10:$E$265,4,0)</f>
        <v>8300000</v>
      </c>
      <c r="G34" s="439" t="str">
        <f>VLOOKUP(D34,'[3]Seguimiento Plan'!$C$2:$R$101,16,0)</f>
        <v>Adición y prórroga al contrato 140252-2014 que tiene por objeto: Contratar la actualización, mantenimiento y soporte de licencias de software antivirus para la plataforma del Concejo de Bogotá.</v>
      </c>
      <c r="H34" s="439" t="s">
        <v>1780</v>
      </c>
      <c r="I34" s="439" t="s">
        <v>1713</v>
      </c>
      <c r="J34" s="448" t="s">
        <v>590</v>
      </c>
      <c r="K34" s="449"/>
      <c r="L34" s="449"/>
      <c r="M34" s="450"/>
      <c r="N34" s="449"/>
      <c r="O34" s="451"/>
      <c r="P34" s="451"/>
      <c r="Q34" s="451"/>
      <c r="R34" s="452"/>
      <c r="S34" s="452"/>
      <c r="T34" s="349" t="s">
        <v>1163</v>
      </c>
      <c r="U34" s="455" t="str">
        <f>IF(ISERROR(VLOOKUP(T34,'Base de Datos'!$E$7:$AR$302,3,0))=TRUE," ",(VLOOKUP(T34,'Base de Datos'!$E$7:$AR$302,2,0)))</f>
        <v>LINALCA INFORMATICA</v>
      </c>
      <c r="V34" s="458">
        <f>IF(ISERROR(VLOOKUP(T34,'Base de Datos'!$E$7:$AR$302,5,0))=TRUE," ",(VLOOKUP(T34,'Base de Datos'!$E$7:$AR$302,5,0)))</f>
        <v>16592327</v>
      </c>
      <c r="W34" s="455">
        <f>IF(ISERROR(VLOOKUP(T34,'Base de Datos'!$E$7:$AR$302,19,0))=TRUE," ",(VLOOKUP(T34,'Base de Datos'!$E$7:$AR$302,19,0)))</f>
        <v>1659232</v>
      </c>
      <c r="X34" s="460" t="str">
        <f>IF(ISERROR(VLOOKUP(T34,'Base de Datos'!$E$7:$AR$302,8,0))=TRUE," ",(VLOOKUP(T34,'Base de Datos'!$E$7:$AR$302,8,0)))</f>
        <v xml:space="preserve"> </v>
      </c>
      <c r="Y34" s="460">
        <f>IF(ISERROR(VLOOKUP(T34,'Base de Datos'!$E$7:$AR$302,9,0))=TRUE," ",(VLOOKUP(T34,'Base de Datos'!$E$7:$AR$302,9,0)))</f>
        <v>41936</v>
      </c>
      <c r="Z34" s="454">
        <f>IF(ISERROR(VLOOKUP(T34,'Base de Datos'!$E$7:$AR$302,10,0))=TRUE," ",(VLOOKUP(T34,'Base de Datos'!$E$7:$AR$302,10,0)))</f>
        <v>42301</v>
      </c>
      <c r="AA34" s="457">
        <f>IF(ISERROR(VLOOKUP(T34,'Base de Datos'!$E$7:$AR$302,11,0))=TRUE," ",(VLOOKUP(T34,'Base de Datos'!$E$7:$AR$302,11,0)))</f>
        <v>0</v>
      </c>
      <c r="AB34" s="454">
        <f>IF(ISERROR(VLOOKUP(T34,'Base de Datos'!$E$7:$AR$302,12,0))=TRUE," ",(VLOOKUP(T34,'Base de Datos'!$E$7:$AR$302,12,0)))</f>
        <v>0</v>
      </c>
      <c r="AC34" s="454">
        <f>IF(ISERROR(VLOOKUP(T34,'Base de Datos'!$E$7:$AR$302,12,0))=TRUE," ",(VLOOKUP(T34,'Base de Datos'!$E$7:$AR$302,12,0)))</f>
        <v>0</v>
      </c>
      <c r="AD34" s="460" t="str">
        <f>IF(ISERROR(VLOOKUP(T34,'Base de Datos'!$E$7:$AR$302,15,0))=TRUE," ",(VLOOKUP(T34,'Base de Datos'!$E$7:$AR$302,15,0)))</f>
        <v/>
      </c>
      <c r="AE34" s="465">
        <f>IF(ISERROR(VLOOKUP(T34,'Base de Datos'!$E$7:$AR$302,16,0))=TRUE," ",(VLOOKUP(T34,'Base de Datos'!$E$7:$AR$302,16,0)))</f>
        <v>42301</v>
      </c>
      <c r="AF34" s="465">
        <f>IF(ISERROR(VLOOKUP(T34,'Base de Datos'!$E$7:$AR$302,17,0))=TRUE," ",(VLOOKUP(T34,'Base de Datos'!$E$7:$AR$302,17,0)))</f>
        <v>16592327</v>
      </c>
      <c r="AG34" s="465">
        <f>IF(ISERROR(VLOOKUP(T34,'Base de Datos'!$E$7:$AR$302,18,0))=TRUE," ",(VLOOKUP(T34,'Base de Datos'!$E$7:$AR$302,18,0)))</f>
        <v>14933095</v>
      </c>
      <c r="AH34" s="466"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6">
        <f>IF(ISERROR(VLOOKUP(T34,'Base de Datos'!$E$7:$AR$302,21,0))=TRUE," ",(VLOOKUP(T34,'Base de Datos'!$E$7:$AR$302,21,0)))</f>
        <v>0.90000004218817531</v>
      </c>
      <c r="AJ34" s="455"/>
      <c r="AK34" s="455" t="str">
        <f>IF(ISERROR(VLOOKUP(D34,'Base de Datos'!$C$7:$AR$400,2,0))=TRUE," ",(VLOOKUP(D34,'Base de Datos'!$C$7:$AR$400,2,0)))</f>
        <v xml:space="preserve"> </v>
      </c>
      <c r="AL34" s="455" t="str">
        <f>IF(ISERROR(VLOOKUP(D34,'Base de Datos'!$C$7:$AR$400,3,0))=TRUE," ",(VLOOKUP(D34,'Base de Datos'!$C$7:$AR$400,3,0)))</f>
        <v xml:space="preserve"> </v>
      </c>
      <c r="AM34" s="458" t="str">
        <f>IF(ISERROR(VLOOKUP(D34,'Base de Datos'!$C$7:$AR$4014,6,0))=TRUE," ",(VLOOKUP(D34,'Base de Datos'!$C$7:$AR$400,6,0)))</f>
        <v xml:space="preserve"> </v>
      </c>
      <c r="AN34" s="458" t="str">
        <f>IF(ISERROR(VLOOKUP(D34,'Base de Datos'!$C$7:$AR$400,20,0))=TRUE," ",(VLOOKUP(D34,'Base de Datos'!$C$7:$AR$400,19,0)))</f>
        <v xml:space="preserve"> </v>
      </c>
      <c r="AO34" s="461" t="str">
        <f>IF(ISERROR(VLOOKUP(D34,'Base de Datos'!$C$7:$AR$400,9,0))=TRUE," ",(VLOOKUP(D34,'Base de Datos'!$C$7:$AR$400,9,0)))</f>
        <v xml:space="preserve"> </v>
      </c>
      <c r="AP34" s="461" t="str">
        <f>IF(ISERROR(VLOOKUP(D34,'Base de Datos'!$C$7:$AR$400,10,0))=TRUE," ",(VLOOKUP(D34,'Base de Datos'!$C$7:$AR$400,10,0)))</f>
        <v xml:space="preserve"> </v>
      </c>
      <c r="AQ34" s="463" t="str">
        <f>IF(ISERROR(VLOOKUP(D34,'Base de Datos'!$C$7:$AR$400,11,0))=TRUE," ",(VLOOKUP(D34,'Base de Datos'!$C$7:$AR$400,11,0)))</f>
        <v xml:space="preserve"> </v>
      </c>
      <c r="AR34" s="464" t="str">
        <f>IF(ISERROR(VLOOKUP(D34,'Base de Datos'!$C$7:$AR$400,12,0))=TRUE," ",(VLOOKUP(D34,'Base de Datos'!$C$7:$AR$400,12,0)))</f>
        <v xml:space="preserve"> </v>
      </c>
      <c r="AS34" s="463" t="str">
        <f>IF(ISERROR(VLOOKUP(D34,'Base de Datos'!$C$7:$AR$400,13,0))=TRUE," ",(VLOOKUP(D34,'Base de Datos'!$C$7:$AR$400,13,0)))</f>
        <v xml:space="preserve"> </v>
      </c>
      <c r="AT34" s="463" t="str">
        <f>IF(ISERROR(VLOOKUP(D34,'Base de Datos'!$C$7:$AR$400,14,0))=TRUE," ",(VLOOKUP(D34,'Base de Datos'!$C$7:$AR$400,14,0)))</f>
        <v xml:space="preserve"> </v>
      </c>
      <c r="AU34" s="461" t="str">
        <f>IF(ISERROR(VLOOKUP(D34,'Base de Datos'!$C$7:$AR$400,16,0))=TRUE," ",(VLOOKUP(D34,'Base de Datos'!$C$7:$AR$400,16,0)))</f>
        <v xml:space="preserve"> </v>
      </c>
      <c r="AV34" s="465" t="str">
        <f>IF(ISERROR(VLOOKUP(D34,'Base de Datos'!$C$7:$AR$400,17,0))=TRUE," ",(VLOOKUP(D34,'Base de Datos'!$C$7:$AR$400,17,0)))</f>
        <v xml:space="preserve"> </v>
      </c>
      <c r="AW34" s="465" t="str">
        <f>IF(ISERROR(VLOOKUP(D34,'Base de Datos'!$C$7:$AR$400,18,0))=TRUE," ",(VLOOKUP(D34,'Base de Datos'!$C$7:$AR$400,18,0)))</f>
        <v xml:space="preserve"> </v>
      </c>
      <c r="AX34" s="465" t="str">
        <f>IF(ISERROR(VLOOKUP(D34,'Base de Datos'!$C$7:$AR$400,19,0))=TRUE," ",(VLOOKUP(D34,'Base de Datos'!$C$7:$AR$400,19,0)))</f>
        <v xml:space="preserve"> </v>
      </c>
      <c r="AY34" s="468" t="str">
        <f>IF(ISERROR(VLOOKUP(D34,'Base de Datos'!$C$7:$AR$400,21,0))=TRUE," ",(VLOOKUP(D34,'Base de Datos'!$C$7:$AR$400,21,0)))</f>
        <v xml:space="preserve"> </v>
      </c>
      <c r="AZ34" s="468" t="str">
        <f>IF(ISERROR(VLOOKUP(D34,'Base de Datos'!$C$7:$AR$400,22,0))=TRUE," ",(VLOOKUP(D34,'Base de Datos'!$C$7:$AR$400,22,0)))</f>
        <v xml:space="preserve"> </v>
      </c>
      <c r="BA34" s="475"/>
      <c r="BB34" s="485"/>
    </row>
    <row r="35" spans="2:54" ht="55.5" hidden="1" customHeight="1" x14ac:dyDescent="0.25">
      <c r="B35" s="438">
        <v>28</v>
      </c>
      <c r="C35" s="446" t="s">
        <v>1645</v>
      </c>
      <c r="D35" s="438">
        <v>65</v>
      </c>
      <c r="E35" s="446" t="s">
        <v>1651</v>
      </c>
      <c r="F35" s="447">
        <f>VLOOKUP(D35,'Presupuesto - PAA 2015'!$B$10:$E$265,4,0)</f>
        <v>22500000</v>
      </c>
      <c r="G35" s="439" t="str">
        <f>VLOOKUP(D35,'[3]Seguimiento Plan'!$C$2:$R$101,16,0)</f>
        <v>Adición y prórroga al contrato 140317 suscrito con Factor Visual E A T cuyo objeto es: Prestar el servicio de actualización, mantenimiento y soporte al sitio web  e intranet"</v>
      </c>
      <c r="H35" s="439" t="s">
        <v>1780</v>
      </c>
      <c r="I35" s="439" t="s">
        <v>1713</v>
      </c>
      <c r="J35" s="448" t="s">
        <v>590</v>
      </c>
      <c r="K35" s="449"/>
      <c r="L35" s="449"/>
      <c r="M35" s="450"/>
      <c r="N35" s="449"/>
      <c r="O35" s="451"/>
      <c r="P35" s="451"/>
      <c r="Q35" s="451"/>
      <c r="R35" s="452"/>
      <c r="S35" s="452"/>
      <c r="T35" s="351" t="s">
        <v>1159</v>
      </c>
      <c r="U35" s="455" t="str">
        <f>IF(ISERROR(VLOOKUP(T35,'Base de Datos'!$E$7:$AR$302,3,0))=TRUE," ",(VLOOKUP(T35,'Base de Datos'!$E$7:$AR$302,2,0)))</f>
        <v>FACTOR VISUAL EAT</v>
      </c>
      <c r="V35" s="458">
        <f>IF(ISERROR(VLOOKUP(T35,'Base de Datos'!$E$7:$AR$302,5,0))=TRUE," ",(VLOOKUP(T35,'Base de Datos'!$E$7:$AR$302,5,0)))</f>
        <v>44544000</v>
      </c>
      <c r="W35" s="455">
        <f>IF(ISERROR(VLOOKUP(T35,'Base de Datos'!$E$7:$AR$302,19,0))=TRUE," ",(VLOOKUP(T35,'Base de Datos'!$E$7:$AR$302,19,0)))</f>
        <v>0</v>
      </c>
      <c r="X35" s="460" t="str">
        <f>IF(ISERROR(VLOOKUP(T35,'Base de Datos'!$E$7:$AR$302,8,0))=TRUE," ",(VLOOKUP(T35,'Base de Datos'!$E$7:$AR$302,8,0)))</f>
        <v xml:space="preserve"> </v>
      </c>
      <c r="Y35" s="460">
        <f>IF(ISERROR(VLOOKUP(T35,'Base de Datos'!$E$7:$AR$302,9,0))=TRUE," ",(VLOOKUP(T35,'Base de Datos'!$E$7:$AR$302,9,0)))</f>
        <v>41929</v>
      </c>
      <c r="Z35" s="454">
        <f>IF(ISERROR(VLOOKUP(T35,'Base de Datos'!$E$7:$AR$302,10,0))=TRUE," ",(VLOOKUP(T35,'Base de Datos'!$E$7:$AR$302,10,0)))</f>
        <v>42294</v>
      </c>
      <c r="AA35" s="457">
        <f>IF(ISERROR(VLOOKUP(T35,'Base de Datos'!$E$7:$AR$302,11,0))=TRUE," ",(VLOOKUP(T35,'Base de Datos'!$E$7:$AR$302,11,0)))</f>
        <v>1</v>
      </c>
      <c r="AB35" s="454">
        <f>IF(ISERROR(VLOOKUP(T35,'Base de Datos'!$E$7:$AR$302,12,0))=TRUE," ",(VLOOKUP(T35,'Base de Datos'!$E$7:$AR$302,12,0)))</f>
        <v>22272000</v>
      </c>
      <c r="AC35" s="454">
        <f>IF(ISERROR(VLOOKUP(T35,'Base de Datos'!$E$7:$AR$302,12,0))=TRUE," ",(VLOOKUP(T35,'Base de Datos'!$E$7:$AR$302,12,0)))</f>
        <v>22272000</v>
      </c>
      <c r="AD35" s="460">
        <f>IF(ISERROR(VLOOKUP(T35,'Base de Datos'!$E$7:$AR$302,15,0))=TRUE," ",(VLOOKUP(T35,'Base de Datos'!$E$7:$AR$302,15,0)))</f>
        <v>42477</v>
      </c>
      <c r="AE35" s="465">
        <f>IF(ISERROR(VLOOKUP(T35,'Base de Datos'!$E$7:$AR$302,16,0))=TRUE," ",(VLOOKUP(T35,'Base de Datos'!$E$7:$AR$302,16,0)))</f>
        <v>42477</v>
      </c>
      <c r="AF35" s="465">
        <f>IF(ISERROR(VLOOKUP(T35,'Base de Datos'!$E$7:$AR$302,17,0))=TRUE," ",(VLOOKUP(T35,'Base de Datos'!$E$7:$AR$302,17,0)))</f>
        <v>66816000</v>
      </c>
      <c r="AG35" s="465">
        <f>IF(ISERROR(VLOOKUP(T35,'Base de Datos'!$E$7:$AR$302,18,0))=TRUE," ",(VLOOKUP(T35,'Base de Datos'!$E$7:$AR$302,18,0)))</f>
        <v>66816000</v>
      </c>
      <c r="AH35" s="466"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6">
        <f>IF(ISERROR(VLOOKUP(T35,'Base de Datos'!$E$7:$AR$302,21,0))=TRUE," ",(VLOOKUP(T35,'Base de Datos'!$E$7:$AR$302,21,0)))</f>
        <v>1</v>
      </c>
      <c r="AJ35" s="455"/>
      <c r="AK35" s="455" t="str">
        <f>IF(ISERROR(VLOOKUP(D35,'Base de Datos'!$C$7:$AR$400,2,0))=TRUE," ",(VLOOKUP(D35,'Base de Datos'!$C$7:$AR$400,2,0)))</f>
        <v xml:space="preserve"> </v>
      </c>
      <c r="AL35" s="455" t="str">
        <f>IF(ISERROR(VLOOKUP(D35,'Base de Datos'!$C$7:$AR$400,3,0))=TRUE," ",(VLOOKUP(D35,'Base de Datos'!$C$7:$AR$400,3,0)))</f>
        <v xml:space="preserve"> </v>
      </c>
      <c r="AM35" s="458" t="str">
        <f>IF(ISERROR(VLOOKUP(D35,'Base de Datos'!$C$7:$AR$4014,6,0))=TRUE," ",(VLOOKUP(D35,'Base de Datos'!$C$7:$AR$400,6,0)))</f>
        <v xml:space="preserve"> </v>
      </c>
      <c r="AN35" s="458" t="str">
        <f>IF(ISERROR(VLOOKUP(D35,'Base de Datos'!$C$7:$AR$400,20,0))=TRUE," ",(VLOOKUP(D35,'Base de Datos'!$C$7:$AR$400,19,0)))</f>
        <v xml:space="preserve"> </v>
      </c>
      <c r="AO35" s="461" t="str">
        <f>IF(ISERROR(VLOOKUP(D35,'Base de Datos'!$C$7:$AR$400,9,0))=TRUE," ",(VLOOKUP(D35,'Base de Datos'!$C$7:$AR$400,9,0)))</f>
        <v xml:space="preserve"> </v>
      </c>
      <c r="AP35" s="461" t="str">
        <f>IF(ISERROR(VLOOKUP(D35,'Base de Datos'!$C$7:$AR$400,10,0))=TRUE," ",(VLOOKUP(D35,'Base de Datos'!$C$7:$AR$400,10,0)))</f>
        <v xml:space="preserve"> </v>
      </c>
      <c r="AQ35" s="463" t="str">
        <f>IF(ISERROR(VLOOKUP(D35,'Base de Datos'!$C$7:$AR$400,11,0))=TRUE," ",(VLOOKUP(D35,'Base de Datos'!$C$7:$AR$400,11,0)))</f>
        <v xml:space="preserve"> </v>
      </c>
      <c r="AR35" s="464" t="str">
        <f>IF(ISERROR(VLOOKUP(D35,'Base de Datos'!$C$7:$AR$400,12,0))=TRUE," ",(VLOOKUP(D35,'Base de Datos'!$C$7:$AR$400,12,0)))</f>
        <v xml:space="preserve"> </v>
      </c>
      <c r="AS35" s="463" t="str">
        <f>IF(ISERROR(VLOOKUP(D35,'Base de Datos'!$C$7:$AR$400,13,0))=TRUE," ",(VLOOKUP(D35,'Base de Datos'!$C$7:$AR$400,13,0)))</f>
        <v xml:space="preserve"> </v>
      </c>
      <c r="AT35" s="463" t="str">
        <f>IF(ISERROR(VLOOKUP(D35,'Base de Datos'!$C$7:$AR$400,14,0))=TRUE," ",(VLOOKUP(D35,'Base de Datos'!$C$7:$AR$400,14,0)))</f>
        <v xml:space="preserve"> </v>
      </c>
      <c r="AU35" s="461" t="str">
        <f>IF(ISERROR(VLOOKUP(D35,'Base de Datos'!$C$7:$AR$400,16,0))=TRUE," ",(VLOOKUP(D35,'Base de Datos'!$C$7:$AR$400,16,0)))</f>
        <v xml:space="preserve"> </v>
      </c>
      <c r="AV35" s="465" t="str">
        <f>IF(ISERROR(VLOOKUP(D35,'Base de Datos'!$C$7:$AR$400,17,0))=TRUE," ",(VLOOKUP(D35,'Base de Datos'!$C$7:$AR$400,17,0)))</f>
        <v xml:space="preserve"> </v>
      </c>
      <c r="AW35" s="465" t="str">
        <f>IF(ISERROR(VLOOKUP(D35,'Base de Datos'!$C$7:$AR$400,18,0))=TRUE," ",(VLOOKUP(D35,'Base de Datos'!$C$7:$AR$400,18,0)))</f>
        <v xml:space="preserve"> </v>
      </c>
      <c r="AX35" s="465" t="str">
        <f>IF(ISERROR(VLOOKUP(D35,'Base de Datos'!$C$7:$AR$400,19,0))=TRUE," ",(VLOOKUP(D35,'Base de Datos'!$C$7:$AR$400,19,0)))</f>
        <v xml:space="preserve"> </v>
      </c>
      <c r="AY35" s="468" t="str">
        <f>IF(ISERROR(VLOOKUP(D35,'Base de Datos'!$C$7:$AR$400,21,0))=TRUE," ",(VLOOKUP(D35,'Base de Datos'!$C$7:$AR$400,21,0)))</f>
        <v xml:space="preserve"> </v>
      </c>
      <c r="AZ35" s="468" t="str">
        <f>IF(ISERROR(VLOOKUP(D35,'Base de Datos'!$C$7:$AR$400,22,0))=TRUE," ",(VLOOKUP(D35,'Base de Datos'!$C$7:$AR$400,22,0)))</f>
        <v xml:space="preserve"> </v>
      </c>
      <c r="BA35" s="475"/>
      <c r="BB35" s="485"/>
    </row>
    <row r="36" spans="2:54" ht="101.25" hidden="1" x14ac:dyDescent="0.25">
      <c r="B36" s="438">
        <v>29</v>
      </c>
      <c r="C36" s="446" t="s">
        <v>1645</v>
      </c>
      <c r="D36" s="438">
        <v>277</v>
      </c>
      <c r="E36" s="446" t="s">
        <v>1651</v>
      </c>
      <c r="F36" s="447">
        <f>VLOOKUP(D36,'Presupuesto - PAA 2015'!$B$10:$E$265,4,0)</f>
        <v>12975945</v>
      </c>
      <c r="G36" s="553" t="s">
        <v>1782</v>
      </c>
      <c r="H36" s="553" t="s">
        <v>1780</v>
      </c>
      <c r="I36" s="553" t="s">
        <v>1713</v>
      </c>
      <c r="J36" s="554" t="s">
        <v>909</v>
      </c>
      <c r="K36" s="555" t="s">
        <v>390</v>
      </c>
      <c r="L36" s="555" t="s">
        <v>390</v>
      </c>
      <c r="M36" s="450"/>
      <c r="N36" s="449"/>
      <c r="O36" s="451"/>
      <c r="P36" s="451"/>
      <c r="Q36" s="451"/>
      <c r="R36" s="452"/>
      <c r="S36" s="470" t="s">
        <v>1750</v>
      </c>
      <c r="T36" s="351"/>
      <c r="U36" s="455" t="str">
        <f>IF(ISERROR(VLOOKUP(T36,'Base de Datos'!$E$7:$AR$302,3,0))=TRUE," ",(VLOOKUP(T36,'Base de Datos'!$E$7:$AR$302,2,0)))</f>
        <v xml:space="preserve"> </v>
      </c>
      <c r="V36" s="458" t="str">
        <f>IF(ISERROR(VLOOKUP(T36,'Base de Datos'!$E$7:$AR$302,5,0))=TRUE," ",(VLOOKUP(T36,'Base de Datos'!$E$7:$AR$302,5,0)))</f>
        <v xml:space="preserve"> </v>
      </c>
      <c r="W36" s="455" t="str">
        <f>IF(ISERROR(VLOOKUP(T36,'Base de Datos'!$E$7:$AR$302,19,0))=TRUE," ",(VLOOKUP(T36,'Base de Datos'!$E$7:$AR$302,19,0)))</f>
        <v xml:space="preserve"> </v>
      </c>
      <c r="X36" s="460" t="str">
        <f>IF(ISERROR(VLOOKUP(T36,'Base de Datos'!$E$7:$AR$302,8,0))=TRUE," ",(VLOOKUP(T36,'Base de Datos'!$E$7:$AR$302,8,0)))</f>
        <v xml:space="preserve"> </v>
      </c>
      <c r="Y36" s="460" t="str">
        <f>IF(ISERROR(VLOOKUP(T36,'Base de Datos'!$E$7:$AR$302,9,0))=TRUE," ",(VLOOKUP(T36,'Base de Datos'!$E$7:$AR$302,9,0)))</f>
        <v xml:space="preserve"> </v>
      </c>
      <c r="Z36" s="454" t="str">
        <f>IF(ISERROR(VLOOKUP(T36,'Base de Datos'!$E$7:$AR$302,10,0))=TRUE," ",(VLOOKUP(T36,'Base de Datos'!$E$7:$AR$302,10,0)))</f>
        <v xml:space="preserve"> </v>
      </c>
      <c r="AA36" s="457" t="str">
        <f>IF(ISERROR(VLOOKUP(T36,'Base de Datos'!$E$7:$AR$302,11,0))=TRUE," ",(VLOOKUP(T36,'Base de Datos'!$E$7:$AR$302,11,0)))</f>
        <v xml:space="preserve"> </v>
      </c>
      <c r="AB36" s="454" t="str">
        <f>IF(ISERROR(VLOOKUP(T36,'Base de Datos'!$E$7:$AR$302,12,0))=TRUE," ",(VLOOKUP(T36,'Base de Datos'!$E$7:$AR$302,12,0)))</f>
        <v xml:space="preserve"> </v>
      </c>
      <c r="AC36" s="454" t="str">
        <f>IF(ISERROR(VLOOKUP(T36,'Base de Datos'!$E$7:$AR$302,12,0))=TRUE," ",(VLOOKUP(T36,'Base de Datos'!$E$7:$AR$302,12,0)))</f>
        <v xml:space="preserve"> </v>
      </c>
      <c r="AD36" s="460" t="str">
        <f>IF(ISERROR(VLOOKUP(T36,'Base de Datos'!$E$7:$AR$302,15,0))=TRUE," ",(VLOOKUP(T36,'Base de Datos'!$E$7:$AR$302,15,0)))</f>
        <v xml:space="preserve"> </v>
      </c>
      <c r="AE36" s="465" t="str">
        <f>IF(ISERROR(VLOOKUP(T36,'Base de Datos'!$E$7:$AR$302,16,0))=TRUE," ",(VLOOKUP(T36,'Base de Datos'!$E$7:$AR$302,16,0)))</f>
        <v xml:space="preserve"> </v>
      </c>
      <c r="AF36" s="465" t="str">
        <f>IF(ISERROR(VLOOKUP(T36,'Base de Datos'!$E$7:$AR$302,17,0))=TRUE," ",(VLOOKUP(T36,'Base de Datos'!$E$7:$AR$302,17,0)))</f>
        <v xml:space="preserve"> </v>
      </c>
      <c r="AG36" s="465" t="str">
        <f>IF(ISERROR(VLOOKUP(T36,'Base de Datos'!$E$7:$AR$302,18,0))=TRUE," ",(VLOOKUP(T36,'Base de Datos'!$E$7:$AR$302,18,0)))</f>
        <v xml:space="preserve"> </v>
      </c>
      <c r="AH36" s="466" t="str">
        <f>IF(ISERROR(VLOOKUP(T36,'Base de Datos'!$E$7:$AR$302,20,0))=TRUE," ",(VLOOKUP(T36,'Base de Datos'!$E$7:$AR$302,20,0)))</f>
        <v xml:space="preserve"> </v>
      </c>
      <c r="AI36" s="466" t="str">
        <f>IF(ISERROR(VLOOKUP(T36,'Base de Datos'!$E$7:$AR$302,21,0))=TRUE," ",(VLOOKUP(T36,'Base de Datos'!$E$7:$AR$302,21,0)))</f>
        <v xml:space="preserve"> </v>
      </c>
      <c r="AJ36" s="459">
        <v>42117</v>
      </c>
      <c r="AK36" s="455" t="str">
        <f>IF(ISERROR(VLOOKUP(D36,'Base de Datos'!$C$7:$AR$400,2,0))=TRUE," ",(VLOOKUP(D36,'Base de Datos'!$C$7:$AR$400,2,0)))</f>
        <v>2015277</v>
      </c>
      <c r="AL36" s="455" t="str">
        <f>IF(ISERROR(VLOOKUP(D36,'Base de Datos'!$C$7:$AR$400,3,0))=TRUE," ",(VLOOKUP(D36,'Base de Datos'!$C$7:$AR$400,3,0)))</f>
        <v>150200-0-2015</v>
      </c>
      <c r="AM36" s="458" t="str">
        <f>IF(ISERROR(VLOOKUP(D36,'Base de Datos'!$C$7:$AR$4014,6,0))=TRUE," ",(VLOOKUP(D36,'Base de Datos'!$C$7:$AR$400,6,0)))</f>
        <v>Adquirir elementos de hardware para el sistema de voto electrónico del Concejo de Bogotá, de conformidad con lo establecido en la presente invitación pública</v>
      </c>
      <c r="AN36" s="458">
        <f>IF(ISERROR(VLOOKUP(D36,'Base de Datos'!$C$7:$AR$400,20,0))=TRUE," ",(VLOOKUP(D36,'Base de Datos'!$C$7:$AR$400,19,0)))</f>
        <v>12975945</v>
      </c>
      <c r="AO36" s="461">
        <f>IF(ISERROR(VLOOKUP(D36,'Base de Datos'!$C$7:$AR$400,9,0))=TRUE," ",(VLOOKUP(D36,'Base de Datos'!$C$7:$AR$400,9,0)))</f>
        <v>2015</v>
      </c>
      <c r="AP36" s="461">
        <f>IF(ISERROR(VLOOKUP(D36,'Base de Datos'!$C$7:$AR$400,10,0))=TRUE," ",(VLOOKUP(D36,'Base de Datos'!$C$7:$AR$400,10,0)))</f>
        <v>42117</v>
      </c>
      <c r="AQ36" s="463">
        <f>IF(ISERROR(VLOOKUP(D36,'Base de Datos'!$C$7:$AR$400,11,0))=TRUE," ",(VLOOKUP(D36,'Base de Datos'!$C$7:$AR$400,11,0)))</f>
        <v>42135</v>
      </c>
      <c r="AR36" s="464">
        <f>IF(ISERROR(VLOOKUP(D36,'Base de Datos'!$C$7:$AR$400,12,0))=TRUE," ",(VLOOKUP(D36,'Base de Datos'!$C$7:$AR$400,12,0)))</f>
        <v>42258</v>
      </c>
      <c r="AS36" s="463">
        <f>IF(ISERROR(VLOOKUP(D36,'Base de Datos'!$C$7:$AR$400,13,0))=TRUE," ",(VLOOKUP(D36,'Base de Datos'!$C$7:$AR$400,13,0)))</f>
        <v>0</v>
      </c>
      <c r="AT36" s="463">
        <f>IF(ISERROR(VLOOKUP(D36,'Base de Datos'!$C$7:$AR$400,14,0))=TRUE," ",(VLOOKUP(D36,'Base de Datos'!$C$7:$AR$400,14,0)))</f>
        <v>0</v>
      </c>
      <c r="AU36" s="461" t="str">
        <f>IF(ISERROR(VLOOKUP(D36,'Base de Datos'!$C$7:$AR$400,16,0))=TRUE," ",(VLOOKUP(D36,'Base de Datos'!$C$7:$AR$400,16,0)))</f>
        <v/>
      </c>
      <c r="AV36" s="465" t="str">
        <f>IF(ISERROR(VLOOKUP(D36,'Base de Datos'!$C$7:$AR$400,17,0))=TRUE," ",(VLOOKUP(D36,'Base de Datos'!$C$7:$AR$400,17,0)))</f>
        <v/>
      </c>
      <c r="AW36" s="465">
        <f>IF(ISERROR(VLOOKUP(D36,'Base de Datos'!$C$7:$AR$400,18,0))=TRUE," ",(VLOOKUP(D36,'Base de Datos'!$C$7:$AR$400,18,0)))</f>
        <v>42258</v>
      </c>
      <c r="AX36" s="465">
        <f>IF(ISERROR(VLOOKUP(D36,'Base de Datos'!$C$7:$AR$400,19,0))=TRUE," ",(VLOOKUP(D36,'Base de Datos'!$C$7:$AR$400,19,0)))</f>
        <v>12975945</v>
      </c>
      <c r="AY36" s="468">
        <f>IF(ISERROR(VLOOKUP(D36,'Base de Datos'!$C$7:$AR$400,21,0))=TRUE," ",(VLOOKUP(D36,'Base de Datos'!$C$7:$AR$400,21,0)))</f>
        <v>0</v>
      </c>
      <c r="AZ36" s="468">
        <f>IF(ISERROR(VLOOKUP(D36,'Base de Datos'!$C$7:$AR$400,22,0))=TRUE," ",(VLOOKUP(D36,'Base de Datos'!$C$7:$AR$400,22,0)))</f>
        <v>0</v>
      </c>
      <c r="BA36" s="475"/>
      <c r="BB36" s="485"/>
    </row>
    <row r="37" spans="2:54" ht="45" hidden="1" customHeight="1" x14ac:dyDescent="0.25">
      <c r="B37" s="438">
        <v>30</v>
      </c>
      <c r="C37" s="446" t="s">
        <v>1645</v>
      </c>
      <c r="D37" s="438">
        <v>282</v>
      </c>
      <c r="E37" s="446" t="s">
        <v>1651</v>
      </c>
      <c r="F37" s="447">
        <f>VLOOKUP(D37,'Presupuesto - PAA 2015'!$B$10:$E$265,4,0)</f>
        <v>436000000</v>
      </c>
      <c r="G37" s="439" t="s">
        <v>1783</v>
      </c>
      <c r="H37" s="439" t="s">
        <v>1780</v>
      </c>
      <c r="I37" s="439" t="s">
        <v>1713</v>
      </c>
      <c r="J37" s="448" t="s">
        <v>1739</v>
      </c>
      <c r="K37" s="449" t="s">
        <v>390</v>
      </c>
      <c r="L37" s="449" t="s">
        <v>390</v>
      </c>
      <c r="M37" s="450"/>
      <c r="N37" s="449"/>
      <c r="O37" s="451"/>
      <c r="P37" s="451"/>
      <c r="Q37" s="451"/>
      <c r="R37" s="452"/>
      <c r="S37" s="470" t="s">
        <v>1986</v>
      </c>
      <c r="T37" s="351"/>
      <c r="U37" s="455" t="str">
        <f>IF(ISERROR(VLOOKUP(T37,'Base de Datos'!$E$7:$AR$302,3,0))=TRUE," ",(VLOOKUP(T37,'Base de Datos'!$E$7:$AR$302,2,0)))</f>
        <v xml:space="preserve"> </v>
      </c>
      <c r="V37" s="458" t="str">
        <f>IF(ISERROR(VLOOKUP(T37,'Base de Datos'!$E$7:$AR$302,5,0))=TRUE," ",(VLOOKUP(T37,'Base de Datos'!$E$7:$AR$302,5,0)))</f>
        <v xml:space="preserve"> </v>
      </c>
      <c r="W37" s="455" t="str">
        <f>IF(ISERROR(VLOOKUP(T37,'Base de Datos'!$E$7:$AR$302,19,0))=TRUE," ",(VLOOKUP(T37,'Base de Datos'!$E$7:$AR$302,19,0)))</f>
        <v xml:space="preserve"> </v>
      </c>
      <c r="X37" s="460" t="str">
        <f>IF(ISERROR(VLOOKUP(T37,'Base de Datos'!$E$7:$AR$302,8,0))=TRUE," ",(VLOOKUP(T37,'Base de Datos'!$E$7:$AR$302,8,0)))</f>
        <v xml:space="preserve"> </v>
      </c>
      <c r="Y37" s="460" t="str">
        <f>IF(ISERROR(VLOOKUP(T37,'Base de Datos'!$E$7:$AR$302,9,0))=TRUE," ",(VLOOKUP(T37,'Base de Datos'!$E$7:$AR$302,9,0)))</f>
        <v xml:space="preserve"> </v>
      </c>
      <c r="Z37" s="454" t="str">
        <f>IF(ISERROR(VLOOKUP(T37,'Base de Datos'!$E$7:$AR$302,10,0))=TRUE," ",(VLOOKUP(T37,'Base de Datos'!$E$7:$AR$302,10,0)))</f>
        <v xml:space="preserve"> </v>
      </c>
      <c r="AA37" s="457" t="str">
        <f>IF(ISERROR(VLOOKUP(T37,'Base de Datos'!$E$7:$AR$302,11,0))=TRUE," ",(VLOOKUP(T37,'Base de Datos'!$E$7:$AR$302,11,0)))</f>
        <v xml:space="preserve"> </v>
      </c>
      <c r="AB37" s="454" t="str">
        <f>IF(ISERROR(VLOOKUP(T37,'Base de Datos'!$E$7:$AR$302,12,0))=TRUE," ",(VLOOKUP(T37,'Base de Datos'!$E$7:$AR$302,12,0)))</f>
        <v xml:space="preserve"> </v>
      </c>
      <c r="AC37" s="454" t="str">
        <f>IF(ISERROR(VLOOKUP(T37,'Base de Datos'!$E$7:$AR$302,12,0))=TRUE," ",(VLOOKUP(T37,'Base de Datos'!$E$7:$AR$302,12,0)))</f>
        <v xml:space="preserve"> </v>
      </c>
      <c r="AD37" s="460" t="str">
        <f>IF(ISERROR(VLOOKUP(T37,'Base de Datos'!$E$7:$AR$302,15,0))=TRUE," ",(VLOOKUP(T37,'Base de Datos'!$E$7:$AR$302,15,0)))</f>
        <v xml:space="preserve"> </v>
      </c>
      <c r="AE37" s="465" t="str">
        <f>IF(ISERROR(VLOOKUP(T37,'Base de Datos'!$E$7:$AR$302,16,0))=TRUE," ",(VLOOKUP(T37,'Base de Datos'!$E$7:$AR$302,16,0)))</f>
        <v xml:space="preserve"> </v>
      </c>
      <c r="AF37" s="465" t="str">
        <f>IF(ISERROR(VLOOKUP(T37,'Base de Datos'!$E$7:$AR$302,17,0))=TRUE," ",(VLOOKUP(T37,'Base de Datos'!$E$7:$AR$302,17,0)))</f>
        <v xml:space="preserve"> </v>
      </c>
      <c r="AG37" s="465" t="str">
        <f>IF(ISERROR(VLOOKUP(T37,'Base de Datos'!$E$7:$AR$302,18,0))=TRUE," ",(VLOOKUP(T37,'Base de Datos'!$E$7:$AR$302,18,0)))</f>
        <v xml:space="preserve"> </v>
      </c>
      <c r="AH37" s="466" t="str">
        <f>IF(ISERROR(VLOOKUP(T37,'Base de Datos'!$E$7:$AR$302,20,0))=TRUE," ",(VLOOKUP(T37,'Base de Datos'!$E$7:$AR$302,20,0)))</f>
        <v xml:space="preserve"> </v>
      </c>
      <c r="AI37" s="466" t="str">
        <f>IF(ISERROR(VLOOKUP(T37,'Base de Datos'!$E$7:$AR$302,21,0))=TRUE," ",(VLOOKUP(T37,'Base de Datos'!$E$7:$AR$302,21,0)))</f>
        <v xml:space="preserve"> </v>
      </c>
      <c r="AJ37" s="455"/>
      <c r="AK37" s="455" t="str">
        <f>IF(ISERROR(VLOOKUP(D37,'Base de Datos'!$C$7:$AR$400,2,0))=TRUE," ",(VLOOKUP(D37,'Base de Datos'!$C$7:$AR$400,2,0)))</f>
        <v>2015282</v>
      </c>
      <c r="AL37" s="455" t="str">
        <f>IF(ISERROR(VLOOKUP(D37,'Base de Datos'!$C$7:$AR$400,3,0))=TRUE," ",(VLOOKUP(D37,'Base de Datos'!$C$7:$AR$400,3,0)))</f>
        <v>150344-0-2015</v>
      </c>
      <c r="AM37" s="458"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8">
        <f>IF(ISERROR(VLOOKUP(D37,'Base de Datos'!$C$7:$AR$400,20,0))=TRUE," ",(VLOOKUP(D37,'Base de Datos'!$C$7:$AR$400,19,0)))</f>
        <v>518574616</v>
      </c>
      <c r="AO37" s="461">
        <f>IF(ISERROR(VLOOKUP(D37,'Base de Datos'!$C$7:$AR$400,9,0))=TRUE," ",(VLOOKUP(D37,'Base de Datos'!$C$7:$AR$400,9,0)))</f>
        <v>2015</v>
      </c>
      <c r="AP37" s="461">
        <f>IF(ISERROR(VLOOKUP(D37,'Base de Datos'!$C$7:$AR$400,10,0))=TRUE," ",(VLOOKUP(D37,'Base de Datos'!$C$7:$AR$400,10,0)))</f>
        <v>42240</v>
      </c>
      <c r="AQ37" s="463">
        <f>IF(ISERROR(VLOOKUP(D37,'Base de Datos'!$C$7:$AR$400,11,0))=TRUE," ",(VLOOKUP(D37,'Base de Datos'!$C$7:$AR$400,11,0)))</f>
        <v>42261</v>
      </c>
      <c r="AR37" s="464">
        <f>IF(ISERROR(VLOOKUP(D37,'Base de Datos'!$C$7:$AR$400,12,0))=TRUE," ",(VLOOKUP(D37,'Base de Datos'!$C$7:$AR$400,12,0)))</f>
        <v>42565</v>
      </c>
      <c r="AS37" s="463">
        <f>IF(ISERROR(VLOOKUP(D37,'Base de Datos'!$C$7:$AR$400,13,0))=TRUE," ",(VLOOKUP(D37,'Base de Datos'!$C$7:$AR$400,13,0)))</f>
        <v>2</v>
      </c>
      <c r="AT37" s="463">
        <f>IF(ISERROR(VLOOKUP(D37,'Base de Datos'!$C$7:$AR$400,14,0))=TRUE," ",(VLOOKUP(D37,'Base de Datos'!$C$7:$AR$400,14,0)))</f>
        <v>136483034</v>
      </c>
      <c r="AU37" s="461" t="str">
        <f>IF(ISERROR(VLOOKUP(D37,'Base de Datos'!$C$7:$AR$400,16,0))=TRUE," ",(VLOOKUP(D37,'Base de Datos'!$C$7:$AR$400,16,0)))</f>
        <v>4 meses</v>
      </c>
      <c r="AV37" s="465">
        <f>IF(ISERROR(VLOOKUP(D37,'Base de Datos'!$C$7:$AR$400,17,0))=TRUE," ",(VLOOKUP(D37,'Base de Datos'!$C$7:$AR$400,17,0)))</f>
        <v>42688</v>
      </c>
      <c r="AW37" s="465">
        <f>IF(ISERROR(VLOOKUP(D37,'Base de Datos'!$C$7:$AR$400,18,0))=TRUE," ",(VLOOKUP(D37,'Base de Datos'!$C$7:$AR$400,18,0)))</f>
        <v>42688</v>
      </c>
      <c r="AX37" s="465">
        <f>IF(ISERROR(VLOOKUP(D37,'Base de Datos'!$C$7:$AR$400,19,0))=TRUE," ",(VLOOKUP(D37,'Base de Datos'!$C$7:$AR$400,19,0)))</f>
        <v>518574616</v>
      </c>
      <c r="AY37" s="468">
        <f>IF(ISERROR(VLOOKUP(D37,'Base de Datos'!$C$7:$AR$400,21,0))=TRUE," ",(VLOOKUP(D37,'Base de Datos'!$C$7:$AR$400,21,0)))</f>
        <v>70143071</v>
      </c>
      <c r="AZ37" s="468" t="str">
        <f>IF(ISERROR(VLOOKUP(D37,'Base de Datos'!$C$7:$AR$400,22,0))=TRUE," ",(VLOOKUP(D37,'Base de Datos'!$C$7:$AR$400,22,0)))</f>
        <v>Pagos mes vencido por servicios, pago respuestos de acuerdo a la demanda</v>
      </c>
      <c r="BA37" s="475"/>
      <c r="BB37" s="485"/>
    </row>
    <row r="38" spans="2:54" ht="54" hidden="1" customHeight="1" x14ac:dyDescent="0.25">
      <c r="B38" s="438">
        <v>31</v>
      </c>
      <c r="C38" s="446" t="s">
        <v>1645</v>
      </c>
      <c r="D38" s="438">
        <v>284</v>
      </c>
      <c r="E38" s="446" t="s">
        <v>1651</v>
      </c>
      <c r="F38" s="447">
        <f>VLOOKUP(D38,'Presupuesto - PAA 2015'!$B$10:$E$265,4,0)</f>
        <v>54285345</v>
      </c>
      <c r="G38" s="439" t="s">
        <v>1784</v>
      </c>
      <c r="H38" s="439" t="s">
        <v>1780</v>
      </c>
      <c r="I38" s="439" t="s">
        <v>1713</v>
      </c>
      <c r="J38" s="448" t="s">
        <v>590</v>
      </c>
      <c r="K38" s="449" t="s">
        <v>390</v>
      </c>
      <c r="L38" s="449" t="s">
        <v>390</v>
      </c>
      <c r="M38" s="450"/>
      <c r="N38" s="449"/>
      <c r="O38" s="451"/>
      <c r="P38" s="451"/>
      <c r="Q38" s="451"/>
      <c r="R38" s="452"/>
      <c r="S38" s="452"/>
      <c r="T38" s="351"/>
      <c r="U38" s="455" t="str">
        <f>IF(ISERROR(VLOOKUP(T38,'Base de Datos'!$E$7:$AR$302,3,0))=TRUE," ",(VLOOKUP(T38,'Base de Datos'!$E$7:$AR$302,2,0)))</f>
        <v xml:space="preserve"> </v>
      </c>
      <c r="V38" s="458" t="str">
        <f>IF(ISERROR(VLOOKUP(T38,'Base de Datos'!$E$7:$AR$302,5,0))=TRUE," ",(VLOOKUP(T38,'Base de Datos'!$E$7:$AR$302,5,0)))</f>
        <v xml:space="preserve"> </v>
      </c>
      <c r="W38" s="455" t="str">
        <f>IF(ISERROR(VLOOKUP(T38,'Base de Datos'!$E$7:$AR$302,19,0))=TRUE," ",(VLOOKUP(T38,'Base de Datos'!$E$7:$AR$302,19,0)))</f>
        <v xml:space="preserve"> </v>
      </c>
      <c r="X38" s="460" t="str">
        <f>IF(ISERROR(VLOOKUP(T38,'Base de Datos'!$E$7:$AR$302,8,0))=TRUE," ",(VLOOKUP(T38,'Base de Datos'!$E$7:$AR$302,8,0)))</f>
        <v xml:space="preserve"> </v>
      </c>
      <c r="Y38" s="460" t="str">
        <f>IF(ISERROR(VLOOKUP(T38,'Base de Datos'!$E$7:$AR$302,9,0))=TRUE," ",(VLOOKUP(T38,'Base de Datos'!$E$7:$AR$302,9,0)))</f>
        <v xml:space="preserve"> </v>
      </c>
      <c r="Z38" s="454" t="str">
        <f>IF(ISERROR(VLOOKUP(T38,'Base de Datos'!$E$7:$AR$302,10,0))=TRUE," ",(VLOOKUP(T38,'Base de Datos'!$E$7:$AR$302,10,0)))</f>
        <v xml:space="preserve"> </v>
      </c>
      <c r="AA38" s="457" t="str">
        <f>IF(ISERROR(VLOOKUP(T38,'Base de Datos'!$E$7:$AR$302,11,0))=TRUE," ",(VLOOKUP(T38,'Base de Datos'!$E$7:$AR$302,11,0)))</f>
        <v xml:space="preserve"> </v>
      </c>
      <c r="AB38" s="454" t="str">
        <f>IF(ISERROR(VLOOKUP(T38,'Base de Datos'!$E$7:$AR$302,12,0))=TRUE," ",(VLOOKUP(T38,'Base de Datos'!$E$7:$AR$302,12,0)))</f>
        <v xml:space="preserve"> </v>
      </c>
      <c r="AC38" s="454" t="str">
        <f>IF(ISERROR(VLOOKUP(T38,'Base de Datos'!$E$7:$AR$302,12,0))=TRUE," ",(VLOOKUP(T38,'Base de Datos'!$E$7:$AR$302,12,0)))</f>
        <v xml:space="preserve"> </v>
      </c>
      <c r="AD38" s="460" t="str">
        <f>IF(ISERROR(VLOOKUP(T38,'Base de Datos'!$E$7:$AR$302,15,0))=TRUE," ",(VLOOKUP(T38,'Base de Datos'!$E$7:$AR$302,15,0)))</f>
        <v xml:space="preserve"> </v>
      </c>
      <c r="AE38" s="465" t="str">
        <f>IF(ISERROR(VLOOKUP(T38,'Base de Datos'!$E$7:$AR$302,16,0))=TRUE," ",(VLOOKUP(T38,'Base de Datos'!$E$7:$AR$302,16,0)))</f>
        <v xml:space="preserve"> </v>
      </c>
      <c r="AF38" s="465" t="str">
        <f>IF(ISERROR(VLOOKUP(T38,'Base de Datos'!$E$7:$AR$302,17,0))=TRUE," ",(VLOOKUP(T38,'Base de Datos'!$E$7:$AR$302,17,0)))</f>
        <v xml:space="preserve"> </v>
      </c>
      <c r="AG38" s="465" t="str">
        <f>IF(ISERROR(VLOOKUP(T38,'Base de Datos'!$E$7:$AR$302,18,0))=TRUE," ",(VLOOKUP(T38,'Base de Datos'!$E$7:$AR$302,18,0)))</f>
        <v xml:space="preserve"> </v>
      </c>
      <c r="AH38" s="466" t="str">
        <f>IF(ISERROR(VLOOKUP(T38,'Base de Datos'!$E$7:$AR$302,20,0))=TRUE," ",(VLOOKUP(T38,'Base de Datos'!$E$7:$AR$302,20,0)))</f>
        <v xml:space="preserve"> </v>
      </c>
      <c r="AI38" s="466" t="str">
        <f>IF(ISERROR(VLOOKUP(T38,'Base de Datos'!$E$7:$AR$302,21,0))=TRUE," ",(VLOOKUP(T38,'Base de Datos'!$E$7:$AR$302,21,0)))</f>
        <v xml:space="preserve"> </v>
      </c>
      <c r="AJ38" s="455"/>
      <c r="AK38" s="455" t="str">
        <f>IF(ISERROR(VLOOKUP(D38,'Base de Datos'!$C$7:$AR$400,2,0))=TRUE," ",(VLOOKUP(D38,'Base de Datos'!$C$7:$AR$400,2,0)))</f>
        <v xml:space="preserve"> </v>
      </c>
      <c r="AL38" s="455" t="str">
        <f>IF(ISERROR(VLOOKUP(D38,'Base de Datos'!$C$7:$AR$400,3,0))=TRUE," ",(VLOOKUP(D38,'Base de Datos'!$C$7:$AR$400,3,0)))</f>
        <v xml:space="preserve"> </v>
      </c>
      <c r="AM38" s="458" t="str">
        <f>IF(ISERROR(VLOOKUP(D38,'Base de Datos'!$C$7:$AR$4014,6,0))=TRUE," ",(VLOOKUP(D38,'Base de Datos'!$C$7:$AR$400,6,0)))</f>
        <v xml:space="preserve"> </v>
      </c>
      <c r="AN38" s="458" t="str">
        <f>IF(ISERROR(VLOOKUP(D38,'Base de Datos'!$C$7:$AR$400,20,0))=TRUE," ",(VLOOKUP(D38,'Base de Datos'!$C$7:$AR$400,19,0)))</f>
        <v xml:space="preserve"> </v>
      </c>
      <c r="AO38" s="461" t="str">
        <f>IF(ISERROR(VLOOKUP(D38,'Base de Datos'!$C$7:$AR$400,9,0))=TRUE," ",(VLOOKUP(D38,'Base de Datos'!$C$7:$AR$400,9,0)))</f>
        <v xml:space="preserve"> </v>
      </c>
      <c r="AP38" s="461" t="str">
        <f>IF(ISERROR(VLOOKUP(D38,'Base de Datos'!$C$7:$AR$400,10,0))=TRUE," ",(VLOOKUP(D38,'Base de Datos'!$C$7:$AR$400,10,0)))</f>
        <v xml:space="preserve"> </v>
      </c>
      <c r="AQ38" s="463" t="str">
        <f>IF(ISERROR(VLOOKUP(D38,'Base de Datos'!$C$7:$AR$400,11,0))=TRUE," ",(VLOOKUP(D38,'Base de Datos'!$C$7:$AR$400,11,0)))</f>
        <v xml:space="preserve"> </v>
      </c>
      <c r="AR38" s="464" t="str">
        <f>IF(ISERROR(VLOOKUP(D38,'Base de Datos'!$C$7:$AR$400,12,0))=TRUE," ",(VLOOKUP(D38,'Base de Datos'!$C$7:$AR$400,12,0)))</f>
        <v xml:space="preserve"> </v>
      </c>
      <c r="AS38" s="463" t="str">
        <f>IF(ISERROR(VLOOKUP(D38,'Base de Datos'!$C$7:$AR$400,13,0))=TRUE," ",(VLOOKUP(D38,'Base de Datos'!$C$7:$AR$400,13,0)))</f>
        <v xml:space="preserve"> </v>
      </c>
      <c r="AT38" s="463" t="str">
        <f>IF(ISERROR(VLOOKUP(D38,'Base de Datos'!$C$7:$AR$400,14,0))=TRUE," ",(VLOOKUP(D38,'Base de Datos'!$C$7:$AR$400,14,0)))</f>
        <v xml:space="preserve"> </v>
      </c>
      <c r="AU38" s="461" t="str">
        <f>IF(ISERROR(VLOOKUP(D38,'Base de Datos'!$C$7:$AR$400,16,0))=TRUE," ",(VLOOKUP(D38,'Base de Datos'!$C$7:$AR$400,16,0)))</f>
        <v xml:space="preserve"> </v>
      </c>
      <c r="AV38" s="465" t="str">
        <f>IF(ISERROR(VLOOKUP(D38,'Base de Datos'!$C$7:$AR$400,17,0))=TRUE," ",(VLOOKUP(D38,'Base de Datos'!$C$7:$AR$400,17,0)))</f>
        <v xml:space="preserve"> </v>
      </c>
      <c r="AW38" s="465" t="str">
        <f>IF(ISERROR(VLOOKUP(D38,'Base de Datos'!$C$7:$AR$400,18,0))=TRUE," ",(VLOOKUP(D38,'Base de Datos'!$C$7:$AR$400,18,0)))</f>
        <v xml:space="preserve"> </v>
      </c>
      <c r="AX38" s="465" t="str">
        <f>IF(ISERROR(VLOOKUP(D38,'Base de Datos'!$C$7:$AR$400,19,0))=TRUE," ",(VLOOKUP(D38,'Base de Datos'!$C$7:$AR$400,19,0)))</f>
        <v xml:space="preserve"> </v>
      </c>
      <c r="AY38" s="468" t="str">
        <f>IF(ISERROR(VLOOKUP(D38,'Base de Datos'!$C$7:$AR$400,21,0))=TRUE," ",(VLOOKUP(D38,'Base de Datos'!$C$7:$AR$400,21,0)))</f>
        <v xml:space="preserve"> </v>
      </c>
      <c r="AZ38" s="468" t="str">
        <f>IF(ISERROR(VLOOKUP(D38,'Base de Datos'!$C$7:$AR$400,22,0))=TRUE," ",(VLOOKUP(D38,'Base de Datos'!$C$7:$AR$400,22,0)))</f>
        <v xml:space="preserve"> </v>
      </c>
      <c r="BA38" s="475"/>
      <c r="BB38" s="485"/>
    </row>
    <row r="39" spans="2:54" ht="55.5" hidden="1" customHeight="1" x14ac:dyDescent="0.25">
      <c r="B39" s="438">
        <v>32</v>
      </c>
      <c r="C39" s="446" t="s">
        <v>1645</v>
      </c>
      <c r="D39" s="438">
        <v>162</v>
      </c>
      <c r="E39" s="446" t="s">
        <v>1652</v>
      </c>
      <c r="F39" s="447">
        <f>VLOOKUP(D39,'Presupuesto - PAA 2015'!$B$10:$E$265,4,0)</f>
        <v>444600000</v>
      </c>
      <c r="G39" s="439" t="str">
        <f>VLOOKUP(D39,'[3]Seguimiento Plan'!$C$2:$R$101,16,0)</f>
        <v>Suministro de combustible para la Secretaría Distrital de Hacienda y Concejo de Bogotá</v>
      </c>
      <c r="H39" s="439" t="s">
        <v>1779</v>
      </c>
      <c r="I39" s="439" t="s">
        <v>1716</v>
      </c>
      <c r="J39" s="448" t="s">
        <v>1738</v>
      </c>
      <c r="K39" s="449" t="s">
        <v>390</v>
      </c>
      <c r="L39" s="449" t="str">
        <f>VLOOKUP(D39,'[3]Seguimiento Plan'!$C$2:$AJ$101,30,0)</f>
        <v>SI</v>
      </c>
      <c r="M39" s="450">
        <f>VLOOKUP(D39,'[3]Seguimiento Plan'!$C$2:$AJ$101,31,0)</f>
        <v>41991</v>
      </c>
      <c r="N39" s="449"/>
      <c r="O39" s="451"/>
      <c r="P39" s="451"/>
      <c r="Q39" s="451"/>
      <c r="R39" s="452"/>
      <c r="S39" s="452"/>
      <c r="T39" s="486" t="s">
        <v>1478</v>
      </c>
      <c r="U39" s="455" t="str">
        <f>IF(ISERROR(VLOOKUP(T39,'Base de Datos'!$E$7:$AR$302,3,0))=TRUE," ",(VLOOKUP(T39,'Base de Datos'!$E$7:$AR$302,2,0)))</f>
        <v>ORGANIZACIÓN TERPEL S.A.</v>
      </c>
      <c r="V39" s="458">
        <f>IF(ISERROR(VLOOKUP(T39,'Base de Datos'!$E$7:$AR$302,5,0))=TRUE," ",(VLOOKUP(T39,'Base de Datos'!$E$7:$AR$302,5,0)))</f>
        <v>171253333</v>
      </c>
      <c r="W39" s="455">
        <f>IF(ISERROR(VLOOKUP(T39,'Base de Datos'!$E$7:$AR$302,19,0))=TRUE," ",(VLOOKUP(T39,'Base de Datos'!$E$7:$AR$302,19,0)))</f>
        <v>47716224</v>
      </c>
      <c r="X39" s="460" t="str">
        <f>IF(ISERROR(VLOOKUP(T39,'Base de Datos'!$E$7:$AR$302,8,0))=TRUE," ",(VLOOKUP(T39,'Base de Datos'!$E$7:$AR$302,8,0)))</f>
        <v xml:space="preserve"> </v>
      </c>
      <c r="Y39" s="460">
        <f>IF(ISERROR(VLOOKUP(T39,'Base de Datos'!$E$7:$AR$302,9,0))=TRUE," ",(VLOOKUP(T39,'Base de Datos'!$E$7:$AR$302,9,0)))</f>
        <v>41961</v>
      </c>
      <c r="Z39" s="454">
        <f>IF(ISERROR(VLOOKUP(T39,'Base de Datos'!$E$7:$AR$302,10,0))=TRUE," ",(VLOOKUP(T39,'Base de Datos'!$E$7:$AR$302,10,0)))</f>
        <v>42063</v>
      </c>
      <c r="AA39" s="457">
        <f>IF(ISERROR(VLOOKUP(T39,'Base de Datos'!$E$7:$AR$302,11,0))=TRUE," ",(VLOOKUP(T39,'Base de Datos'!$E$7:$AR$302,11,0)))</f>
        <v>0</v>
      </c>
      <c r="AB39" s="454">
        <f>IF(ISERROR(VLOOKUP(T39,'Base de Datos'!$E$7:$AR$302,12,0))=TRUE," ",(VLOOKUP(T39,'Base de Datos'!$E$7:$AR$302,12,0)))</f>
        <v>0</v>
      </c>
      <c r="AC39" s="454">
        <f>IF(ISERROR(VLOOKUP(T39,'Base de Datos'!$E$7:$AR$302,12,0))=TRUE," ",(VLOOKUP(T39,'Base de Datos'!$E$7:$AR$302,12,0)))</f>
        <v>0</v>
      </c>
      <c r="AD39" s="460" t="str">
        <f>IF(ISERROR(VLOOKUP(T39,'Base de Datos'!$E$7:$AR$302,15,0))=TRUE," ",(VLOOKUP(T39,'Base de Datos'!$E$7:$AR$302,15,0)))</f>
        <v/>
      </c>
      <c r="AE39" s="465">
        <f>IF(ISERROR(VLOOKUP(T39,'Base de Datos'!$E$7:$AR$302,16,0))=TRUE," ",(VLOOKUP(T39,'Base de Datos'!$E$7:$AR$302,16,0)))</f>
        <v>42063</v>
      </c>
      <c r="AF39" s="465">
        <f>IF(ISERROR(VLOOKUP(T39,'Base de Datos'!$E$7:$AR$302,17,0))=TRUE," ",(VLOOKUP(T39,'Base de Datos'!$E$7:$AR$302,17,0)))</f>
        <v>171253333</v>
      </c>
      <c r="AG39" s="465">
        <f>IF(ISERROR(VLOOKUP(T39,'Base de Datos'!$E$7:$AR$302,18,0))=TRUE," ",(VLOOKUP(T39,'Base de Datos'!$E$7:$AR$302,18,0)))</f>
        <v>123537109</v>
      </c>
      <c r="AH39" s="466" t="str">
        <f>IF(ISERROR(VLOOKUP(T39,'Base de Datos'!$E$7:$AR$302,20,0))=TRUE," ",(VLOOKUP(T39,'Base de Datos'!$E$7:$AR$302,20,0)))</f>
        <v>Quincenal</v>
      </c>
      <c r="AI39" s="466">
        <f>IF(ISERROR(VLOOKUP(T39,'Base de Datos'!$E$7:$AR$302,21,0))=TRUE," ",(VLOOKUP(T39,'Base de Datos'!$E$7:$AR$302,21,0)))</f>
        <v>0.72137053823063402</v>
      </c>
      <c r="AJ39" s="460"/>
      <c r="AK39" s="455" t="str">
        <f>IF(ISERROR(VLOOKUP(D39,'Base de Datos'!$C$7:$AR$400,2,0))=TRUE," ",(VLOOKUP(D39,'Base de Datos'!$C$7:$AR$400,2,0)))</f>
        <v>2015162</v>
      </c>
      <c r="AL39" s="455" t="str">
        <f>IF(ISERROR(VLOOKUP(D39,'Base de Datos'!$C$7:$AR$400,3,0))=TRUE," ",(VLOOKUP(D39,'Base de Datos'!$C$7:$AR$400,3,0)))</f>
        <v>150097-0-2015</v>
      </c>
      <c r="AM39" s="458" t="str">
        <f>IF(ISERROR(VLOOKUP(D39,'Base de Datos'!$C$7:$AR$4014,6,0))=TRUE," ",(VLOOKUP(D39,'Base de Datos'!$C$7:$AR$400,6,0)))</f>
        <v>Suministro de combustible para el Concejo de Bogotá D.C.</v>
      </c>
      <c r="AN39" s="458">
        <f>IF(ISERROR(VLOOKUP(D39,'Base de Datos'!$C$7:$AR$400,20,0))=TRUE," ",(VLOOKUP(D39,'Base de Datos'!$C$7:$AR$400,19,0)))</f>
        <v>444600000</v>
      </c>
      <c r="AO39" s="461">
        <f>IF(ISERROR(VLOOKUP(D39,'Base de Datos'!$C$7:$AR$400,9,0))=TRUE," ",(VLOOKUP(D39,'Base de Datos'!$C$7:$AR$400,9,0)))</f>
        <v>2015</v>
      </c>
      <c r="AP39" s="461">
        <f>IF(ISERROR(VLOOKUP(D39,'Base de Datos'!$C$7:$AR$400,10,0))=TRUE," ",(VLOOKUP(D39,'Base de Datos'!$C$7:$AR$400,10,0)))</f>
        <v>0</v>
      </c>
      <c r="AQ39" s="463">
        <f>IF(ISERROR(VLOOKUP(D39,'Base de Datos'!$C$7:$AR$400,11,0))=TRUE," ",(VLOOKUP(D39,'Base de Datos'!$C$7:$AR$400,11,0)))</f>
        <v>42064</v>
      </c>
      <c r="AR39" s="464">
        <f>IF(ISERROR(VLOOKUP(D39,'Base de Datos'!$C$7:$AR$400,12,0))=TRUE," ",(VLOOKUP(D39,'Base de Datos'!$C$7:$AR$400,12,0)))</f>
        <v>42339</v>
      </c>
      <c r="AS39" s="463">
        <f>IF(ISERROR(VLOOKUP(D39,'Base de Datos'!$C$7:$AR$400,13,0))=TRUE," ",(VLOOKUP(D39,'Base de Datos'!$C$7:$AR$400,13,0)))</f>
        <v>0</v>
      </c>
      <c r="AT39" s="463">
        <f>IF(ISERROR(VLOOKUP(D39,'Base de Datos'!$C$7:$AR$400,14,0))=TRUE," ",(VLOOKUP(D39,'Base de Datos'!$C$7:$AR$400,14,0)))</f>
        <v>0</v>
      </c>
      <c r="AU39" s="461" t="str">
        <f>IF(ISERROR(VLOOKUP(D39,'Base de Datos'!$C$7:$AR$400,16,0))=TRUE," ",(VLOOKUP(D39,'Base de Datos'!$C$7:$AR$400,16,0)))</f>
        <v/>
      </c>
      <c r="AV39" s="465" t="str">
        <f>IF(ISERROR(VLOOKUP(D39,'Base de Datos'!$C$7:$AR$400,17,0))=TRUE," ",(VLOOKUP(D39,'Base de Datos'!$C$7:$AR$400,17,0)))</f>
        <v/>
      </c>
      <c r="AW39" s="465">
        <f>IF(ISERROR(VLOOKUP(D39,'Base de Datos'!$C$7:$AR$400,18,0))=TRUE," ",(VLOOKUP(D39,'Base de Datos'!$C$7:$AR$400,18,0)))</f>
        <v>42339</v>
      </c>
      <c r="AX39" s="465">
        <f>IF(ISERROR(VLOOKUP(D39,'Base de Datos'!$C$7:$AR$400,19,0))=TRUE," ",(VLOOKUP(D39,'Base de Datos'!$C$7:$AR$400,19,0)))</f>
        <v>444600000</v>
      </c>
      <c r="AY39" s="468">
        <f>IF(ISERROR(VLOOKUP(D39,'Base de Datos'!$C$7:$AR$400,21,0))=TRUE," ",(VLOOKUP(D39,'Base de Datos'!$C$7:$AR$400,21,0)))</f>
        <v>79262848</v>
      </c>
      <c r="AZ39" s="468">
        <f>IF(ISERROR(VLOOKUP(D39,'Base de Datos'!$C$7:$AR$400,22,0))=TRUE," ",(VLOOKUP(D39,'Base de Datos'!$C$7:$AR$400,22,0)))</f>
        <v>0</v>
      </c>
      <c r="BA39" s="475"/>
      <c r="BB39" s="485"/>
    </row>
    <row r="40" spans="2:54" ht="55.5" hidden="1" customHeight="1" x14ac:dyDescent="0.25">
      <c r="B40" s="438">
        <v>33</v>
      </c>
      <c r="C40" s="446" t="s">
        <v>1645</v>
      </c>
      <c r="D40" s="438">
        <v>163</v>
      </c>
      <c r="E40" s="446" t="s">
        <v>1652</v>
      </c>
      <c r="F40" s="447">
        <f>VLOOKUP(D40,'Presupuesto - PAA 2015'!$B$10:$E$265,4,0)</f>
        <v>0</v>
      </c>
      <c r="G40" s="439" t="str">
        <f>VLOOKUP(D40,'[3]Seguimiento Plan'!$C$2:$R$101,16,0)</f>
        <v>Suministro de ACPM para la Secretaría Distrital de Hacienda y el Concejo de Bogotá</v>
      </c>
      <c r="H40" s="439" t="s">
        <v>1779</v>
      </c>
      <c r="I40" s="439" t="s">
        <v>1716</v>
      </c>
      <c r="J40" s="448" t="s">
        <v>909</v>
      </c>
      <c r="K40" s="449"/>
      <c r="L40" s="449" t="s">
        <v>590</v>
      </c>
      <c r="M40" s="450"/>
      <c r="N40" s="449"/>
      <c r="O40" s="451"/>
      <c r="P40" s="451"/>
      <c r="Q40" s="451"/>
      <c r="R40" s="452"/>
      <c r="S40" s="452"/>
      <c r="T40" s="453"/>
      <c r="U40" s="455" t="str">
        <f>IF(ISERROR(VLOOKUP(T40,'Base de Datos'!$E$7:$AR$302,3,0))=TRUE," ",(VLOOKUP(T40,'Base de Datos'!$E$7:$AR$302,2,0)))</f>
        <v xml:space="preserve"> </v>
      </c>
      <c r="V40" s="458" t="str">
        <f>IF(ISERROR(VLOOKUP(T40,'Base de Datos'!$E$7:$AR$302,5,0))=TRUE," ",(VLOOKUP(T40,'Base de Datos'!$E$7:$AR$302,5,0)))</f>
        <v xml:space="preserve"> </v>
      </c>
      <c r="W40" s="455" t="str">
        <f>IF(ISERROR(VLOOKUP(T40,'Base de Datos'!$E$7:$AR$302,19,0))=TRUE," ",(VLOOKUP(T40,'Base de Datos'!$E$7:$AR$302,19,0)))</f>
        <v xml:space="preserve"> </v>
      </c>
      <c r="X40" s="460" t="str">
        <f>IF(ISERROR(VLOOKUP(T40,'Base de Datos'!$E$7:$AR$302,8,0))=TRUE," ",(VLOOKUP(T40,'Base de Datos'!$E$7:$AR$302,8,0)))</f>
        <v xml:space="preserve"> </v>
      </c>
      <c r="Y40" s="460" t="str">
        <f>IF(ISERROR(VLOOKUP(T40,'Base de Datos'!$E$7:$AR$302,9,0))=TRUE," ",(VLOOKUP(T40,'Base de Datos'!$E$7:$AR$302,9,0)))</f>
        <v xml:space="preserve"> </v>
      </c>
      <c r="Z40" s="454" t="str">
        <f>IF(ISERROR(VLOOKUP(T40,'Base de Datos'!$E$7:$AR$302,10,0))=TRUE," ",(VLOOKUP(T40,'Base de Datos'!$E$7:$AR$302,10,0)))</f>
        <v xml:space="preserve"> </v>
      </c>
      <c r="AA40" s="457" t="str">
        <f>IF(ISERROR(VLOOKUP(T40,'Base de Datos'!$E$7:$AR$302,11,0))=TRUE," ",(VLOOKUP(T40,'Base de Datos'!$E$7:$AR$302,11,0)))</f>
        <v xml:space="preserve"> </v>
      </c>
      <c r="AB40" s="454" t="str">
        <f>IF(ISERROR(VLOOKUP(T40,'Base de Datos'!$E$7:$AR$302,12,0))=TRUE," ",(VLOOKUP(T40,'Base de Datos'!$E$7:$AR$302,12,0)))</f>
        <v xml:space="preserve"> </v>
      </c>
      <c r="AC40" s="454" t="str">
        <f>IF(ISERROR(VLOOKUP(T40,'Base de Datos'!$E$7:$AR$302,12,0))=TRUE," ",(VLOOKUP(T40,'Base de Datos'!$E$7:$AR$302,12,0)))</f>
        <v xml:space="preserve"> </v>
      </c>
      <c r="AD40" s="460" t="str">
        <f>IF(ISERROR(VLOOKUP(T40,'Base de Datos'!$E$7:$AR$302,15,0))=TRUE," ",(VLOOKUP(T40,'Base de Datos'!$E$7:$AR$302,15,0)))</f>
        <v xml:space="preserve"> </v>
      </c>
      <c r="AE40" s="465" t="str">
        <f>IF(ISERROR(VLOOKUP(T40,'Base de Datos'!$E$7:$AR$302,16,0))=TRUE," ",(VLOOKUP(T40,'Base de Datos'!$E$7:$AR$302,16,0)))</f>
        <v xml:space="preserve"> </v>
      </c>
      <c r="AF40" s="465" t="str">
        <f>IF(ISERROR(VLOOKUP(T40,'Base de Datos'!$E$7:$AR$302,17,0))=TRUE," ",(VLOOKUP(T40,'Base de Datos'!$E$7:$AR$302,17,0)))</f>
        <v xml:space="preserve"> </v>
      </c>
      <c r="AG40" s="465" t="str">
        <f>IF(ISERROR(VLOOKUP(T40,'Base de Datos'!$E$7:$AR$302,18,0))=TRUE," ",(VLOOKUP(T40,'Base de Datos'!$E$7:$AR$302,18,0)))</f>
        <v xml:space="preserve"> </v>
      </c>
      <c r="AH40" s="466" t="str">
        <f>IF(ISERROR(VLOOKUP(T40,'Base de Datos'!$E$7:$AR$302,20,0))=TRUE," ",(VLOOKUP(T40,'Base de Datos'!$E$7:$AR$302,20,0)))</f>
        <v xml:space="preserve"> </v>
      </c>
      <c r="AI40" s="466" t="str">
        <f>IF(ISERROR(VLOOKUP(T40,'Base de Datos'!$E$7:$AR$302,21,0))=TRUE," ",(VLOOKUP(T40,'Base de Datos'!$E$7:$AR$302,21,0)))</f>
        <v xml:space="preserve"> </v>
      </c>
      <c r="AJ40" s="455"/>
      <c r="AK40" s="455" t="str">
        <f>IF(ISERROR(VLOOKUP(D40,'Base de Datos'!$C$7:$AR$400,2,0))=TRUE," ",(VLOOKUP(D40,'Base de Datos'!$C$7:$AR$400,2,0)))</f>
        <v xml:space="preserve"> </v>
      </c>
      <c r="AL40" s="455" t="str">
        <f>IF(ISERROR(VLOOKUP(D40,'Base de Datos'!$C$7:$AR$400,3,0))=TRUE," ",(VLOOKUP(D40,'Base de Datos'!$C$7:$AR$400,3,0)))</f>
        <v xml:space="preserve"> </v>
      </c>
      <c r="AM40" s="458" t="e">
        <f>IF(ISERROR(VLOOKUP(D40,'Base de Datos'!$C$7:$AR$4014,6,0))=TRUE," ",(VLOOKUP(D40,'Base de Datos'!$C$7:$AR$400,6,0)))</f>
        <v>#N/A</v>
      </c>
      <c r="AN40" s="458" t="str">
        <f>IF(ISERROR(VLOOKUP(D40,'Base de Datos'!$C$7:$AR$400,20,0))=TRUE," ",(VLOOKUP(D40,'Base de Datos'!$C$7:$AR$400,19,0)))</f>
        <v xml:space="preserve"> </v>
      </c>
      <c r="AO40" s="461" t="str">
        <f>IF(ISERROR(VLOOKUP(D40,'Base de Datos'!$C$7:$AR$400,9,0))=TRUE," ",(VLOOKUP(D40,'Base de Datos'!$C$7:$AR$400,9,0)))</f>
        <v xml:space="preserve"> </v>
      </c>
      <c r="AP40" s="461" t="str">
        <f>IF(ISERROR(VLOOKUP(D40,'Base de Datos'!$C$7:$AR$400,10,0))=TRUE," ",(VLOOKUP(D40,'Base de Datos'!$C$7:$AR$400,10,0)))</f>
        <v xml:space="preserve"> </v>
      </c>
      <c r="AQ40" s="463" t="str">
        <f>IF(ISERROR(VLOOKUP(D40,'Base de Datos'!$C$7:$AR$400,11,0))=TRUE," ",(VLOOKUP(D40,'Base de Datos'!$C$7:$AR$400,11,0)))</f>
        <v xml:space="preserve"> </v>
      </c>
      <c r="AR40" s="464" t="str">
        <f>IF(ISERROR(VLOOKUP(D40,'Base de Datos'!$C$7:$AR$400,12,0))=TRUE," ",(VLOOKUP(D40,'Base de Datos'!$C$7:$AR$400,12,0)))</f>
        <v xml:space="preserve"> </v>
      </c>
      <c r="AS40" s="463" t="str">
        <f>IF(ISERROR(VLOOKUP(D40,'Base de Datos'!$C$7:$AR$400,13,0))=TRUE," ",(VLOOKUP(D40,'Base de Datos'!$C$7:$AR$400,13,0)))</f>
        <v xml:space="preserve"> </v>
      </c>
      <c r="AT40" s="463" t="str">
        <f>IF(ISERROR(VLOOKUP(D40,'Base de Datos'!$C$7:$AR$400,14,0))=TRUE," ",(VLOOKUP(D40,'Base de Datos'!$C$7:$AR$400,14,0)))</f>
        <v xml:space="preserve"> </v>
      </c>
      <c r="AU40" s="461" t="str">
        <f>IF(ISERROR(VLOOKUP(D40,'Base de Datos'!$C$7:$AR$400,16,0))=TRUE," ",(VLOOKUP(D40,'Base de Datos'!$C$7:$AR$400,16,0)))</f>
        <v xml:space="preserve"> </v>
      </c>
      <c r="AV40" s="465" t="str">
        <f>IF(ISERROR(VLOOKUP(D40,'Base de Datos'!$C$7:$AR$400,17,0))=TRUE," ",(VLOOKUP(D40,'Base de Datos'!$C$7:$AR$400,17,0)))</f>
        <v xml:space="preserve"> </v>
      </c>
      <c r="AW40" s="465" t="str">
        <f>IF(ISERROR(VLOOKUP(D40,'Base de Datos'!$C$7:$AR$400,18,0))=TRUE," ",(VLOOKUP(D40,'Base de Datos'!$C$7:$AR$400,18,0)))</f>
        <v xml:space="preserve"> </v>
      </c>
      <c r="AX40" s="465" t="str">
        <f>IF(ISERROR(VLOOKUP(D40,'Base de Datos'!$C$7:$AR$400,19,0))=TRUE," ",(VLOOKUP(D40,'Base de Datos'!$C$7:$AR$400,19,0)))</f>
        <v xml:space="preserve"> </v>
      </c>
      <c r="AY40" s="468" t="str">
        <f>IF(ISERROR(VLOOKUP(D40,'Base de Datos'!$C$7:$AR$400,21,0))=TRUE," ",(VLOOKUP(D40,'Base de Datos'!$C$7:$AR$400,21,0)))</f>
        <v xml:space="preserve"> </v>
      </c>
      <c r="AZ40" s="468" t="str">
        <f>IF(ISERROR(VLOOKUP(D40,'Base de Datos'!$C$7:$AR$400,22,0))=TRUE," ",(VLOOKUP(D40,'Base de Datos'!$C$7:$AR$400,22,0)))</f>
        <v xml:space="preserve"> </v>
      </c>
      <c r="BA40" s="475"/>
      <c r="BB40" s="485"/>
    </row>
    <row r="41" spans="2:54" ht="55.5" hidden="1" customHeight="1" x14ac:dyDescent="0.25">
      <c r="B41" s="438">
        <v>34</v>
      </c>
      <c r="C41" s="446" t="s">
        <v>1645</v>
      </c>
      <c r="D41" s="438">
        <v>164</v>
      </c>
      <c r="E41" s="446" t="s">
        <v>1652</v>
      </c>
      <c r="F41" s="447">
        <f>VLOOKUP(D41,'Presupuesto - PAA 2015'!$B$10:$E$265,4,0)</f>
        <v>3415000</v>
      </c>
      <c r="G41" s="439" t="str">
        <f>VLOOKUP(D41,'[3]Seguimiento Plan'!$C$2:$R$101,16,0)</f>
        <v>Prestar los servicios de mantenimiento preventivo para los vehículos de la Secretaría de Hacienda y del Concejo de Bogotá.-</v>
      </c>
      <c r="H41" s="439" t="s">
        <v>1779</v>
      </c>
      <c r="I41" s="439" t="s">
        <v>1713</v>
      </c>
      <c r="J41" s="448" t="s">
        <v>909</v>
      </c>
      <c r="K41" s="449" t="s">
        <v>390</v>
      </c>
      <c r="L41" s="449" t="str">
        <f>VLOOKUP(D41,'[3]Seguimiento Plan'!$C$2:$AJ$101,30,0)</f>
        <v>SI</v>
      </c>
      <c r="M41" s="450">
        <f>VLOOKUP(D41,'[3]Seguimiento Plan'!$C$2:$AJ$101,31,0)</f>
        <v>42025</v>
      </c>
      <c r="N41" s="449"/>
      <c r="O41" s="451"/>
      <c r="P41" s="451"/>
      <c r="Q41" s="451"/>
      <c r="R41" s="452" t="s">
        <v>1948</v>
      </c>
      <c r="S41" s="470" t="s">
        <v>1947</v>
      </c>
      <c r="T41" s="453"/>
      <c r="U41" s="455" t="str">
        <f>IF(ISERROR(VLOOKUP(T41,'Base de Datos'!$E$7:$AR$302,3,0))=TRUE," ",(VLOOKUP(T41,'Base de Datos'!$E$7:$AR$302,2,0)))</f>
        <v xml:space="preserve"> </v>
      </c>
      <c r="V41" s="458" t="str">
        <f>IF(ISERROR(VLOOKUP(T41,'Base de Datos'!$E$7:$AR$302,5,0))=TRUE," ",(VLOOKUP(T41,'Base de Datos'!$E$7:$AR$302,5,0)))</f>
        <v xml:space="preserve"> </v>
      </c>
      <c r="W41" s="455" t="str">
        <f>IF(ISERROR(VLOOKUP(T41,'Base de Datos'!$E$7:$AR$302,19,0))=TRUE," ",(VLOOKUP(T41,'Base de Datos'!$E$7:$AR$302,19,0)))</f>
        <v xml:space="preserve"> </v>
      </c>
      <c r="X41" s="460" t="str">
        <f>IF(ISERROR(VLOOKUP(T41,'Base de Datos'!$E$7:$AR$302,8,0))=TRUE," ",(VLOOKUP(T41,'Base de Datos'!$E$7:$AR$302,8,0)))</f>
        <v xml:space="preserve"> </v>
      </c>
      <c r="Y41" s="460" t="str">
        <f>IF(ISERROR(VLOOKUP(T41,'Base de Datos'!$E$7:$AR$302,9,0))=TRUE," ",(VLOOKUP(T41,'Base de Datos'!$E$7:$AR$302,9,0)))</f>
        <v xml:space="preserve"> </v>
      </c>
      <c r="Z41" s="454" t="str">
        <f>IF(ISERROR(VLOOKUP(T41,'Base de Datos'!$E$7:$AR$302,10,0))=TRUE," ",(VLOOKUP(T41,'Base de Datos'!$E$7:$AR$302,10,0)))</f>
        <v xml:space="preserve"> </v>
      </c>
      <c r="AA41" s="457" t="str">
        <f>IF(ISERROR(VLOOKUP(T41,'Base de Datos'!$E$7:$AR$302,11,0))=TRUE," ",(VLOOKUP(T41,'Base de Datos'!$E$7:$AR$302,11,0)))</f>
        <v xml:space="preserve"> </v>
      </c>
      <c r="AB41" s="454" t="str">
        <f>IF(ISERROR(VLOOKUP(T41,'Base de Datos'!$E$7:$AR$302,12,0))=TRUE," ",(VLOOKUP(T41,'Base de Datos'!$E$7:$AR$302,12,0)))</f>
        <v xml:space="preserve"> </v>
      </c>
      <c r="AC41" s="454" t="str">
        <f>IF(ISERROR(VLOOKUP(T41,'Base de Datos'!$E$7:$AR$302,12,0))=TRUE," ",(VLOOKUP(T41,'Base de Datos'!$E$7:$AR$302,12,0)))</f>
        <v xml:space="preserve"> </v>
      </c>
      <c r="AD41" s="460" t="str">
        <f>IF(ISERROR(VLOOKUP(T41,'Base de Datos'!$E$7:$AR$302,15,0))=TRUE," ",(VLOOKUP(T41,'Base de Datos'!$E$7:$AR$302,15,0)))</f>
        <v xml:space="preserve"> </v>
      </c>
      <c r="AE41" s="465" t="str">
        <f>IF(ISERROR(VLOOKUP(T41,'Base de Datos'!$E$7:$AR$302,16,0))=TRUE," ",(VLOOKUP(T41,'Base de Datos'!$E$7:$AR$302,16,0)))</f>
        <v xml:space="preserve"> </v>
      </c>
      <c r="AF41" s="465" t="str">
        <f>IF(ISERROR(VLOOKUP(T41,'Base de Datos'!$E$7:$AR$302,17,0))=TRUE," ",(VLOOKUP(T41,'Base de Datos'!$E$7:$AR$302,17,0)))</f>
        <v xml:space="preserve"> </v>
      </c>
      <c r="AG41" s="465" t="str">
        <f>IF(ISERROR(VLOOKUP(T41,'Base de Datos'!$E$7:$AR$302,18,0))=TRUE," ",(VLOOKUP(T41,'Base de Datos'!$E$7:$AR$302,18,0)))</f>
        <v xml:space="preserve"> </v>
      </c>
      <c r="AH41" s="466" t="str">
        <f>IF(ISERROR(VLOOKUP(T41,'Base de Datos'!$E$7:$AR$302,20,0))=TRUE," ",(VLOOKUP(T41,'Base de Datos'!$E$7:$AR$302,20,0)))</f>
        <v xml:space="preserve"> </v>
      </c>
      <c r="AI41" s="466" t="str">
        <f>IF(ISERROR(VLOOKUP(T41,'Base de Datos'!$E$7:$AR$302,21,0))=TRUE," ",(VLOOKUP(T41,'Base de Datos'!$E$7:$AR$302,21,0)))</f>
        <v xml:space="preserve"> </v>
      </c>
      <c r="AJ41" s="455"/>
      <c r="AK41" s="455" t="str">
        <f>IF(ISERROR(VLOOKUP(D41,'Base de Datos'!$C$7:$AR$400,2,0))=TRUE," ",(VLOOKUP(D41,'Base de Datos'!$C$7:$AR$400,2,0)))</f>
        <v>2015164</v>
      </c>
      <c r="AL41" s="455" t="str">
        <f>IF(ISERROR(VLOOKUP(D41,'Base de Datos'!$C$7:$AR$400,3,0))=TRUE," ",(VLOOKUP(D41,'Base de Datos'!$C$7:$AR$400,3,0)))</f>
        <v>150358-0-2015</v>
      </c>
      <c r="AM41" s="458"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8">
        <f>IF(ISERROR(VLOOKUP(D41,'Base de Datos'!$C$7:$AR$400,20,0))=TRUE," ",(VLOOKUP(D41,'Base de Datos'!$C$7:$AR$400,19,0)))</f>
        <v>28805000</v>
      </c>
      <c r="AO41" s="461">
        <f>IF(ISERROR(VLOOKUP(D41,'Base de Datos'!$C$7:$AR$400,9,0))=TRUE," ",(VLOOKUP(D41,'Base de Datos'!$C$7:$AR$400,9,0)))</f>
        <v>2015</v>
      </c>
      <c r="AP41" s="461">
        <f>IF(ISERROR(VLOOKUP(D41,'Base de Datos'!$C$7:$AR$400,10,0))=TRUE," ",(VLOOKUP(D41,'Base de Datos'!$C$7:$AR$400,10,0)))</f>
        <v>42268</v>
      </c>
      <c r="AQ41" s="463">
        <f>IF(ISERROR(VLOOKUP(D41,'Base de Datos'!$C$7:$AR$400,11,0))=TRUE," ",(VLOOKUP(D41,'Base de Datos'!$C$7:$AR$400,11,0)))</f>
        <v>42296</v>
      </c>
      <c r="AR41" s="464">
        <f>IF(ISERROR(VLOOKUP(D41,'Base de Datos'!$C$7:$AR$400,12,0))=TRUE," ",(VLOOKUP(D41,'Base de Datos'!$C$7:$AR$400,12,0)))</f>
        <v>42662</v>
      </c>
      <c r="AS41" s="463">
        <f>IF(ISERROR(VLOOKUP(D41,'Base de Datos'!$C$7:$AR$400,13,0))=TRUE," ",(VLOOKUP(D41,'Base de Datos'!$C$7:$AR$400,13,0)))</f>
        <v>0</v>
      </c>
      <c r="AT41" s="463">
        <f>IF(ISERROR(VLOOKUP(D41,'Base de Datos'!$C$7:$AR$400,14,0))=TRUE," ",(VLOOKUP(D41,'Base de Datos'!$C$7:$AR$400,14,0)))</f>
        <v>0</v>
      </c>
      <c r="AU41" s="461" t="str">
        <f>IF(ISERROR(VLOOKUP(D41,'Base de Datos'!$C$7:$AR$400,16,0))=TRUE," ",(VLOOKUP(D41,'Base de Datos'!$C$7:$AR$400,16,0)))</f>
        <v>2 meses     12 días calendario</v>
      </c>
      <c r="AV41" s="465">
        <f>IF(ISERROR(VLOOKUP(D41,'Base de Datos'!$C$7:$AR$400,17,0))=TRUE," ",(VLOOKUP(D41,'Base de Datos'!$C$7:$AR$400,17,0)))</f>
        <v>42735</v>
      </c>
      <c r="AW41" s="465">
        <f>IF(ISERROR(VLOOKUP(D41,'Base de Datos'!$C$7:$AR$400,18,0))=TRUE," ",(VLOOKUP(D41,'Base de Datos'!$C$7:$AR$400,18,0)))</f>
        <v>42735</v>
      </c>
      <c r="AX41" s="465">
        <f>IF(ISERROR(VLOOKUP(D41,'Base de Datos'!$C$7:$AR$400,19,0))=TRUE," ",(VLOOKUP(D41,'Base de Datos'!$C$7:$AR$400,19,0)))</f>
        <v>28805000</v>
      </c>
      <c r="AY41" s="468">
        <f>IF(ISERROR(VLOOKUP(D41,'Base de Datos'!$C$7:$AR$400,21,0))=TRUE," ",(VLOOKUP(D41,'Base de Datos'!$C$7:$AR$400,21,0)))</f>
        <v>16510250</v>
      </c>
      <c r="AZ41" s="468" t="str">
        <f>IF(ISERROR(VLOOKUP(D41,'Base de Datos'!$C$7:$AR$400,22,0))=TRUE," ",(VLOOKUP(D41,'Base de Datos'!$C$7:$AR$400,22,0)))</f>
        <v>Pagos mensuales de acuerdo a los servicios e insumos efectivamente prestados</v>
      </c>
      <c r="BA41" s="475"/>
      <c r="BB41" s="485"/>
    </row>
    <row r="42" spans="2:54" ht="55.5" hidden="1" customHeight="1" x14ac:dyDescent="0.25">
      <c r="B42" s="438">
        <v>35</v>
      </c>
      <c r="C42" s="446" t="s">
        <v>1645</v>
      </c>
      <c r="D42" s="438">
        <v>165</v>
      </c>
      <c r="E42" s="446" t="s">
        <v>1653</v>
      </c>
      <c r="F42" s="447">
        <f>VLOOKUP(D42,'Presupuesto - PAA 2015'!$B$10:$E$265,4,0)</f>
        <v>133000000</v>
      </c>
      <c r="G42" s="439"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9" t="s">
        <v>1779</v>
      </c>
      <c r="I42" s="439" t="s">
        <v>1713</v>
      </c>
      <c r="J42" s="448" t="s">
        <v>1737</v>
      </c>
      <c r="K42" s="449" t="s">
        <v>390</v>
      </c>
      <c r="L42" s="449" t="str">
        <f>VLOOKUP(D42,'[3]Seguimiento Plan'!$C$2:$AJ$101,30,0)</f>
        <v>SI</v>
      </c>
      <c r="M42" s="450">
        <f>VLOOKUP(D42,'[3]Seguimiento Plan'!$C$2:$AJ$101,31,0)</f>
        <v>42009</v>
      </c>
      <c r="N42" s="449"/>
      <c r="O42" s="451"/>
      <c r="P42" s="451"/>
      <c r="Q42" s="471">
        <v>42079</v>
      </c>
      <c r="R42" s="530"/>
      <c r="S42" s="470" t="s">
        <v>1762</v>
      </c>
      <c r="T42" s="347" t="s">
        <v>287</v>
      </c>
      <c r="U42" s="455" t="str">
        <f>IF(ISERROR(VLOOKUP(T42,'Base de Datos'!$E$7:$AR$302,3,0))=TRUE," ",(VLOOKUP(T42,'Base de Datos'!$E$7:$AR$302,2,0)))</f>
        <v xml:space="preserve">UNIÓN TEMPORAL EMINSER-SOLOASEO </v>
      </c>
      <c r="V42" s="458">
        <f>IF(ISERROR(VLOOKUP(T42,'Base de Datos'!$E$7:$AR$302,5,0))=TRUE," ",(VLOOKUP(T42,'Base de Datos'!$E$7:$AR$302,5,0)))</f>
        <v>337487000</v>
      </c>
      <c r="W42" s="455">
        <f>IF(ISERROR(VLOOKUP(T42,'Base de Datos'!$E$7:$AR$302,19,0))=TRUE," ",(VLOOKUP(T42,'Base de Datos'!$E$7:$AR$302,19,0)))</f>
        <v>2</v>
      </c>
      <c r="X42" s="460" t="str">
        <f>IF(ISERROR(VLOOKUP(T42,'Base de Datos'!$E$7:$AR$302,8,0))=TRUE," ",(VLOOKUP(T42,'Base de Datos'!$E$7:$AR$302,8,0)))</f>
        <v xml:space="preserve"> </v>
      </c>
      <c r="Y42" s="460">
        <f>IF(ISERROR(VLOOKUP(T42,'Base de Datos'!$E$7:$AR$302,9,0))=TRUE," ",(VLOOKUP(T42,'Base de Datos'!$E$7:$AR$302,9,0)))</f>
        <v>41811</v>
      </c>
      <c r="Z42" s="454">
        <f>IF(ISERROR(VLOOKUP(T42,'Base de Datos'!$E$7:$AR$302,10,0))=TRUE," ",(VLOOKUP(T42,'Base de Datos'!$E$7:$AR$302,10,0)))</f>
        <v>42130</v>
      </c>
      <c r="AA42" s="457">
        <f>IF(ISERROR(VLOOKUP(T42,'Base de Datos'!$E$7:$AR$302,11,0))=TRUE," ",(VLOOKUP(T42,'Base de Datos'!$E$7:$AR$302,11,0)))</f>
        <v>0</v>
      </c>
      <c r="AB42" s="454">
        <f>IF(ISERROR(VLOOKUP(T42,'Base de Datos'!$E$7:$AR$302,12,0))=TRUE," ",(VLOOKUP(T42,'Base de Datos'!$E$7:$AR$302,12,0)))</f>
        <v>0</v>
      </c>
      <c r="AC42" s="454">
        <f>IF(ISERROR(VLOOKUP(T42,'Base de Datos'!$E$7:$AR$302,12,0))=TRUE," ",(VLOOKUP(T42,'Base de Datos'!$E$7:$AR$302,12,0)))</f>
        <v>0</v>
      </c>
      <c r="AD42" s="460">
        <f>IF(ISERROR(VLOOKUP(T42,'Base de Datos'!$E$7:$AR$302,15,0))=TRUE," ",(VLOOKUP(T42,'Base de Datos'!$E$7:$AR$302,15,0)))</f>
        <v>42186</v>
      </c>
      <c r="AE42" s="465">
        <f>IF(ISERROR(VLOOKUP(T42,'Base de Datos'!$E$7:$AR$302,16,0))=TRUE," ",(VLOOKUP(T42,'Base de Datos'!$E$7:$AR$302,16,0)))</f>
        <v>42186</v>
      </c>
      <c r="AF42" s="465">
        <f>IF(ISERROR(VLOOKUP(T42,'Base de Datos'!$E$7:$AR$302,17,0))=TRUE," ",(VLOOKUP(T42,'Base de Datos'!$E$7:$AR$302,17,0)))</f>
        <v>337487000</v>
      </c>
      <c r="AG42" s="465">
        <f>IF(ISERROR(VLOOKUP(T42,'Base de Datos'!$E$7:$AR$302,18,0))=TRUE," ",(VLOOKUP(T42,'Base de Datos'!$E$7:$AR$302,18,0)))</f>
        <v>337486998</v>
      </c>
      <c r="AH42" s="466"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6">
        <f>IF(ISERROR(VLOOKUP(T42,'Base de Datos'!$E$7:$AR$302,21,0))=TRUE," ",(VLOOKUP(T42,'Base de Datos'!$E$7:$AR$302,21,0)))</f>
        <v>0.99999999407384577</v>
      </c>
      <c r="AJ42" s="455"/>
      <c r="AK42" s="455" t="str">
        <f>IF(ISERROR(VLOOKUP(D42,'Base de Datos'!$C$7:$AR$400,2,0))=TRUE," ",(VLOOKUP(D42,'Base de Datos'!$C$7:$AR$400,2,0)))</f>
        <v>2015165</v>
      </c>
      <c r="AL42" s="455" t="str">
        <f>IF(ISERROR(VLOOKUP(D42,'Base de Datos'!$C$7:$AR$400,3,0))=TRUE," ",(VLOOKUP(D42,'Base de Datos'!$C$7:$AR$400,3,0)))</f>
        <v>150265-0-2015</v>
      </c>
      <c r="AM42" s="458"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8">
        <f>IF(ISERROR(VLOOKUP(D42,'Base de Datos'!$C$7:$AR$400,20,0))=TRUE," ",(VLOOKUP(D42,'Base de Datos'!$C$7:$AR$400,19,0)))</f>
        <v>434000000</v>
      </c>
      <c r="AO42" s="461">
        <f>IF(ISERROR(VLOOKUP(D42,'Base de Datos'!$C$7:$AR$400,9,0))=TRUE," ",(VLOOKUP(D42,'Base de Datos'!$C$7:$AR$400,9,0)))</f>
        <v>2015</v>
      </c>
      <c r="AP42" s="461">
        <f>IF(ISERROR(VLOOKUP(D42,'Base de Datos'!$C$7:$AR$400,10,0))=TRUE," ",(VLOOKUP(D42,'Base de Datos'!$C$7:$AR$400,10,0)))</f>
        <v>42174</v>
      </c>
      <c r="AQ42" s="463">
        <f>IF(ISERROR(VLOOKUP(D42,'Base de Datos'!$C$7:$AR$400,11,0))=TRUE," ",(VLOOKUP(D42,'Base de Datos'!$C$7:$AR$400,11,0)))</f>
        <v>42187</v>
      </c>
      <c r="AR42" s="464">
        <f>IF(ISERROR(VLOOKUP(D42,'Base de Datos'!$C$7:$AR$400,12,0))=TRUE," ",(VLOOKUP(D42,'Base de Datos'!$C$7:$AR$400,12,0)))</f>
        <v>42492</v>
      </c>
      <c r="AS42" s="463">
        <f>IF(ISERROR(VLOOKUP(D42,'Base de Datos'!$C$7:$AR$400,13,0))=TRUE," ",(VLOOKUP(D42,'Base de Datos'!$C$7:$AR$400,13,0)))</f>
        <v>2</v>
      </c>
      <c r="AT42" s="463">
        <f>IF(ISERROR(VLOOKUP(D42,'Base de Datos'!$C$7:$AR$400,14,0))=TRUE," ",(VLOOKUP(D42,'Base de Datos'!$C$7:$AR$400,14,0)))</f>
        <v>92000000</v>
      </c>
      <c r="AU42" s="461" t="str">
        <f>IF(ISERROR(VLOOKUP(D42,'Base de Datos'!$C$7:$AR$400,16,0))=TRUE," ",(VLOOKUP(D42,'Base de Datos'!$C$7:$AR$400,16,0)))</f>
        <v>7 meses          23 días</v>
      </c>
      <c r="AV42" s="465">
        <f>IF(ISERROR(VLOOKUP(D42,'Base de Datos'!$C$7:$AR$400,17,0))=TRUE," ",(VLOOKUP(D42,'Base de Datos'!$C$7:$AR$400,17,0)))</f>
        <v>42728</v>
      </c>
      <c r="AW42" s="465">
        <f>IF(ISERROR(VLOOKUP(D42,'Base de Datos'!$C$7:$AR$400,18,0))=TRUE," ",(VLOOKUP(D42,'Base de Datos'!$C$7:$AR$400,18,0)))</f>
        <v>42728</v>
      </c>
      <c r="AX42" s="465">
        <f>IF(ISERROR(VLOOKUP(D42,'Base de Datos'!$C$7:$AR$400,19,0))=TRUE," ",(VLOOKUP(D42,'Base de Datos'!$C$7:$AR$400,19,0)))</f>
        <v>434000000</v>
      </c>
      <c r="AY42" s="468">
        <f>IF(ISERROR(VLOOKUP(D42,'Base de Datos'!$C$7:$AR$400,21,0))=TRUE," ",(VLOOKUP(D42,'Base de Datos'!$C$7:$AR$400,21,0)))</f>
        <v>59275152</v>
      </c>
      <c r="AZ42" s="468">
        <f>IF(ISERROR(VLOOKUP(D42,'Base de Datos'!$C$7:$AR$400,22,0))=TRUE," ",(VLOOKUP(D42,'Base de Datos'!$C$7:$AR$400,22,0)))</f>
        <v>0</v>
      </c>
      <c r="BA42" s="475"/>
      <c r="BB42" s="485"/>
    </row>
    <row r="43" spans="2:54" ht="55.5" hidden="1" customHeight="1" x14ac:dyDescent="0.25">
      <c r="B43" s="438">
        <v>36</v>
      </c>
      <c r="C43" s="446" t="s">
        <v>1645</v>
      </c>
      <c r="D43" s="438">
        <v>166</v>
      </c>
      <c r="E43" s="446" t="s">
        <v>1653</v>
      </c>
      <c r="F43" s="447">
        <f>VLOOKUP(D43,'Presupuesto - PAA 2015'!$B$10:$E$265,4,0)</f>
        <v>5000000</v>
      </c>
      <c r="G43" s="439" t="str">
        <f>VLOOKUP(D43,'[3]Seguimiento Plan'!$C$2:$R$101,16,0)</f>
        <v>Suministro de elementos para protección y embalaje de documentos para la Secretaria Distrital de Hacienda y del Concejo de Bogotá</v>
      </c>
      <c r="H43" s="439" t="s">
        <v>1779</v>
      </c>
      <c r="I43" s="439" t="s">
        <v>1716</v>
      </c>
      <c r="J43" s="448" t="s">
        <v>909</v>
      </c>
      <c r="K43" s="449" t="s">
        <v>390</v>
      </c>
      <c r="L43" s="449" t="str">
        <f>VLOOKUP(D43,'[3]Seguimiento Plan'!$C$2:$AJ$101,30,0)</f>
        <v>SI</v>
      </c>
      <c r="M43" s="450">
        <f>VLOOKUP(D43,'[3]Seguimiento Plan'!$C$2:$AJ$101,31,0)</f>
        <v>42065</v>
      </c>
      <c r="N43" s="449" t="s">
        <v>1807</v>
      </c>
      <c r="O43" s="451"/>
      <c r="P43" s="451"/>
      <c r="Q43" s="451"/>
      <c r="R43" s="452"/>
      <c r="S43" s="470" t="s">
        <v>1846</v>
      </c>
      <c r="T43" s="453"/>
      <c r="U43" s="455" t="str">
        <f>IF(ISERROR(VLOOKUP(T43,'Base de Datos'!$E$7:$AR$302,3,0))=TRUE," ",(VLOOKUP(T43,'Base de Datos'!$E$7:$AR$302,2,0)))</f>
        <v xml:space="preserve"> </v>
      </c>
      <c r="V43" s="458" t="str">
        <f>IF(ISERROR(VLOOKUP(T43,'Base de Datos'!$E$7:$AR$302,5,0))=TRUE," ",(VLOOKUP(T43,'Base de Datos'!$E$7:$AR$302,5,0)))</f>
        <v xml:space="preserve"> </v>
      </c>
      <c r="W43" s="455" t="str">
        <f>IF(ISERROR(VLOOKUP(T43,'Base de Datos'!$E$7:$AR$302,19,0))=TRUE," ",(VLOOKUP(T43,'Base de Datos'!$E$7:$AR$302,19,0)))</f>
        <v xml:space="preserve"> </v>
      </c>
      <c r="X43" s="460" t="str">
        <f>IF(ISERROR(VLOOKUP(T43,'Base de Datos'!$E$7:$AR$302,8,0))=TRUE," ",(VLOOKUP(T43,'Base de Datos'!$E$7:$AR$302,8,0)))</f>
        <v xml:space="preserve"> </v>
      </c>
      <c r="Y43" s="460" t="str">
        <f>IF(ISERROR(VLOOKUP(T43,'Base de Datos'!$E$7:$AR$302,9,0))=TRUE," ",(VLOOKUP(T43,'Base de Datos'!$E$7:$AR$302,9,0)))</f>
        <v xml:space="preserve"> </v>
      </c>
      <c r="Z43" s="454" t="str">
        <f>IF(ISERROR(VLOOKUP(T43,'Base de Datos'!$E$7:$AR$302,10,0))=TRUE," ",(VLOOKUP(T43,'Base de Datos'!$E$7:$AR$302,10,0)))</f>
        <v xml:space="preserve"> </v>
      </c>
      <c r="AA43" s="457" t="str">
        <f>IF(ISERROR(VLOOKUP(T43,'Base de Datos'!$E$7:$AR$302,11,0))=TRUE," ",(VLOOKUP(T43,'Base de Datos'!$E$7:$AR$302,11,0)))</f>
        <v xml:space="preserve"> </v>
      </c>
      <c r="AB43" s="454" t="str">
        <f>IF(ISERROR(VLOOKUP(T43,'Base de Datos'!$E$7:$AR$302,12,0))=TRUE," ",(VLOOKUP(T43,'Base de Datos'!$E$7:$AR$302,12,0)))</f>
        <v xml:space="preserve"> </v>
      </c>
      <c r="AC43" s="454" t="str">
        <f>IF(ISERROR(VLOOKUP(T43,'Base de Datos'!$E$7:$AR$302,12,0))=TRUE," ",(VLOOKUP(T43,'Base de Datos'!$E$7:$AR$302,12,0)))</f>
        <v xml:space="preserve"> </v>
      </c>
      <c r="AD43" s="460" t="str">
        <f>IF(ISERROR(VLOOKUP(T43,'Base de Datos'!$E$7:$AR$302,15,0))=TRUE," ",(VLOOKUP(T43,'Base de Datos'!$E$7:$AR$302,15,0)))</f>
        <v xml:space="preserve"> </v>
      </c>
      <c r="AE43" s="465" t="str">
        <f>IF(ISERROR(VLOOKUP(T43,'Base de Datos'!$E$7:$AR$302,16,0))=TRUE," ",(VLOOKUP(T43,'Base de Datos'!$E$7:$AR$302,16,0)))</f>
        <v xml:space="preserve"> </v>
      </c>
      <c r="AF43" s="465" t="str">
        <f>IF(ISERROR(VLOOKUP(T43,'Base de Datos'!$E$7:$AR$302,17,0))=TRUE," ",(VLOOKUP(T43,'Base de Datos'!$E$7:$AR$302,17,0)))</f>
        <v xml:space="preserve"> </v>
      </c>
      <c r="AG43" s="465" t="str">
        <f>IF(ISERROR(VLOOKUP(T43,'Base de Datos'!$E$7:$AR$302,18,0))=TRUE," ",(VLOOKUP(T43,'Base de Datos'!$E$7:$AR$302,18,0)))</f>
        <v xml:space="preserve"> </v>
      </c>
      <c r="AH43" s="466" t="str">
        <f>IF(ISERROR(VLOOKUP(T43,'Base de Datos'!$E$7:$AR$302,20,0))=TRUE," ",(VLOOKUP(T43,'Base de Datos'!$E$7:$AR$302,20,0)))</f>
        <v xml:space="preserve"> </v>
      </c>
      <c r="AI43" s="466" t="str">
        <f>IF(ISERROR(VLOOKUP(T43,'Base de Datos'!$E$7:$AR$302,21,0))=TRUE," ",(VLOOKUP(T43,'Base de Datos'!$E$7:$AR$302,21,0)))</f>
        <v xml:space="preserve"> </v>
      </c>
      <c r="AJ43" s="469">
        <v>42149</v>
      </c>
      <c r="AK43" s="455" t="str">
        <f>IF(ISERROR(VLOOKUP(D43,'Base de Datos'!$C$7:$AR$400,2,0))=TRUE," ",(VLOOKUP(D43,'Base de Datos'!$C$7:$AR$400,2,0)))</f>
        <v>2015166</v>
      </c>
      <c r="AL43" s="455" t="str">
        <f>IF(ISERROR(VLOOKUP(D43,'Base de Datos'!$C$7:$AR$400,3,0))=TRUE," ",(VLOOKUP(D43,'Base de Datos'!$C$7:$AR$400,3,0)))</f>
        <v>150232-0-2015</v>
      </c>
      <c r="AM43" s="458" t="str">
        <f>IF(ISERROR(VLOOKUP(D43,'Base de Datos'!$C$7:$AR$4014,6,0))=TRUE," ",(VLOOKUP(D43,'Base de Datos'!$C$7:$AR$400,6,0)))</f>
        <v>Suministrar cajas y carpetas para el embalaje de los documentos de archivo para el Concejo de Bogotá, D.C, de conformidad con lo establecido en la presente invitación pública.</v>
      </c>
      <c r="AN43" s="458">
        <f>IF(ISERROR(VLOOKUP(D43,'Base de Datos'!$C$7:$AR$400,20,0))=TRUE," ",(VLOOKUP(D43,'Base de Datos'!$C$7:$AR$400,19,0)))</f>
        <v>5000000</v>
      </c>
      <c r="AO43" s="461">
        <f>IF(ISERROR(VLOOKUP(D43,'Base de Datos'!$C$7:$AR$400,9,0))=TRUE," ",(VLOOKUP(D43,'Base de Datos'!$C$7:$AR$400,9,0)))</f>
        <v>2015</v>
      </c>
      <c r="AP43" s="461">
        <f>IF(ISERROR(VLOOKUP(D43,'Base de Datos'!$C$7:$AR$400,10,0))=TRUE," ",(VLOOKUP(D43,'Base de Datos'!$C$7:$AR$400,10,0)))</f>
        <v>42149</v>
      </c>
      <c r="AQ43" s="463">
        <f>IF(ISERROR(VLOOKUP(D43,'Base de Datos'!$C$7:$AR$400,11,0))=TRUE," ",(VLOOKUP(D43,'Base de Datos'!$C$7:$AR$400,11,0)))</f>
        <v>42160</v>
      </c>
      <c r="AR43" s="464">
        <f>IF(ISERROR(VLOOKUP(D43,'Base de Datos'!$C$7:$AR$400,12,0))=TRUE," ",(VLOOKUP(D43,'Base de Datos'!$C$7:$AR$400,12,0)))</f>
        <v>42252</v>
      </c>
      <c r="AS43" s="463">
        <f>IF(ISERROR(VLOOKUP(D43,'Base de Datos'!$C$7:$AR$400,13,0))=TRUE," ",(VLOOKUP(D43,'Base de Datos'!$C$7:$AR$400,13,0)))</f>
        <v>0</v>
      </c>
      <c r="AT43" s="463">
        <f>IF(ISERROR(VLOOKUP(D43,'Base de Datos'!$C$7:$AR$400,14,0))=TRUE," ",(VLOOKUP(D43,'Base de Datos'!$C$7:$AR$400,14,0)))</f>
        <v>0</v>
      </c>
      <c r="AU43" s="461" t="str">
        <f>IF(ISERROR(VLOOKUP(D43,'Base de Datos'!$C$7:$AR$400,16,0))=TRUE," ",(VLOOKUP(D43,'Base de Datos'!$C$7:$AR$400,16,0)))</f>
        <v/>
      </c>
      <c r="AV43" s="465" t="str">
        <f>IF(ISERROR(VLOOKUP(D43,'Base de Datos'!$C$7:$AR$400,17,0))=TRUE," ",(VLOOKUP(D43,'Base de Datos'!$C$7:$AR$400,17,0)))</f>
        <v/>
      </c>
      <c r="AW43" s="465">
        <f>IF(ISERROR(VLOOKUP(D43,'Base de Datos'!$C$7:$AR$400,18,0))=TRUE," ",(VLOOKUP(D43,'Base de Datos'!$C$7:$AR$400,18,0)))</f>
        <v>42252</v>
      </c>
      <c r="AX43" s="465">
        <f>IF(ISERROR(VLOOKUP(D43,'Base de Datos'!$C$7:$AR$400,19,0))=TRUE," ",(VLOOKUP(D43,'Base de Datos'!$C$7:$AR$400,19,0)))</f>
        <v>5000000</v>
      </c>
      <c r="AY43" s="468">
        <f>IF(ISERROR(VLOOKUP(D43,'Base de Datos'!$C$7:$AR$400,21,0))=TRUE," ",(VLOOKUP(D43,'Base de Datos'!$C$7:$AR$400,21,0)))</f>
        <v>1510024</v>
      </c>
      <c r="AZ43" s="468" t="str">
        <f>IF(ISERROR(VLOOKUP(D43,'Base de Datos'!$C$7:$AR$400,22,0))=TRUE," ",(VLOOKUP(D43,'Base de Datos'!$C$7:$AR$400,22,0)))</f>
        <v>Pagos mensuales de acuerdo a las entregas realizadas según cronograma</v>
      </c>
      <c r="BA43" s="475"/>
      <c r="BB43" s="485"/>
    </row>
    <row r="44" spans="2:54" ht="55.5" hidden="1" customHeight="1" x14ac:dyDescent="0.25">
      <c r="B44" s="438">
        <v>37</v>
      </c>
      <c r="C44" s="446" t="s">
        <v>1645</v>
      </c>
      <c r="D44" s="438">
        <v>167</v>
      </c>
      <c r="E44" s="446" t="s">
        <v>1653</v>
      </c>
      <c r="F44" s="447">
        <f>VLOOKUP(D44,'Presupuesto - PAA 2015'!$B$10:$E$265,4,0)</f>
        <v>69400000</v>
      </c>
      <c r="G44" s="439" t="str">
        <f>VLOOKUP(D44,'[3]Seguimiento Plan'!$C$2:$R$101,16,0)</f>
        <v>Suministro de papelería, útiles de escritorio para la Secretaría Distrital de Hacienda y el Concejo de Bogotá--</v>
      </c>
      <c r="H44" s="439" t="s">
        <v>1779</v>
      </c>
      <c r="I44" s="439" t="s">
        <v>1716</v>
      </c>
      <c r="J44" s="448" t="s">
        <v>1737</v>
      </c>
      <c r="K44" s="449" t="s">
        <v>390</v>
      </c>
      <c r="L44" s="449" t="str">
        <f>VLOOKUP(D44,'[3]Seguimiento Plan'!$C$2:$AJ$101,30,0)</f>
        <v>SI</v>
      </c>
      <c r="M44" s="450">
        <f>VLOOKUP(D44,'[3]Seguimiento Plan'!$C$2:$AJ$101,31,0)</f>
        <v>0</v>
      </c>
      <c r="N44" s="449"/>
      <c r="O44" s="451"/>
      <c r="P44" s="451"/>
      <c r="Q44" s="451"/>
      <c r="R44" s="452"/>
      <c r="S44" s="470" t="s">
        <v>1755</v>
      </c>
      <c r="T44" s="453" t="s">
        <v>1495</v>
      </c>
      <c r="U44" s="455" t="str">
        <f>IF(ISERROR(VLOOKUP(T44,'Base de Datos'!$E$7:$AR$302,3,0))=TRUE," ",(VLOOKUP(T44,'Base de Datos'!$E$7:$AR$302,2,0)))</f>
        <v>S.O.S. SOLUCIONES DE OFICINA &amp; SUMINISTROS S.A.S.</v>
      </c>
      <c r="V44" s="458">
        <f>IF(ISERROR(VLOOKUP(T44,'Base de Datos'!$E$7:$AR$302,5,0))=TRUE," ",(VLOOKUP(T44,'Base de Datos'!$E$7:$AR$302,5,0)))</f>
        <v>29997466</v>
      </c>
      <c r="W44" s="455">
        <f>IF(ISERROR(VLOOKUP(T44,'Base de Datos'!$E$7:$AR$302,19,0))=TRUE," ",(VLOOKUP(T44,'Base de Datos'!$E$7:$AR$302,19,0)))</f>
        <v>0</v>
      </c>
      <c r="X44" s="460" t="str">
        <f>IF(ISERROR(VLOOKUP(T44,'Base de Datos'!$E$7:$AR$302,8,0))=TRUE," ",(VLOOKUP(T44,'Base de Datos'!$E$7:$AR$302,8,0)))</f>
        <v xml:space="preserve"> </v>
      </c>
      <c r="Y44" s="460">
        <f>IF(ISERROR(VLOOKUP(T44,'Base de Datos'!$E$7:$AR$302,9,0))=TRUE," ",(VLOOKUP(T44,'Base de Datos'!$E$7:$AR$302,9,0)))</f>
        <v>41988</v>
      </c>
      <c r="Z44" s="454">
        <f>IF(ISERROR(VLOOKUP(T44,'Base de Datos'!$E$7:$AR$302,10,0))=TRUE," ",(VLOOKUP(T44,'Base de Datos'!$E$7:$AR$302,10,0)))</f>
        <v>42109</v>
      </c>
      <c r="AA44" s="457">
        <f>IF(ISERROR(VLOOKUP(T44,'Base de Datos'!$E$7:$AR$302,11,0))=TRUE," ",(VLOOKUP(T44,'Base de Datos'!$E$7:$AR$302,11,0)))</f>
        <v>0</v>
      </c>
      <c r="AB44" s="454">
        <f>IF(ISERROR(VLOOKUP(T44,'Base de Datos'!$E$7:$AR$302,12,0))=TRUE," ",(VLOOKUP(T44,'Base de Datos'!$E$7:$AR$302,12,0)))</f>
        <v>0</v>
      </c>
      <c r="AC44" s="454">
        <f>IF(ISERROR(VLOOKUP(T44,'Base de Datos'!$E$7:$AR$302,12,0))=TRUE," ",(VLOOKUP(T44,'Base de Datos'!$E$7:$AR$302,12,0)))</f>
        <v>0</v>
      </c>
      <c r="AD44" s="460" t="str">
        <f>IF(ISERROR(VLOOKUP(T44,'Base de Datos'!$E$7:$AR$302,15,0))=TRUE," ",(VLOOKUP(T44,'Base de Datos'!$E$7:$AR$302,15,0)))</f>
        <v/>
      </c>
      <c r="AE44" s="465">
        <f>IF(ISERROR(VLOOKUP(T44,'Base de Datos'!$E$7:$AR$302,16,0))=TRUE," ",(VLOOKUP(T44,'Base de Datos'!$E$7:$AR$302,16,0)))</f>
        <v>42109</v>
      </c>
      <c r="AF44" s="465">
        <f>IF(ISERROR(VLOOKUP(T44,'Base de Datos'!$E$7:$AR$302,17,0))=TRUE," ",(VLOOKUP(T44,'Base de Datos'!$E$7:$AR$302,17,0)))</f>
        <v>29997466</v>
      </c>
      <c r="AG44" s="465">
        <f>IF(ISERROR(VLOOKUP(T44,'Base de Datos'!$E$7:$AR$302,18,0))=TRUE," ",(VLOOKUP(T44,'Base de Datos'!$E$7:$AR$302,18,0)))</f>
        <v>29997466</v>
      </c>
      <c r="AH44" s="466" t="str">
        <f>IF(ISERROR(VLOOKUP(T44,'Base de Datos'!$E$7:$AR$302,20,0))=TRUE," ",(VLOOKUP(T44,'Base de Datos'!$E$7:$AR$302,20,0)))</f>
        <v>Previa entrega de productos</v>
      </c>
      <c r="AI44" s="466">
        <f>IF(ISERROR(VLOOKUP(T44,'Base de Datos'!$E$7:$AR$302,21,0))=TRUE," ",(VLOOKUP(T44,'Base de Datos'!$E$7:$AR$302,21,0)))</f>
        <v>1</v>
      </c>
      <c r="AJ44" s="469">
        <v>42167</v>
      </c>
      <c r="AK44" s="455" t="str">
        <f>IF(ISERROR(VLOOKUP(D44,'Base de Datos'!$C$7:$AR$400,2,0))=TRUE," ",(VLOOKUP(D44,'Base de Datos'!$C$7:$AR$400,2,0)))</f>
        <v>2015167</v>
      </c>
      <c r="AL44" s="455" t="str">
        <f>IF(ISERROR(VLOOKUP(D44,'Base de Datos'!$C$7:$AR$400,3,0))=TRUE," ",(VLOOKUP(D44,'Base de Datos'!$C$7:$AR$400,3,0)))</f>
        <v>150252-0-2015</v>
      </c>
      <c r="AM44" s="458" t="str">
        <f>IF(ISERROR(VLOOKUP(D44,'Base de Datos'!$C$7:$AR$4014,6,0))=TRUE," ",(VLOOKUP(D44,'Base de Datos'!$C$7:$AR$400,6,0)))</f>
        <v>Suministrar papelería y útiles de escritorio en la modalidad de proveeduría integral para el Concejo de Bogotá.</v>
      </c>
      <c r="AN44" s="458">
        <f>IF(ISERROR(VLOOKUP(D44,'Base de Datos'!$C$7:$AR$400,20,0))=TRUE," ",(VLOOKUP(D44,'Base de Datos'!$C$7:$AR$400,19,0)))</f>
        <v>69400000</v>
      </c>
      <c r="AO44" s="461">
        <f>IF(ISERROR(VLOOKUP(D44,'Base de Datos'!$C$7:$AR$400,9,0))=TRUE," ",(VLOOKUP(D44,'Base de Datos'!$C$7:$AR$400,9,0)))</f>
        <v>2015</v>
      </c>
      <c r="AP44" s="461">
        <f>IF(ISERROR(VLOOKUP(D44,'Base de Datos'!$C$7:$AR$400,10,0))=TRUE," ",(VLOOKUP(D44,'Base de Datos'!$C$7:$AR$400,10,0)))</f>
        <v>42167</v>
      </c>
      <c r="AQ44" s="463">
        <f>IF(ISERROR(VLOOKUP(D44,'Base de Datos'!$C$7:$AR$400,11,0))=TRUE," ",(VLOOKUP(D44,'Base de Datos'!$C$7:$AR$400,11,0)))</f>
        <v>42186</v>
      </c>
      <c r="AR44" s="464">
        <f>IF(ISERROR(VLOOKUP(D44,'Base de Datos'!$C$7:$AR$400,12,0))=TRUE," ",(VLOOKUP(D44,'Base de Datos'!$C$7:$AR$400,12,0)))</f>
        <v>42491</v>
      </c>
      <c r="AS44" s="463">
        <f>IF(ISERROR(VLOOKUP(D44,'Base de Datos'!$C$7:$AR$400,13,0))=TRUE," ",(VLOOKUP(D44,'Base de Datos'!$C$7:$AR$400,13,0)))</f>
        <v>0</v>
      </c>
      <c r="AT44" s="463">
        <f>IF(ISERROR(VLOOKUP(D44,'Base de Datos'!$C$7:$AR$400,14,0))=TRUE," ",(VLOOKUP(D44,'Base de Datos'!$C$7:$AR$400,14,0)))</f>
        <v>0</v>
      </c>
      <c r="AU44" s="461" t="str">
        <f>IF(ISERROR(VLOOKUP(D44,'Base de Datos'!$C$7:$AR$400,16,0))=TRUE," ",(VLOOKUP(D44,'Base de Datos'!$C$7:$AR$400,16,0)))</f>
        <v>4 meses y 15 días</v>
      </c>
      <c r="AV44" s="465">
        <f>IF(ISERROR(VLOOKUP(D44,'Base de Datos'!$C$7:$AR$400,17,0))=TRUE," ",(VLOOKUP(D44,'Base de Datos'!$C$7:$AR$400,17,0)))</f>
        <v>42629</v>
      </c>
      <c r="AW44" s="465">
        <f>IF(ISERROR(VLOOKUP(D44,'Base de Datos'!$C$7:$AR$400,18,0))=TRUE," ",(VLOOKUP(D44,'Base de Datos'!$C$7:$AR$400,18,0)))</f>
        <v>42629</v>
      </c>
      <c r="AX44" s="465">
        <f>IF(ISERROR(VLOOKUP(D44,'Base de Datos'!$C$7:$AR$400,19,0))=TRUE," ",(VLOOKUP(D44,'Base de Datos'!$C$7:$AR$400,19,0)))</f>
        <v>69400000</v>
      </c>
      <c r="AY44" s="468">
        <f>IF(ISERROR(VLOOKUP(D44,'Base de Datos'!$C$7:$AR$400,21,0))=TRUE," ",(VLOOKUP(D44,'Base de Datos'!$C$7:$AR$400,21,0)))</f>
        <v>102</v>
      </c>
      <c r="AZ44" s="468" t="str">
        <f>IF(ISERROR(VLOOKUP(D44,'Base de Datos'!$C$7:$AR$400,22,0))=TRUE," ",(VLOOKUP(D44,'Base de Datos'!$C$7:$AR$400,22,0)))</f>
        <v>Mensualidades de acuerdo a los suministros</v>
      </c>
      <c r="BA44" s="475"/>
      <c r="BB44" s="485"/>
    </row>
    <row r="45" spans="2:54" ht="55.5" hidden="1" customHeight="1" x14ac:dyDescent="0.25">
      <c r="B45" s="438">
        <v>38</v>
      </c>
      <c r="C45" s="446" t="s">
        <v>1645</v>
      </c>
      <c r="D45" s="438">
        <v>266</v>
      </c>
      <c r="E45" s="446" t="s">
        <v>1653</v>
      </c>
      <c r="F45" s="447">
        <f>VLOOKUP(D45,'Presupuesto - PAA 2015'!$B$10:$E$265,4,0)</f>
        <v>812000</v>
      </c>
      <c r="G45" s="439" t="str">
        <f>VLOOKUP(D45,'[3]Seguimiento Plan'!$C$2:$R$101,16,0)</f>
        <v>Adquisicion de diademas biauriculares para el  Concejo de Bogotá D.C.</v>
      </c>
      <c r="H45" s="439" t="s">
        <v>1779</v>
      </c>
      <c r="I45" s="439" t="s">
        <v>1715</v>
      </c>
      <c r="J45" s="448" t="s">
        <v>909</v>
      </c>
      <c r="K45" s="449" t="s">
        <v>390</v>
      </c>
      <c r="L45" s="449" t="str">
        <f>VLOOKUP(D45,'[3]Seguimiento Plan'!$C$2:$AJ$101,30,0)</f>
        <v>SI</v>
      </c>
      <c r="M45" s="450" t="s">
        <v>1243</v>
      </c>
      <c r="N45" s="449"/>
      <c r="O45" s="451"/>
      <c r="P45" s="451"/>
      <c r="Q45" s="451"/>
      <c r="R45" s="452"/>
      <c r="S45" s="709" t="s">
        <v>2089</v>
      </c>
      <c r="T45" s="453"/>
      <c r="U45" s="455" t="str">
        <f>IF(ISERROR(VLOOKUP(T45,'Base de Datos'!$E$7:$AR$302,3,0))=TRUE," ",(VLOOKUP(T45,'Base de Datos'!$E$7:$AR$302,2,0)))</f>
        <v xml:space="preserve"> </v>
      </c>
      <c r="V45" s="458" t="str">
        <f>IF(ISERROR(VLOOKUP(T45,'Base de Datos'!$E$7:$AR$302,5,0))=TRUE," ",(VLOOKUP(T45,'Base de Datos'!$E$7:$AR$302,5,0)))</f>
        <v xml:space="preserve"> </v>
      </c>
      <c r="W45" s="455" t="str">
        <f>IF(ISERROR(VLOOKUP(T45,'Base de Datos'!$E$7:$AR$302,19,0))=TRUE," ",(VLOOKUP(T45,'Base de Datos'!$E$7:$AR$302,19,0)))</f>
        <v xml:space="preserve"> </v>
      </c>
      <c r="X45" s="460" t="str">
        <f>IF(ISERROR(VLOOKUP(T45,'Base de Datos'!$E$7:$AR$302,8,0))=TRUE," ",(VLOOKUP(T45,'Base de Datos'!$E$7:$AR$302,8,0)))</f>
        <v xml:space="preserve"> </v>
      </c>
      <c r="Y45" s="460" t="str">
        <f>IF(ISERROR(VLOOKUP(T45,'Base de Datos'!$E$7:$AR$302,9,0))=TRUE," ",(VLOOKUP(T45,'Base de Datos'!$E$7:$AR$302,9,0)))</f>
        <v xml:space="preserve"> </v>
      </c>
      <c r="Z45" s="454" t="str">
        <f>IF(ISERROR(VLOOKUP(T45,'Base de Datos'!$E$7:$AR$302,10,0))=TRUE," ",(VLOOKUP(T45,'Base de Datos'!$E$7:$AR$302,10,0)))</f>
        <v xml:space="preserve"> </v>
      </c>
      <c r="AA45" s="457" t="str">
        <f>IF(ISERROR(VLOOKUP(T45,'Base de Datos'!$E$7:$AR$302,11,0))=TRUE," ",(VLOOKUP(T45,'Base de Datos'!$E$7:$AR$302,11,0)))</f>
        <v xml:space="preserve"> </v>
      </c>
      <c r="AB45" s="454" t="str">
        <f>IF(ISERROR(VLOOKUP(T45,'Base de Datos'!$E$7:$AR$302,12,0))=TRUE," ",(VLOOKUP(T45,'Base de Datos'!$E$7:$AR$302,12,0)))</f>
        <v xml:space="preserve"> </v>
      </c>
      <c r="AC45" s="454" t="str">
        <f>IF(ISERROR(VLOOKUP(T45,'Base de Datos'!$E$7:$AR$302,12,0))=TRUE," ",(VLOOKUP(T45,'Base de Datos'!$E$7:$AR$302,12,0)))</f>
        <v xml:space="preserve"> </v>
      </c>
      <c r="AD45" s="460" t="str">
        <f>IF(ISERROR(VLOOKUP(T45,'Base de Datos'!$E$7:$AR$302,15,0))=TRUE," ",(VLOOKUP(T45,'Base de Datos'!$E$7:$AR$302,15,0)))</f>
        <v xml:space="preserve"> </v>
      </c>
      <c r="AE45" s="465" t="str">
        <f>IF(ISERROR(VLOOKUP(T45,'Base de Datos'!$E$7:$AR$302,16,0))=TRUE," ",(VLOOKUP(T45,'Base de Datos'!$E$7:$AR$302,16,0)))</f>
        <v xml:space="preserve"> </v>
      </c>
      <c r="AF45" s="465" t="str">
        <f>IF(ISERROR(VLOOKUP(T45,'Base de Datos'!$E$7:$AR$302,17,0))=TRUE," ",(VLOOKUP(T45,'Base de Datos'!$E$7:$AR$302,17,0)))</f>
        <v xml:space="preserve"> </v>
      </c>
      <c r="AG45" s="465" t="str">
        <f>IF(ISERROR(VLOOKUP(T45,'Base de Datos'!$E$7:$AR$302,18,0))=TRUE," ",(VLOOKUP(T45,'Base de Datos'!$E$7:$AR$302,18,0)))</f>
        <v xml:space="preserve"> </v>
      </c>
      <c r="AH45" s="466" t="str">
        <f>IF(ISERROR(VLOOKUP(T45,'Base de Datos'!$E$7:$AR$302,20,0))=TRUE," ",(VLOOKUP(T45,'Base de Datos'!$E$7:$AR$302,20,0)))</f>
        <v xml:space="preserve"> </v>
      </c>
      <c r="AI45" s="466" t="str">
        <f>IF(ISERROR(VLOOKUP(T45,'Base de Datos'!$E$7:$AR$302,21,0))=TRUE," ",(VLOOKUP(T45,'Base de Datos'!$E$7:$AR$302,21,0)))</f>
        <v xml:space="preserve"> </v>
      </c>
      <c r="AJ45" s="455"/>
      <c r="AK45" s="455" t="str">
        <f>IF(ISERROR(VLOOKUP(D45,'Base de Datos'!$C$7:$AR$400,2,0))=TRUE," ",(VLOOKUP(D45,'Base de Datos'!$C$7:$AR$400,2,0)))</f>
        <v>2015266</v>
      </c>
      <c r="AL45" s="455" t="str">
        <f>IF(ISERROR(VLOOKUP(D45,'Base de Datos'!$C$7:$AR$400,3,0))=TRUE," ",(VLOOKUP(D45,'Base de Datos'!$C$7:$AR$400,3,0)))</f>
        <v>150331-0-2015</v>
      </c>
      <c r="AM45" s="458" t="str">
        <f>IF(ISERROR(VLOOKUP(D45,'Base de Datos'!$C$7:$AR$4014,6,0))=TRUE," ",(VLOOKUP(D45,'Base de Datos'!$C$7:$AR$400,6,0)))</f>
        <v xml:space="preserve">Adquisición de audífonos biauriculares para el Concejo de Bogotá D.C </v>
      </c>
      <c r="AN45" s="458">
        <f>IF(ISERROR(VLOOKUP(D45,'Base de Datos'!$C$7:$AR$400,20,0))=TRUE," ",(VLOOKUP(D45,'Base de Datos'!$C$7:$AR$400,19,0)))</f>
        <v>812000</v>
      </c>
      <c r="AO45" s="461">
        <f>IF(ISERROR(VLOOKUP(D45,'Base de Datos'!$C$7:$AR$400,9,0))=TRUE," ",(VLOOKUP(D45,'Base de Datos'!$C$7:$AR$400,9,0)))</f>
        <v>2015</v>
      </c>
      <c r="AP45" s="461">
        <f>IF(ISERROR(VLOOKUP(D45,'Base de Datos'!$C$7:$AR$400,10,0))=TRUE," ",(VLOOKUP(D45,'Base de Datos'!$C$7:$AR$400,10,0)))</f>
        <v>42220</v>
      </c>
      <c r="AQ45" s="463">
        <f>IF(ISERROR(VLOOKUP(D45,'Base de Datos'!$C$7:$AR$400,11,0))=TRUE," ",(VLOOKUP(D45,'Base de Datos'!$C$7:$AR$400,11,0)))</f>
        <v>42235</v>
      </c>
      <c r="AR45" s="464">
        <f>IF(ISERROR(VLOOKUP(D45,'Base de Datos'!$C$7:$AR$400,12,0))=TRUE," ",(VLOOKUP(D45,'Base de Datos'!$C$7:$AR$400,12,0)))</f>
        <v>42265</v>
      </c>
      <c r="AS45" s="463">
        <f>IF(ISERROR(VLOOKUP(D45,'Base de Datos'!$C$7:$AR$400,13,0))=TRUE," ",(VLOOKUP(D45,'Base de Datos'!$C$7:$AR$400,13,0)))</f>
        <v>0</v>
      </c>
      <c r="AT45" s="463">
        <f>IF(ISERROR(VLOOKUP(D45,'Base de Datos'!$C$7:$AR$400,14,0))=TRUE," ",(VLOOKUP(D45,'Base de Datos'!$C$7:$AR$400,14,0)))</f>
        <v>0</v>
      </c>
      <c r="AU45" s="461" t="str">
        <f>IF(ISERROR(VLOOKUP(D45,'Base de Datos'!$C$7:$AR$400,16,0))=TRUE," ",(VLOOKUP(D45,'Base de Datos'!$C$7:$AR$400,16,0)))</f>
        <v/>
      </c>
      <c r="AV45" s="465" t="str">
        <f>IF(ISERROR(VLOOKUP(D45,'Base de Datos'!$C$7:$AR$400,17,0))=TRUE," ",(VLOOKUP(D45,'Base de Datos'!$C$7:$AR$400,17,0)))</f>
        <v/>
      </c>
      <c r="AW45" s="465">
        <f>IF(ISERROR(VLOOKUP(D45,'Base de Datos'!$C$7:$AR$400,18,0))=TRUE," ",(VLOOKUP(D45,'Base de Datos'!$C$7:$AR$400,18,0)))</f>
        <v>42265</v>
      </c>
      <c r="AX45" s="465">
        <f>IF(ISERROR(VLOOKUP(D45,'Base de Datos'!$C$7:$AR$400,19,0))=TRUE," ",(VLOOKUP(D45,'Base de Datos'!$C$7:$AR$400,19,0)))</f>
        <v>812000</v>
      </c>
      <c r="AY45" s="468">
        <f>IF(ISERROR(VLOOKUP(D45,'Base de Datos'!$C$7:$AR$400,21,0))=TRUE," ",(VLOOKUP(D45,'Base de Datos'!$C$7:$AR$400,21,0)))</f>
        <v>0</v>
      </c>
      <c r="AZ45" s="468" t="str">
        <f>IF(ISERROR(VLOOKUP(D45,'Base de Datos'!$C$7:$AR$400,22,0))=TRUE," ",(VLOOKUP(D45,'Base de Datos'!$C$7:$AR$400,22,0)))</f>
        <v>Un único pago</v>
      </c>
      <c r="BA45" s="475"/>
      <c r="BB45" s="485"/>
    </row>
    <row r="46" spans="2:54" ht="55.5" hidden="1" customHeight="1" x14ac:dyDescent="0.25">
      <c r="B46" s="438">
        <v>39</v>
      </c>
      <c r="C46" s="446" t="s">
        <v>1645</v>
      </c>
      <c r="D46" s="438">
        <v>68</v>
      </c>
      <c r="E46" s="446" t="s">
        <v>1655</v>
      </c>
      <c r="F46" s="447">
        <f>VLOOKUP(D46,'Presupuesto - PAA 2015'!$B$10:$E$265,4,0)</f>
        <v>150000000</v>
      </c>
      <c r="G46" s="439" t="str">
        <f>VLOOKUP(D46,'[3]Seguimiento Plan'!$C$2:$R$101,16,0)</f>
        <v>Prestar los servicios de conectividad de canales de comunicación dedicados e Internet y servicios complementarios para la Secretaría Distrital de Hacienda y el Concejo de Bogotá.</v>
      </c>
      <c r="H46" s="439" t="s">
        <v>1780</v>
      </c>
      <c r="I46" s="439" t="s">
        <v>1713</v>
      </c>
      <c r="J46" s="448" t="s">
        <v>908</v>
      </c>
      <c r="K46" s="449" t="s">
        <v>390</v>
      </c>
      <c r="L46" s="449" t="str">
        <f>VLOOKUP(D46,'[3]Seguimiento Plan'!$C$2:$AJ$101,30,0)</f>
        <v>SI</v>
      </c>
      <c r="M46" s="450">
        <f>VLOOKUP(D46,'[3]Seguimiento Plan'!$C$2:$AJ$101,31,0)</f>
        <v>42081</v>
      </c>
      <c r="N46" s="449"/>
      <c r="O46" s="451"/>
      <c r="P46" s="451"/>
      <c r="Q46" s="451"/>
      <c r="R46" s="555" t="s">
        <v>1808</v>
      </c>
      <c r="S46" s="452"/>
      <c r="T46" s="453"/>
      <c r="U46" s="455" t="str">
        <f>IF(ISERROR(VLOOKUP(T46,'Base de Datos'!$E$7:$AR$302,3,0))=TRUE," ",(VLOOKUP(T46,'Base de Datos'!$E$7:$AR$302,2,0)))</f>
        <v xml:space="preserve"> </v>
      </c>
      <c r="V46" s="458" t="str">
        <f>IF(ISERROR(VLOOKUP(T46,'Base de Datos'!$E$7:$AR$302,5,0))=TRUE," ",(VLOOKUP(T46,'Base de Datos'!$E$7:$AR$302,5,0)))</f>
        <v xml:space="preserve"> </v>
      </c>
      <c r="W46" s="455" t="str">
        <f>IF(ISERROR(VLOOKUP(T46,'Base de Datos'!$E$7:$AR$302,19,0))=TRUE," ",(VLOOKUP(T46,'Base de Datos'!$E$7:$AR$302,19,0)))</f>
        <v xml:space="preserve"> </v>
      </c>
      <c r="X46" s="460" t="str">
        <f>IF(ISERROR(VLOOKUP(T46,'Base de Datos'!$E$7:$AR$302,8,0))=TRUE," ",(VLOOKUP(T46,'Base de Datos'!$E$7:$AR$302,8,0)))</f>
        <v xml:space="preserve"> </v>
      </c>
      <c r="Y46" s="460" t="str">
        <f>IF(ISERROR(VLOOKUP(T46,'Base de Datos'!$E$7:$AR$302,9,0))=TRUE," ",(VLOOKUP(T46,'Base de Datos'!$E$7:$AR$302,9,0)))</f>
        <v xml:space="preserve"> </v>
      </c>
      <c r="Z46" s="454" t="str">
        <f>IF(ISERROR(VLOOKUP(T46,'Base de Datos'!$E$7:$AR$302,10,0))=TRUE," ",(VLOOKUP(T46,'Base de Datos'!$E$7:$AR$302,10,0)))</f>
        <v xml:space="preserve"> </v>
      </c>
      <c r="AA46" s="457" t="str">
        <f>IF(ISERROR(VLOOKUP(T46,'Base de Datos'!$E$7:$AR$302,11,0))=TRUE," ",(VLOOKUP(T46,'Base de Datos'!$E$7:$AR$302,11,0)))</f>
        <v xml:space="preserve"> </v>
      </c>
      <c r="AB46" s="454" t="str">
        <f>IF(ISERROR(VLOOKUP(T46,'Base de Datos'!$E$7:$AR$302,12,0))=TRUE," ",(VLOOKUP(T46,'Base de Datos'!$E$7:$AR$302,12,0)))</f>
        <v xml:space="preserve"> </v>
      </c>
      <c r="AC46" s="454" t="str">
        <f>IF(ISERROR(VLOOKUP(T46,'Base de Datos'!$E$7:$AR$302,12,0))=TRUE," ",(VLOOKUP(T46,'Base de Datos'!$E$7:$AR$302,12,0)))</f>
        <v xml:space="preserve"> </v>
      </c>
      <c r="AD46" s="460" t="str">
        <f>IF(ISERROR(VLOOKUP(T46,'Base de Datos'!$E$7:$AR$302,15,0))=TRUE," ",(VLOOKUP(T46,'Base de Datos'!$E$7:$AR$302,15,0)))</f>
        <v xml:space="preserve"> </v>
      </c>
      <c r="AE46" s="465" t="str">
        <f>IF(ISERROR(VLOOKUP(T46,'Base de Datos'!$E$7:$AR$302,16,0))=TRUE," ",(VLOOKUP(T46,'Base de Datos'!$E$7:$AR$302,16,0)))</f>
        <v xml:space="preserve"> </v>
      </c>
      <c r="AF46" s="465" t="str">
        <f>IF(ISERROR(VLOOKUP(T46,'Base de Datos'!$E$7:$AR$302,17,0))=TRUE," ",(VLOOKUP(T46,'Base de Datos'!$E$7:$AR$302,17,0)))</f>
        <v xml:space="preserve"> </v>
      </c>
      <c r="AG46" s="465" t="str">
        <f>IF(ISERROR(VLOOKUP(T46,'Base de Datos'!$E$7:$AR$302,18,0))=TRUE," ",(VLOOKUP(T46,'Base de Datos'!$E$7:$AR$302,18,0)))</f>
        <v xml:space="preserve"> </v>
      </c>
      <c r="AH46" s="466" t="str">
        <f>IF(ISERROR(VLOOKUP(T46,'Base de Datos'!$E$7:$AR$302,20,0))=TRUE," ",(VLOOKUP(T46,'Base de Datos'!$E$7:$AR$302,20,0)))</f>
        <v xml:space="preserve"> </v>
      </c>
      <c r="AI46" s="466" t="str">
        <f>IF(ISERROR(VLOOKUP(T46,'Base de Datos'!$E$7:$AR$302,21,0))=TRUE," ",(VLOOKUP(T46,'Base de Datos'!$E$7:$AR$302,21,0)))</f>
        <v xml:space="preserve"> </v>
      </c>
      <c r="AJ46" s="469">
        <v>42066</v>
      </c>
      <c r="AK46" s="455" t="str">
        <f>IF(ISERROR(VLOOKUP(D46,'Base de Datos'!$C$7:$AR$400,2,0))=TRUE," ",(VLOOKUP(D46,'Base de Datos'!$C$7:$AR$400,2,0)))</f>
        <v>201568</v>
      </c>
      <c r="AL46" s="455" t="str">
        <f>IF(ISERROR(VLOOKUP(D46,'Base de Datos'!$C$7:$AR$400,3,0))=TRUE," ",(VLOOKUP(D46,'Base de Datos'!$C$7:$AR$400,3,0)))</f>
        <v>150104-0-2015</v>
      </c>
      <c r="AM46" s="458"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8">
        <f>IF(ISERROR(VLOOKUP(D46,'Base de Datos'!$C$7:$AR$400,20,0))=TRUE," ",(VLOOKUP(D46,'Base de Datos'!$C$7:$AR$400,19,0)))</f>
        <v>150000000</v>
      </c>
      <c r="AO46" s="461">
        <f>IF(ISERROR(VLOOKUP(D46,'Base de Datos'!$C$7:$AR$400,9,0))=TRUE," ",(VLOOKUP(D46,'Base de Datos'!$C$7:$AR$400,9,0)))</f>
        <v>2015</v>
      </c>
      <c r="AP46" s="461">
        <f>IF(ISERROR(VLOOKUP(D46,'Base de Datos'!$C$7:$AR$400,10,0))=TRUE," ",(VLOOKUP(D46,'Base de Datos'!$C$7:$AR$400,10,0)))</f>
        <v>42066</v>
      </c>
      <c r="AQ46" s="463">
        <f>IF(ISERROR(VLOOKUP(D46,'Base de Datos'!$C$7:$AR$400,11,0))=TRUE," ",(VLOOKUP(D46,'Base de Datos'!$C$7:$AR$400,11,0)))</f>
        <v>42090</v>
      </c>
      <c r="AR46" s="464">
        <f>IF(ISERROR(VLOOKUP(D46,'Base de Datos'!$C$7:$AR$400,12,0))=TRUE," ",(VLOOKUP(D46,'Base de Datos'!$C$7:$AR$400,12,0)))</f>
        <v>42456</v>
      </c>
      <c r="AS46" s="463">
        <f>IF(ISERROR(VLOOKUP(D46,'Base de Datos'!$C$7:$AR$400,13,0))=TRUE," ",(VLOOKUP(D46,'Base de Datos'!$C$7:$AR$400,13,0)))</f>
        <v>0</v>
      </c>
      <c r="AT46" s="463">
        <f>IF(ISERROR(VLOOKUP(D46,'Base de Datos'!$C$7:$AR$400,14,0))=TRUE," ",(VLOOKUP(D46,'Base de Datos'!$C$7:$AR$400,14,0)))</f>
        <v>0</v>
      </c>
      <c r="AU46" s="461" t="str">
        <f>IF(ISERROR(VLOOKUP(D46,'Base de Datos'!$C$7:$AR$400,16,0))=TRUE," ",(VLOOKUP(D46,'Base de Datos'!$C$7:$AR$400,16,0)))</f>
        <v/>
      </c>
      <c r="AV46" s="465" t="str">
        <f>IF(ISERROR(VLOOKUP(D46,'Base de Datos'!$C$7:$AR$400,17,0))=TRUE," ",(VLOOKUP(D46,'Base de Datos'!$C$7:$AR$400,17,0)))</f>
        <v/>
      </c>
      <c r="AW46" s="465">
        <f>IF(ISERROR(VLOOKUP(D46,'Base de Datos'!$C$7:$AR$400,18,0))=TRUE," ",(VLOOKUP(D46,'Base de Datos'!$C$7:$AR$400,18,0)))</f>
        <v>42456</v>
      </c>
      <c r="AX46" s="465">
        <f>IF(ISERROR(VLOOKUP(D46,'Base de Datos'!$C$7:$AR$400,19,0))=TRUE," ",(VLOOKUP(D46,'Base de Datos'!$C$7:$AR$400,19,0)))</f>
        <v>150000000</v>
      </c>
      <c r="AY46" s="468">
        <f>IF(ISERROR(VLOOKUP(D46,'Base de Datos'!$C$7:$AR$400,21,0))=TRUE," ",(VLOOKUP(D46,'Base de Datos'!$C$7:$AR$400,21,0)))</f>
        <v>0</v>
      </c>
      <c r="AZ46" s="468" t="str">
        <f>IF(ISERROR(VLOOKUP(D46,'Base de Datos'!$C$7:$AR$400,22,0))=TRUE," ",(VLOOKUP(D46,'Base de Datos'!$C$7:$AR$400,22,0)))</f>
        <v xml:space="preserve">Pagos mensuales vencidos  </v>
      </c>
      <c r="BA46" s="475"/>
      <c r="BB46" s="485"/>
    </row>
    <row r="47" spans="2:54" ht="55.5" hidden="1" customHeight="1" x14ac:dyDescent="0.25">
      <c r="B47" s="438">
        <v>40</v>
      </c>
      <c r="C47" s="446" t="s">
        <v>1645</v>
      </c>
      <c r="D47" s="438">
        <v>138</v>
      </c>
      <c r="E47" s="446" t="s">
        <v>1655</v>
      </c>
      <c r="F47" s="447">
        <f>VLOOKUP(D47,'Presupuesto - PAA 2015'!$B$10:$E$265,4,0)</f>
        <v>5100746</v>
      </c>
      <c r="G47" s="439" t="str">
        <f>VLOOKUP(D47,'[3]Seguimiento Plan'!$C$2:$R$101,16,0)</f>
        <v>Adición y prórroga al contrato 140197 suscrito con A&amp;V EXPRESS S A cuyo objeto es  la prestación del servicio de  correspondencia  para el Concejo  de Bogotá</v>
      </c>
      <c r="H47" s="439" t="s">
        <v>1779</v>
      </c>
      <c r="I47" s="439" t="s">
        <v>1713</v>
      </c>
      <c r="J47" s="448" t="s">
        <v>590</v>
      </c>
      <c r="K47" s="449" t="s">
        <v>390</v>
      </c>
      <c r="L47" s="449" t="str">
        <f>VLOOKUP(D47,'[3]Seguimiento Plan'!$C$2:$AJ$101,30,0)</f>
        <v>SI</v>
      </c>
      <c r="M47" s="450">
        <f>VLOOKUP(D47,'[3]Seguimiento Plan'!$C$2:$AJ$101,31,0)</f>
        <v>0</v>
      </c>
      <c r="N47" s="449"/>
      <c r="O47" s="451"/>
      <c r="P47" s="451"/>
      <c r="Q47" s="451"/>
      <c r="R47" s="452"/>
      <c r="S47" s="452"/>
      <c r="T47" s="453" t="s">
        <v>283</v>
      </c>
      <c r="U47" s="455" t="str">
        <f>IF(ISERROR(VLOOKUP(T47,'Base de Datos'!$E$7:$AR$302,3,0))=TRUE," ",(VLOOKUP(T47,'Base de Datos'!$E$7:$AR$302,2,0)))</f>
        <v>A&amp;V EXPRESS S.A.</v>
      </c>
      <c r="V47" s="458">
        <f>IF(ISERROR(VLOOKUP(T47,'Base de Datos'!$E$7:$AR$302,5,0))=TRUE," ",(VLOOKUP(T47,'Base de Datos'!$E$7:$AR$302,5,0)))</f>
        <v>40000000</v>
      </c>
      <c r="W47" s="455">
        <f>IF(ISERROR(VLOOKUP(T47,'Base de Datos'!$E$7:$AR$302,19,0))=TRUE," ",(VLOOKUP(T47,'Base de Datos'!$E$7:$AR$302,19,0)))</f>
        <v>55746</v>
      </c>
      <c r="X47" s="460" t="str">
        <f>IF(ISERROR(VLOOKUP(T47,'Base de Datos'!$E$7:$AR$302,8,0))=TRUE," ",(VLOOKUP(T47,'Base de Datos'!$E$7:$AR$302,8,0)))</f>
        <v xml:space="preserve"> </v>
      </c>
      <c r="Y47" s="460">
        <f>IF(ISERROR(VLOOKUP(T47,'Base de Datos'!$E$7:$AR$302,9,0))=TRUE," ",(VLOOKUP(T47,'Base de Datos'!$E$7:$AR$302,9,0)))</f>
        <v>41807</v>
      </c>
      <c r="Z47" s="454">
        <f>IF(ISERROR(VLOOKUP(T47,'Base de Datos'!$E$7:$AR$302,10,0))=TRUE," ",(VLOOKUP(T47,'Base de Datos'!$E$7:$AR$302,10,0)))</f>
        <v>42051</v>
      </c>
      <c r="AA47" s="457">
        <f>IF(ISERROR(VLOOKUP(T47,'Base de Datos'!$E$7:$AR$302,11,0))=TRUE," ",(VLOOKUP(T47,'Base de Datos'!$E$7:$AR$302,11,0)))</f>
        <v>1</v>
      </c>
      <c r="AB47" s="454">
        <f>IF(ISERROR(VLOOKUP(T47,'Base de Datos'!$E$7:$AR$302,12,0))=TRUE," ",(VLOOKUP(T47,'Base de Datos'!$E$7:$AR$302,12,0)))</f>
        <v>5100746</v>
      </c>
      <c r="AC47" s="454">
        <f>IF(ISERROR(VLOOKUP(T47,'Base de Datos'!$E$7:$AR$302,12,0))=TRUE," ",(VLOOKUP(T47,'Base de Datos'!$E$7:$AR$302,12,0)))</f>
        <v>5100746</v>
      </c>
      <c r="AD47" s="460">
        <f>IF(ISERROR(VLOOKUP(T47,'Base de Datos'!$E$7:$AR$302,15,0))=TRUE," ",(VLOOKUP(T47,'Base de Datos'!$E$7:$AR$302,15,0)))</f>
        <v>42128</v>
      </c>
      <c r="AE47" s="465">
        <f>IF(ISERROR(VLOOKUP(T47,'Base de Datos'!$E$7:$AR$302,16,0))=TRUE," ",(VLOOKUP(T47,'Base de Datos'!$E$7:$AR$302,16,0)))</f>
        <v>42128</v>
      </c>
      <c r="AF47" s="465">
        <f>IF(ISERROR(VLOOKUP(T47,'Base de Datos'!$E$7:$AR$302,17,0))=TRUE," ",(VLOOKUP(T47,'Base de Datos'!$E$7:$AR$302,17,0)))</f>
        <v>45100746</v>
      </c>
      <c r="AG47" s="465">
        <f>IF(ISERROR(VLOOKUP(T47,'Base de Datos'!$E$7:$AR$302,18,0))=TRUE," ",(VLOOKUP(T47,'Base de Datos'!$E$7:$AR$302,18,0)))</f>
        <v>45045000</v>
      </c>
      <c r="AH47" s="466">
        <f>IF(ISERROR(VLOOKUP(T47,'Base de Datos'!$E$7:$AR$302,20,0))=TRUE," ",(VLOOKUP(T47,'Base de Datos'!$E$7:$AR$302,20,0)))</f>
        <v>0</v>
      </c>
      <c r="AI47" s="466">
        <f>IF(ISERROR(VLOOKUP(T47,'Base de Datos'!$E$7:$AR$302,21,0))=TRUE," ",(VLOOKUP(T47,'Base de Datos'!$E$7:$AR$302,21,0)))</f>
        <v>0.99876396723016514</v>
      </c>
      <c r="AJ47" s="455"/>
      <c r="AK47" s="455" t="str">
        <f>IF(ISERROR(VLOOKUP(D47,'Base de Datos'!$C$7:$AR$400,2,0))=TRUE," ",(VLOOKUP(D47,'Base de Datos'!$C$7:$AR$400,2,0)))</f>
        <v xml:space="preserve"> </v>
      </c>
      <c r="AL47" s="455" t="str">
        <f>IF(ISERROR(VLOOKUP(D47,'Base de Datos'!$C$7:$AR$400,3,0))=TRUE," ",(VLOOKUP(D47,'Base de Datos'!$C$7:$AR$400,3,0)))</f>
        <v xml:space="preserve"> </v>
      </c>
      <c r="AM47" s="458" t="e">
        <f>IF(ISERROR(VLOOKUP(D47,'Base de Datos'!$C$7:$AR$4014,6,0))=TRUE," ",(VLOOKUP(D47,'Base de Datos'!$C$7:$AR$400,6,0)))</f>
        <v>#N/A</v>
      </c>
      <c r="AN47" s="458" t="str">
        <f>IF(ISERROR(VLOOKUP(D47,'Base de Datos'!$C$7:$AR$400,20,0))=TRUE," ",(VLOOKUP(D47,'Base de Datos'!$C$7:$AR$400,19,0)))</f>
        <v xml:space="preserve"> </v>
      </c>
      <c r="AO47" s="461" t="str">
        <f>IF(ISERROR(VLOOKUP(D47,'Base de Datos'!$C$7:$AR$400,9,0))=TRUE," ",(VLOOKUP(D47,'Base de Datos'!$C$7:$AR$400,9,0)))</f>
        <v xml:space="preserve"> </v>
      </c>
      <c r="AP47" s="461" t="str">
        <f>IF(ISERROR(VLOOKUP(D47,'Base de Datos'!$C$7:$AR$400,10,0))=TRUE," ",(VLOOKUP(D47,'Base de Datos'!$C$7:$AR$400,10,0)))</f>
        <v xml:space="preserve"> </v>
      </c>
      <c r="AQ47" s="463" t="str">
        <f>IF(ISERROR(VLOOKUP(D47,'Base de Datos'!$C$7:$AR$400,11,0))=TRUE," ",(VLOOKUP(D47,'Base de Datos'!$C$7:$AR$400,11,0)))</f>
        <v xml:space="preserve"> </v>
      </c>
      <c r="AR47" s="464" t="str">
        <f>IF(ISERROR(VLOOKUP(D47,'Base de Datos'!$C$7:$AR$400,12,0))=TRUE," ",(VLOOKUP(D47,'Base de Datos'!$C$7:$AR$400,12,0)))</f>
        <v xml:space="preserve"> </v>
      </c>
      <c r="AS47" s="463" t="str">
        <f>IF(ISERROR(VLOOKUP(D47,'Base de Datos'!$C$7:$AR$400,13,0))=TRUE," ",(VLOOKUP(D47,'Base de Datos'!$C$7:$AR$400,13,0)))</f>
        <v xml:space="preserve"> </v>
      </c>
      <c r="AT47" s="463" t="str">
        <f>IF(ISERROR(VLOOKUP(D47,'Base de Datos'!$C$7:$AR$400,14,0))=TRUE," ",(VLOOKUP(D47,'Base de Datos'!$C$7:$AR$400,14,0)))</f>
        <v xml:space="preserve"> </v>
      </c>
      <c r="AU47" s="461" t="str">
        <f>IF(ISERROR(VLOOKUP(D47,'Base de Datos'!$C$7:$AR$400,16,0))=TRUE," ",(VLOOKUP(D47,'Base de Datos'!$C$7:$AR$400,16,0)))</f>
        <v xml:space="preserve"> </v>
      </c>
      <c r="AV47" s="465" t="str">
        <f>IF(ISERROR(VLOOKUP(D47,'Base de Datos'!$C$7:$AR$400,17,0))=TRUE," ",(VLOOKUP(D47,'Base de Datos'!$C$7:$AR$400,17,0)))</f>
        <v xml:space="preserve"> </v>
      </c>
      <c r="AW47" s="465" t="str">
        <f>IF(ISERROR(VLOOKUP(D47,'Base de Datos'!$C$7:$AR$400,18,0))=TRUE," ",(VLOOKUP(D47,'Base de Datos'!$C$7:$AR$400,18,0)))</f>
        <v xml:space="preserve"> </v>
      </c>
      <c r="AX47" s="465" t="str">
        <f>IF(ISERROR(VLOOKUP(D47,'Base de Datos'!$C$7:$AR$400,19,0))=TRUE," ",(VLOOKUP(D47,'Base de Datos'!$C$7:$AR$400,19,0)))</f>
        <v xml:space="preserve"> </v>
      </c>
      <c r="AY47" s="468" t="str">
        <f>IF(ISERROR(VLOOKUP(D47,'Base de Datos'!$C$7:$AR$400,21,0))=TRUE," ",(VLOOKUP(D47,'Base de Datos'!$C$7:$AR$400,21,0)))</f>
        <v xml:space="preserve"> </v>
      </c>
      <c r="AZ47" s="468" t="str">
        <f>IF(ISERROR(VLOOKUP(D47,'Base de Datos'!$C$7:$AR$400,22,0))=TRUE," ",(VLOOKUP(D47,'Base de Datos'!$C$7:$AR$400,22,0)))</f>
        <v xml:space="preserve"> </v>
      </c>
      <c r="BA47" s="475"/>
      <c r="BB47" s="485"/>
    </row>
    <row r="48" spans="2:54" ht="55.5" hidden="1" customHeight="1" x14ac:dyDescent="0.25">
      <c r="B48" s="438">
        <v>41</v>
      </c>
      <c r="C48" s="446" t="s">
        <v>1645</v>
      </c>
      <c r="D48" s="438">
        <v>139</v>
      </c>
      <c r="E48" s="446" t="s">
        <v>1655</v>
      </c>
      <c r="F48" s="447">
        <f>VLOOKUP(D48,'Presupuesto - PAA 2015'!$B$10:$E$265,4,0)</f>
        <v>1607400</v>
      </c>
      <c r="G48" s="439" t="str">
        <f>VLOOKUP(D48,'[3]Seguimiento Plan'!$C$2:$R$101,16,0)</f>
        <v>Suscripción al sistema de televisión satelital para ser instalados en la sede del Concejo de Bogotá</v>
      </c>
      <c r="H48" s="439" t="s">
        <v>1779</v>
      </c>
      <c r="I48" s="439" t="s">
        <v>1717</v>
      </c>
      <c r="J48" s="448" t="s">
        <v>909</v>
      </c>
      <c r="K48" s="449" t="s">
        <v>390</v>
      </c>
      <c r="L48" s="449" t="str">
        <f>VLOOKUP(D48,'[3]Seguimiento Plan'!$C$2:$AJ$101,30,0)</f>
        <v>SI</v>
      </c>
      <c r="M48" s="450">
        <f>VLOOKUP(D48,'[3]Seguimiento Plan'!$C$2:$AJ$101,31,0)</f>
        <v>42054</v>
      </c>
      <c r="N48" s="449" t="s">
        <v>1809</v>
      </c>
      <c r="O48" s="451"/>
      <c r="P48" s="451"/>
      <c r="Q48" s="451"/>
      <c r="R48" s="452"/>
      <c r="S48" s="470" t="s">
        <v>1956</v>
      </c>
      <c r="T48" s="453" t="s">
        <v>288</v>
      </c>
      <c r="U48" s="455" t="str">
        <f>IF(ISERROR(VLOOKUP(T48,'Base de Datos'!$E$7:$AR$302,3,0))=TRUE," ",(VLOOKUP(T48,'Base de Datos'!$E$7:$AR$302,2,0)))</f>
        <v>DIRECTV COLOMBIA LTDA</v>
      </c>
      <c r="V48" s="458">
        <f>IF(ISERROR(VLOOKUP(T48,'Base de Datos'!$E$7:$AR$302,5,0))=TRUE," ",(VLOOKUP(T48,'Base de Datos'!$E$7:$AR$302,5,0)))</f>
        <v>1325400</v>
      </c>
      <c r="W48" s="455">
        <f>IF(ISERROR(VLOOKUP(T48,'Base de Datos'!$E$7:$AR$302,19,0))=TRUE," ",(VLOOKUP(T48,'Base de Datos'!$E$7:$AR$302,19,0)))</f>
        <v>1607400</v>
      </c>
      <c r="X48" s="460" t="str">
        <f>IF(ISERROR(VLOOKUP(T48,'Base de Datos'!$E$7:$AR$302,8,0))=TRUE," ",(VLOOKUP(T48,'Base de Datos'!$E$7:$AR$302,8,0)))</f>
        <v xml:space="preserve"> </v>
      </c>
      <c r="Y48" s="460">
        <f>IF(ISERROR(VLOOKUP(T48,'Base de Datos'!$E$7:$AR$302,9,0))=TRUE," ",(VLOOKUP(T48,'Base de Datos'!$E$7:$AR$302,9,0)))</f>
        <v>41738</v>
      </c>
      <c r="Z48" s="454">
        <f>IF(ISERROR(VLOOKUP(T48,'Base de Datos'!$E$7:$AR$302,10,0))=TRUE," ",(VLOOKUP(T48,'Base de Datos'!$E$7:$AR$302,10,0)))</f>
        <v>42102</v>
      </c>
      <c r="AA48" s="457">
        <f>IF(ISERROR(VLOOKUP(T48,'Base de Datos'!$E$7:$AR$302,11,0))=TRUE," ",(VLOOKUP(T48,'Base de Datos'!$E$7:$AR$302,11,0)))</f>
        <v>1</v>
      </c>
      <c r="AB48" s="454">
        <f>IF(ISERROR(VLOOKUP(T48,'Base de Datos'!$E$7:$AR$302,12,0))=TRUE," ",(VLOOKUP(T48,'Base de Datos'!$E$7:$AR$302,12,0)))</f>
        <v>282000</v>
      </c>
      <c r="AC48" s="454">
        <f>IF(ISERROR(VLOOKUP(T48,'Base de Datos'!$E$7:$AR$302,12,0))=TRUE," ",(VLOOKUP(T48,'Base de Datos'!$E$7:$AR$302,12,0)))</f>
        <v>282000</v>
      </c>
      <c r="AD48" s="460" t="str">
        <f>IF(ISERROR(VLOOKUP(T48,'Base de Datos'!$E$7:$AR$302,15,0))=TRUE," ",(VLOOKUP(T48,'Base de Datos'!$E$7:$AR$302,15,0)))</f>
        <v/>
      </c>
      <c r="AE48" s="465">
        <f>IF(ISERROR(VLOOKUP(T48,'Base de Datos'!$E$7:$AR$302,16,0))=TRUE," ",(VLOOKUP(T48,'Base de Datos'!$E$7:$AR$302,16,0)))</f>
        <v>42102</v>
      </c>
      <c r="AF48" s="465">
        <f>IF(ISERROR(VLOOKUP(T48,'Base de Datos'!$E$7:$AR$302,17,0))=TRUE," ",(VLOOKUP(T48,'Base de Datos'!$E$7:$AR$302,17,0)))</f>
        <v>1607400</v>
      </c>
      <c r="AG48" s="465">
        <f>IF(ISERROR(VLOOKUP(T48,'Base de Datos'!$E$7:$AR$302,18,0))=TRUE," ",(VLOOKUP(T48,'Base de Datos'!$E$7:$AR$302,18,0)))</f>
        <v>0</v>
      </c>
      <c r="AH48" s="466">
        <f>IF(ISERROR(VLOOKUP(T48,'Base de Datos'!$E$7:$AR$302,20,0))=TRUE," ",(VLOOKUP(T48,'Base de Datos'!$E$7:$AR$302,20,0)))</f>
        <v>0</v>
      </c>
      <c r="AI48" s="466">
        <f>IF(ISERROR(VLOOKUP(T48,'Base de Datos'!$E$7:$AR$302,21,0))=TRUE," ",(VLOOKUP(T48,'Base de Datos'!$E$7:$AR$302,21,0)))</f>
        <v>0</v>
      </c>
      <c r="AJ48" s="469">
        <v>42172</v>
      </c>
      <c r="AK48" s="455" t="str">
        <f>IF(ISERROR(VLOOKUP(D48,'Base de Datos'!$C$7:$AR$400,2,0))=TRUE," ",(VLOOKUP(D48,'Base de Datos'!$C$7:$AR$400,2,0)))</f>
        <v>2015139</v>
      </c>
      <c r="AL48" s="455" t="str">
        <f>IF(ISERROR(VLOOKUP(D48,'Base de Datos'!$C$7:$AR$400,3,0))=TRUE," ",(VLOOKUP(D48,'Base de Datos'!$C$7:$AR$400,3,0)))</f>
        <v>150262-0-2015</v>
      </c>
      <c r="AM48" s="458" t="str">
        <f>IF(ISERROR(VLOOKUP(D48,'Base de Datos'!$C$7:$AR$4014,6,0))=TRUE," ",(VLOOKUP(D48,'Base de Datos'!$C$7:$AR$400,6,0)))</f>
        <v>Suscripción al sistema de Televisión Satelital para ser instalado en la sede del Concejo de Bogotá D.C.</v>
      </c>
      <c r="AN48" s="458">
        <f>IF(ISERROR(VLOOKUP(D48,'Base de Datos'!$C$7:$AR$400,20,0))=TRUE," ",(VLOOKUP(D48,'Base de Datos'!$C$7:$AR$400,19,0)))</f>
        <v>1607400</v>
      </c>
      <c r="AO48" s="461">
        <f>IF(ISERROR(VLOOKUP(D48,'Base de Datos'!$C$7:$AR$400,9,0))=TRUE," ",(VLOOKUP(D48,'Base de Datos'!$C$7:$AR$400,9,0)))</f>
        <v>2015</v>
      </c>
      <c r="AP48" s="461">
        <f>IF(ISERROR(VLOOKUP(D48,'Base de Datos'!$C$7:$AR$400,10,0))=TRUE," ",(VLOOKUP(D48,'Base de Datos'!$C$7:$AR$400,10,0)))</f>
        <v>42172</v>
      </c>
      <c r="AQ48" s="463">
        <f>IF(ISERROR(VLOOKUP(D48,'Base de Datos'!$C$7:$AR$400,11,0))=TRUE," ",(VLOOKUP(D48,'Base de Datos'!$C$7:$AR$400,11,0)))</f>
        <v>42202</v>
      </c>
      <c r="AR48" s="464">
        <f>IF(ISERROR(VLOOKUP(D48,'Base de Datos'!$C$7:$AR$400,12,0))=TRUE," ",(VLOOKUP(D48,'Base de Datos'!$C$7:$AR$400,12,0)))</f>
        <v>42567</v>
      </c>
      <c r="AS48" s="463">
        <f>IF(ISERROR(VLOOKUP(D48,'Base de Datos'!$C$7:$AR$400,13,0))=TRUE," ",(VLOOKUP(D48,'Base de Datos'!$C$7:$AR$400,13,0)))</f>
        <v>0</v>
      </c>
      <c r="AT48" s="463">
        <f>IF(ISERROR(VLOOKUP(D48,'Base de Datos'!$C$7:$AR$400,14,0))=TRUE," ",(VLOOKUP(D48,'Base de Datos'!$C$7:$AR$400,14,0)))</f>
        <v>0</v>
      </c>
      <c r="AU48" s="461" t="str">
        <f>IF(ISERROR(VLOOKUP(D48,'Base de Datos'!$C$7:$AR$400,16,0))=TRUE," ",(VLOOKUP(D48,'Base de Datos'!$C$7:$AR$400,16,0)))</f>
        <v/>
      </c>
      <c r="AV48" s="465" t="str">
        <f>IF(ISERROR(VLOOKUP(D48,'Base de Datos'!$C$7:$AR$400,17,0))=TRUE," ",(VLOOKUP(D48,'Base de Datos'!$C$7:$AR$400,17,0)))</f>
        <v/>
      </c>
      <c r="AW48" s="465">
        <f>IF(ISERROR(VLOOKUP(D48,'Base de Datos'!$C$7:$AR$400,18,0))=TRUE," ",(VLOOKUP(D48,'Base de Datos'!$C$7:$AR$400,18,0)))</f>
        <v>42567</v>
      </c>
      <c r="AX48" s="465">
        <f>IF(ISERROR(VLOOKUP(D48,'Base de Datos'!$C$7:$AR$400,19,0))=TRUE," ",(VLOOKUP(D48,'Base de Datos'!$C$7:$AR$400,19,0)))</f>
        <v>1607400</v>
      </c>
      <c r="AY48" s="468">
        <f>IF(ISERROR(VLOOKUP(D48,'Base de Datos'!$C$7:$AR$400,21,0))=TRUE," ",(VLOOKUP(D48,'Base de Datos'!$C$7:$AR$400,21,0)))</f>
        <v>20814</v>
      </c>
      <c r="AZ48" s="468" t="str">
        <f>IF(ISERROR(VLOOKUP(D48,'Base de Datos'!$C$7:$AR$400,22,0))=TRUE," ",(VLOOKUP(D48,'Base de Datos'!$C$7:$AR$400,22,0)))</f>
        <v>Pago único</v>
      </c>
      <c r="BA48" s="475"/>
      <c r="BB48" s="485"/>
    </row>
    <row r="49" spans="2:54" ht="55.5" hidden="1" customHeight="1" x14ac:dyDescent="0.25">
      <c r="B49" s="438">
        <v>42</v>
      </c>
      <c r="C49" s="446" t="s">
        <v>1645</v>
      </c>
      <c r="D49" s="438">
        <v>168</v>
      </c>
      <c r="E49" s="446" t="s">
        <v>1655</v>
      </c>
      <c r="F49" s="447">
        <f>VLOOKUP(D49,'Presupuesto - PAA 2015'!$B$10:$E$265,4,0)</f>
        <v>33500000</v>
      </c>
      <c r="G49" s="439" t="str">
        <f>VLOOKUP(D49,'[3]Seguimiento Plan'!$C$2:$R$101,16,0)</f>
        <v>Prestar el servicio de correspondencia para la Secretaría de Hacienda  y de mensajería expresa masiva para la Secretaria Distrital de Hacienda y el Concejo de Bogotá</v>
      </c>
      <c r="H49" s="439" t="s">
        <v>1779</v>
      </c>
      <c r="I49" s="439" t="s">
        <v>1713</v>
      </c>
      <c r="J49" s="448" t="s">
        <v>1737</v>
      </c>
      <c r="K49" s="449" t="s">
        <v>390</v>
      </c>
      <c r="L49" s="449" t="str">
        <f>VLOOKUP(D49,'[3]Seguimiento Plan'!$C$2:$AJ$101,30,0)</f>
        <v>SI</v>
      </c>
      <c r="M49" s="450">
        <f>VLOOKUP(D49,'[3]Seguimiento Plan'!$C$2:$AJ$101,31,0)</f>
        <v>42349</v>
      </c>
      <c r="N49" s="449"/>
      <c r="O49" s="451"/>
      <c r="P49" s="449" t="s">
        <v>390</v>
      </c>
      <c r="Q49" s="449" t="s">
        <v>390</v>
      </c>
      <c r="R49" s="531"/>
      <c r="S49" s="470" t="s">
        <v>1747</v>
      </c>
      <c r="T49" s="453" t="s">
        <v>283</v>
      </c>
      <c r="U49" s="455" t="str">
        <f>IF(ISERROR(VLOOKUP(T49,'Base de Datos'!$E$7:$AR$302,3,0))=TRUE," ",(VLOOKUP(T49,'Base de Datos'!$E$7:$AR$302,2,0)))</f>
        <v>A&amp;V EXPRESS S.A.</v>
      </c>
      <c r="V49" s="458">
        <f>IF(ISERROR(VLOOKUP(T49,'Base de Datos'!$E$7:$AR$302,5,0))=TRUE," ",(VLOOKUP(T49,'Base de Datos'!$E$7:$AR$302,5,0)))</f>
        <v>40000000</v>
      </c>
      <c r="W49" s="455">
        <f>IF(ISERROR(VLOOKUP(T49,'Base de Datos'!$E$7:$AR$302,19,0))=TRUE," ",(VLOOKUP(T49,'Base de Datos'!$E$7:$AR$302,19,0)))</f>
        <v>55746</v>
      </c>
      <c r="X49" s="460" t="str">
        <f>IF(ISERROR(VLOOKUP(T49,'Base de Datos'!$E$7:$AR$302,8,0))=TRUE," ",(VLOOKUP(T49,'Base de Datos'!$E$7:$AR$302,8,0)))</f>
        <v xml:space="preserve"> </v>
      </c>
      <c r="Y49" s="460">
        <f>IF(ISERROR(VLOOKUP(T49,'Base de Datos'!$E$7:$AR$302,9,0))=TRUE," ",(VLOOKUP(T49,'Base de Datos'!$E$7:$AR$302,9,0)))</f>
        <v>41807</v>
      </c>
      <c r="Z49" s="454">
        <f>IF(ISERROR(VLOOKUP(T49,'Base de Datos'!$E$7:$AR$302,10,0))=TRUE," ",(VLOOKUP(T49,'Base de Datos'!$E$7:$AR$302,10,0)))</f>
        <v>42051</v>
      </c>
      <c r="AA49" s="457">
        <f>IF(ISERROR(VLOOKUP(T49,'Base de Datos'!$E$7:$AR$302,11,0))=TRUE," ",(VLOOKUP(T49,'Base de Datos'!$E$7:$AR$302,11,0)))</f>
        <v>1</v>
      </c>
      <c r="AB49" s="454">
        <f>IF(ISERROR(VLOOKUP(T49,'Base de Datos'!$E$7:$AR$302,12,0))=TRUE," ",(VLOOKUP(T49,'Base de Datos'!$E$7:$AR$302,12,0)))</f>
        <v>5100746</v>
      </c>
      <c r="AC49" s="454">
        <f>IF(ISERROR(VLOOKUP(T49,'Base de Datos'!$E$7:$AR$302,12,0))=TRUE," ",(VLOOKUP(T49,'Base de Datos'!$E$7:$AR$302,12,0)))</f>
        <v>5100746</v>
      </c>
      <c r="AD49" s="460">
        <f>IF(ISERROR(VLOOKUP(T49,'Base de Datos'!$E$7:$AR$302,15,0))=TRUE," ",(VLOOKUP(T49,'Base de Datos'!$E$7:$AR$302,15,0)))</f>
        <v>42128</v>
      </c>
      <c r="AE49" s="465">
        <f>IF(ISERROR(VLOOKUP(T49,'Base de Datos'!$E$7:$AR$302,16,0))=TRUE," ",(VLOOKUP(T49,'Base de Datos'!$E$7:$AR$302,16,0)))</f>
        <v>42128</v>
      </c>
      <c r="AF49" s="465">
        <f>IF(ISERROR(VLOOKUP(T49,'Base de Datos'!$E$7:$AR$302,17,0))=TRUE," ",(VLOOKUP(T49,'Base de Datos'!$E$7:$AR$302,17,0)))</f>
        <v>45100746</v>
      </c>
      <c r="AG49" s="465">
        <f>IF(ISERROR(VLOOKUP(T49,'Base de Datos'!$E$7:$AR$302,18,0))=TRUE," ",(VLOOKUP(T49,'Base de Datos'!$E$7:$AR$302,18,0)))</f>
        <v>45045000</v>
      </c>
      <c r="AH49" s="466">
        <f>IF(ISERROR(VLOOKUP(T49,'Base de Datos'!$E$7:$AR$302,20,0))=TRUE," ",(VLOOKUP(T49,'Base de Datos'!$E$7:$AR$302,20,0)))</f>
        <v>0</v>
      </c>
      <c r="AI49" s="466">
        <f>IF(ISERROR(VLOOKUP(T49,'Base de Datos'!$E$7:$AR$302,21,0))=TRUE," ",(VLOOKUP(T49,'Base de Datos'!$E$7:$AR$302,21,0)))</f>
        <v>0.99876396723016514</v>
      </c>
      <c r="AJ49" s="469">
        <v>42124</v>
      </c>
      <c r="AK49" s="455" t="str">
        <f>IF(ISERROR(VLOOKUP(D49,'Base de Datos'!$C$7:$AR$400,2,0))=TRUE," ",(VLOOKUP(D49,'Base de Datos'!$C$7:$AR$400,2,0)))</f>
        <v>2015168</v>
      </c>
      <c r="AL49" s="455" t="str">
        <f>IF(ISERROR(VLOOKUP(D49,'Base de Datos'!$C$7:$AR$400,3,0))=TRUE," ",(VLOOKUP(D49,'Base de Datos'!$C$7:$AR$400,3,0)))</f>
        <v>150209-0-2015</v>
      </c>
      <c r="AM49" s="458"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8">
        <f>IF(ISERROR(VLOOKUP(D49,'Base de Datos'!$C$7:$AR$400,20,0))=TRUE," ",(VLOOKUP(D49,'Base de Datos'!$C$7:$AR$400,19,0)))</f>
        <v>33500000</v>
      </c>
      <c r="AO49" s="461">
        <f>IF(ISERROR(VLOOKUP(D49,'Base de Datos'!$C$7:$AR$400,9,0))=TRUE," ",(VLOOKUP(D49,'Base de Datos'!$C$7:$AR$400,9,0)))</f>
        <v>2015</v>
      </c>
      <c r="AP49" s="461">
        <f>IF(ISERROR(VLOOKUP(D49,'Base de Datos'!$C$7:$AR$400,10,0))=TRUE," ",(VLOOKUP(D49,'Base de Datos'!$C$7:$AR$400,10,0)))</f>
        <v>42124</v>
      </c>
      <c r="AQ49" s="463">
        <f>IF(ISERROR(VLOOKUP(D49,'Base de Datos'!$C$7:$AR$400,11,0))=TRUE," ",(VLOOKUP(D49,'Base de Datos'!$C$7:$AR$400,11,0)))</f>
        <v>42130</v>
      </c>
      <c r="AR49" s="464">
        <f>IF(ISERROR(VLOOKUP(D49,'Base de Datos'!$C$7:$AR$400,12,0))=TRUE," ",(VLOOKUP(D49,'Base de Datos'!$C$7:$AR$400,12,0)))</f>
        <v>42496</v>
      </c>
      <c r="AS49" s="463">
        <f>IF(ISERROR(VLOOKUP(D49,'Base de Datos'!$C$7:$AR$400,13,0))=TRUE," ",(VLOOKUP(D49,'Base de Datos'!$C$7:$AR$400,13,0)))</f>
        <v>0</v>
      </c>
      <c r="AT49" s="463">
        <f>IF(ISERROR(VLOOKUP(D49,'Base de Datos'!$C$7:$AR$400,14,0))=TRUE," ",(VLOOKUP(D49,'Base de Datos'!$C$7:$AR$400,14,0)))</f>
        <v>0</v>
      </c>
      <c r="AU49" s="461" t="str">
        <f>IF(ISERROR(VLOOKUP(D49,'Base de Datos'!$C$7:$AR$400,16,0))=TRUE," ",(VLOOKUP(D49,'Base de Datos'!$C$7:$AR$400,16,0)))</f>
        <v>14 DIAS</v>
      </c>
      <c r="AV49" s="465">
        <f>IF(ISERROR(VLOOKUP(D49,'Base de Datos'!$C$7:$AR$400,17,0))=TRUE," ",(VLOOKUP(D49,'Base de Datos'!$C$7:$AR$400,17,0)))</f>
        <v>42510</v>
      </c>
      <c r="AW49" s="465">
        <f>IF(ISERROR(VLOOKUP(D49,'Base de Datos'!$C$7:$AR$400,18,0))=TRUE," ",(VLOOKUP(D49,'Base de Datos'!$C$7:$AR$400,18,0)))</f>
        <v>42510</v>
      </c>
      <c r="AX49" s="465">
        <f>IF(ISERROR(VLOOKUP(D49,'Base de Datos'!$C$7:$AR$400,19,0))=TRUE," ",(VLOOKUP(D49,'Base de Datos'!$C$7:$AR$400,19,0)))</f>
        <v>33500000</v>
      </c>
      <c r="AY49" s="468">
        <f>IF(ISERROR(VLOOKUP(D49,'Base de Datos'!$C$7:$AR$400,21,0))=TRUE," ",(VLOOKUP(D49,'Base de Datos'!$C$7:$AR$400,21,0)))</f>
        <v>4819371</v>
      </c>
      <c r="AZ49" s="468" t="str">
        <f>IF(ISERROR(VLOOKUP(D49,'Base de Datos'!$C$7:$AR$400,22,0))=TRUE," ",(VLOOKUP(D49,'Base de Datos'!$C$7:$AR$400,22,0)))</f>
        <v>Mensuales vencidas de acuerdo a los servicios prestados.</v>
      </c>
      <c r="BA49" s="475"/>
      <c r="BB49" s="485"/>
    </row>
    <row r="50" spans="2:54" ht="55.5" hidden="1" customHeight="1" x14ac:dyDescent="0.25">
      <c r="B50" s="438">
        <v>43</v>
      </c>
      <c r="C50" s="446" t="s">
        <v>1645</v>
      </c>
      <c r="D50" s="438">
        <v>169</v>
      </c>
      <c r="E50" s="446" t="s">
        <v>1655</v>
      </c>
      <c r="F50" s="447">
        <f>VLOOKUP(D50,'Presupuesto - PAA 2015'!$B$10:$E$265,4,0)</f>
        <v>11000000</v>
      </c>
      <c r="G50" s="439" t="str">
        <f>VLOOKUP(D50,'[3]Seguimiento Plan'!$C$2:$R$101,16,0)</f>
        <v>Prestar el servicio de transporte  de bienes muebles, equipos de oficina y cajas de archivo documental para la Secretaria Distrital de Hacienda y el Concejo de Bogotá.</v>
      </c>
      <c r="H50" s="439" t="s">
        <v>1779</v>
      </c>
      <c r="I50" s="439" t="s">
        <v>1718</v>
      </c>
      <c r="J50" s="448" t="s">
        <v>909</v>
      </c>
      <c r="K50" s="449" t="s">
        <v>390</v>
      </c>
      <c r="L50" s="449" t="str">
        <f>VLOOKUP(D50,'[3]Seguimiento Plan'!$C$2:$AJ$101,30,0)</f>
        <v>SI</v>
      </c>
      <c r="M50" s="450">
        <f>VLOOKUP(D50,'[3]Seguimiento Plan'!$C$2:$AJ$101,31,0)</f>
        <v>42053</v>
      </c>
      <c r="N50" s="449"/>
      <c r="O50" s="451"/>
      <c r="P50" s="451"/>
      <c r="Q50" s="451"/>
      <c r="R50" s="452"/>
      <c r="S50" s="470" t="s">
        <v>2213</v>
      </c>
      <c r="T50" s="453" t="s">
        <v>300</v>
      </c>
      <c r="U50" s="455" t="str">
        <f>IF(ISERROR(VLOOKUP(T50,'Base de Datos'!$E$7:$AR$302,3,0))=TRUE," ",(VLOOKUP(T50,'Base de Datos'!$E$7:$AR$302,2,0)))</f>
        <v>MUDANZAS EL NOGAL SAS</v>
      </c>
      <c r="V50" s="458">
        <f>IF(ISERROR(VLOOKUP(T50,'Base de Datos'!$E$7:$AR$302,5,0))=TRUE," ",(VLOOKUP(T50,'Base de Datos'!$E$7:$AR$302,5,0)))</f>
        <v>12000000</v>
      </c>
      <c r="W50" s="455">
        <f>IF(ISERROR(VLOOKUP(T50,'Base de Datos'!$E$7:$AR$302,19,0))=TRUE," ",(VLOOKUP(T50,'Base de Datos'!$E$7:$AR$302,19,0)))</f>
        <v>1200000</v>
      </c>
      <c r="X50" s="460" t="str">
        <f>IF(ISERROR(VLOOKUP(T50,'Base de Datos'!$E$7:$AR$302,8,0))=TRUE," ",(VLOOKUP(T50,'Base de Datos'!$E$7:$AR$302,8,0)))</f>
        <v xml:space="preserve"> </v>
      </c>
      <c r="Y50" s="460">
        <f>IF(ISERROR(VLOOKUP(T50,'Base de Datos'!$E$7:$AR$302,9,0))=TRUE," ",(VLOOKUP(T50,'Base de Datos'!$E$7:$AR$302,9,0)))</f>
        <v>41824</v>
      </c>
      <c r="Z50" s="454">
        <f>IF(ISERROR(VLOOKUP(T50,'Base de Datos'!$E$7:$AR$302,10,0))=TRUE," ",(VLOOKUP(T50,'Base de Datos'!$E$7:$AR$302,10,0)))</f>
        <v>42066</v>
      </c>
      <c r="AA50" s="457">
        <f>IF(ISERROR(VLOOKUP(T50,'Base de Datos'!$E$7:$AR$302,11,0))=TRUE," ",(VLOOKUP(T50,'Base de Datos'!$E$7:$AR$302,11,0)))</f>
        <v>0</v>
      </c>
      <c r="AB50" s="454">
        <f>IF(ISERROR(VLOOKUP(T50,'Base de Datos'!$E$7:$AR$302,12,0))=TRUE," ",(VLOOKUP(T50,'Base de Datos'!$E$7:$AR$302,12,0)))</f>
        <v>0</v>
      </c>
      <c r="AC50" s="454">
        <f>IF(ISERROR(VLOOKUP(T50,'Base de Datos'!$E$7:$AR$302,12,0))=TRUE," ",(VLOOKUP(T50,'Base de Datos'!$E$7:$AR$302,12,0)))</f>
        <v>0</v>
      </c>
      <c r="AD50" s="460">
        <f>IF(ISERROR(VLOOKUP(T50,'Base de Datos'!$E$7:$AR$302,15,0))=TRUE," ",(VLOOKUP(T50,'Base de Datos'!$E$7:$AR$302,15,0)))</f>
        <v>42312</v>
      </c>
      <c r="AE50" s="465">
        <f>IF(ISERROR(VLOOKUP(T50,'Base de Datos'!$E$7:$AR$302,16,0))=TRUE," ",(VLOOKUP(T50,'Base de Datos'!$E$7:$AR$302,16,0)))</f>
        <v>42312</v>
      </c>
      <c r="AF50" s="465">
        <f>IF(ISERROR(VLOOKUP(T50,'Base de Datos'!$E$7:$AR$302,17,0))=TRUE," ",(VLOOKUP(T50,'Base de Datos'!$E$7:$AR$302,17,0)))</f>
        <v>12000000</v>
      </c>
      <c r="AG50" s="465">
        <f>IF(ISERROR(VLOOKUP(T50,'Base de Datos'!$E$7:$AR$302,18,0))=TRUE," ",(VLOOKUP(T50,'Base de Datos'!$E$7:$AR$302,18,0)))</f>
        <v>10800000</v>
      </c>
      <c r="AH50" s="466" t="str">
        <f>IF(ISERROR(VLOOKUP(T50,'Base de Datos'!$E$7:$AR$302,20,0))=TRUE," ",(VLOOKUP(T50,'Base de Datos'!$E$7:$AR$302,20,0)))</f>
        <v>Pagos mensuales correspondientes a los servicios prestados de acuerdo con la certificación de cumplimiento expedida por el supervisor del contrato</v>
      </c>
      <c r="AI50" s="466">
        <f>IF(ISERROR(VLOOKUP(T50,'Base de Datos'!$E$7:$AR$302,21,0))=TRUE," ",(VLOOKUP(T50,'Base de Datos'!$E$7:$AR$302,21,0)))</f>
        <v>0.9</v>
      </c>
      <c r="AJ50" s="455"/>
      <c r="AK50" s="455" t="str">
        <f>IF(ISERROR(VLOOKUP(D50,'Base de Datos'!$C$7:$AR$400,2,0))=TRUE," ",(VLOOKUP(D50,'Base de Datos'!$C$7:$AR$400,2,0)))</f>
        <v xml:space="preserve"> </v>
      </c>
      <c r="AL50" s="455" t="str">
        <f>IF(ISERROR(VLOOKUP(D50,'Base de Datos'!$C$7:$AR$400,3,0))=TRUE," ",(VLOOKUP(D50,'Base de Datos'!$C$7:$AR$400,3,0)))</f>
        <v xml:space="preserve"> </v>
      </c>
      <c r="AM50" s="458" t="e">
        <f>IF(ISERROR(VLOOKUP(D50,'Base de Datos'!$C$7:$AR$4014,6,0))=TRUE," ",(VLOOKUP(D50,'Base de Datos'!$C$7:$AR$400,6,0)))</f>
        <v>#N/A</v>
      </c>
      <c r="AN50" s="458" t="str">
        <f>IF(ISERROR(VLOOKUP(D50,'Base de Datos'!$C$7:$AR$400,20,0))=TRUE," ",(VLOOKUP(D50,'Base de Datos'!$C$7:$AR$400,19,0)))</f>
        <v xml:space="preserve"> </v>
      </c>
      <c r="AO50" s="461" t="str">
        <f>IF(ISERROR(VLOOKUP(D50,'Base de Datos'!$C$7:$AR$400,9,0))=TRUE," ",(VLOOKUP(D50,'Base de Datos'!$C$7:$AR$400,9,0)))</f>
        <v xml:space="preserve"> </v>
      </c>
      <c r="AP50" s="461" t="str">
        <f>IF(ISERROR(VLOOKUP(D50,'Base de Datos'!$C$7:$AR$400,10,0))=TRUE," ",(VLOOKUP(D50,'Base de Datos'!$C$7:$AR$400,10,0)))</f>
        <v xml:space="preserve"> </v>
      </c>
      <c r="AQ50" s="463" t="str">
        <f>IF(ISERROR(VLOOKUP(D50,'Base de Datos'!$C$7:$AR$400,11,0))=TRUE," ",(VLOOKUP(D50,'Base de Datos'!$C$7:$AR$400,11,0)))</f>
        <v xml:space="preserve"> </v>
      </c>
      <c r="AR50" s="464" t="str">
        <f>IF(ISERROR(VLOOKUP(D50,'Base de Datos'!$C$7:$AR$400,12,0))=TRUE," ",(VLOOKUP(D50,'Base de Datos'!$C$7:$AR$400,12,0)))</f>
        <v xml:space="preserve"> </v>
      </c>
      <c r="AS50" s="463" t="str">
        <f>IF(ISERROR(VLOOKUP(D50,'Base de Datos'!$C$7:$AR$400,13,0))=TRUE," ",(VLOOKUP(D50,'Base de Datos'!$C$7:$AR$400,13,0)))</f>
        <v xml:space="preserve"> </v>
      </c>
      <c r="AT50" s="463" t="str">
        <f>IF(ISERROR(VLOOKUP(D50,'Base de Datos'!$C$7:$AR$400,14,0))=TRUE," ",(VLOOKUP(D50,'Base de Datos'!$C$7:$AR$400,14,0)))</f>
        <v xml:space="preserve"> </v>
      </c>
      <c r="AU50" s="461" t="str">
        <f>IF(ISERROR(VLOOKUP(D50,'Base de Datos'!$C$7:$AR$400,16,0))=TRUE," ",(VLOOKUP(D50,'Base de Datos'!$C$7:$AR$400,16,0)))</f>
        <v xml:space="preserve"> </v>
      </c>
      <c r="AV50" s="465" t="str">
        <f>IF(ISERROR(VLOOKUP(D50,'Base de Datos'!$C$7:$AR$400,17,0))=TRUE," ",(VLOOKUP(D50,'Base de Datos'!$C$7:$AR$400,17,0)))</f>
        <v xml:space="preserve"> </v>
      </c>
      <c r="AW50" s="465" t="str">
        <f>IF(ISERROR(VLOOKUP(D50,'Base de Datos'!$C$7:$AR$400,18,0))=TRUE," ",(VLOOKUP(D50,'Base de Datos'!$C$7:$AR$400,18,0)))</f>
        <v xml:space="preserve"> </v>
      </c>
      <c r="AX50" s="465" t="str">
        <f>IF(ISERROR(VLOOKUP(D50,'Base de Datos'!$C$7:$AR$400,19,0))=TRUE," ",(VLOOKUP(D50,'Base de Datos'!$C$7:$AR$400,19,0)))</f>
        <v xml:space="preserve"> </v>
      </c>
      <c r="AY50" s="468" t="str">
        <f>IF(ISERROR(VLOOKUP(D50,'Base de Datos'!$C$7:$AR$400,21,0))=TRUE," ",(VLOOKUP(D50,'Base de Datos'!$C$7:$AR$400,21,0)))</f>
        <v xml:space="preserve"> </v>
      </c>
      <c r="AZ50" s="468" t="str">
        <f>IF(ISERROR(VLOOKUP(D50,'Base de Datos'!$C$7:$AR$400,22,0))=TRUE," ",(VLOOKUP(D50,'Base de Datos'!$C$7:$AR$400,22,0)))</f>
        <v xml:space="preserve"> </v>
      </c>
      <c r="BA50" s="475"/>
      <c r="BB50" s="485"/>
    </row>
    <row r="51" spans="2:54" ht="55.5" hidden="1" customHeight="1" x14ac:dyDescent="0.25">
      <c r="B51" s="438">
        <v>44</v>
      </c>
      <c r="C51" s="446" t="s">
        <v>1645</v>
      </c>
      <c r="D51" s="438">
        <v>140</v>
      </c>
      <c r="E51" s="446" t="s">
        <v>1656</v>
      </c>
      <c r="F51" s="447">
        <f>VLOOKUP(D51,'Presupuesto - PAA 2015'!$B$10:$E$265,4,0)</f>
        <v>715000</v>
      </c>
      <c r="G51" s="439" t="str">
        <f>VLOOKUP(D51,'[3]Seguimiento Plan'!$C$2:$R$101,16,0)</f>
        <v>Suscripción al servicio de información jurídica a través de un boletín informativo por correo electrónico, consulta web y bibilioteca digital de legislación colombiana actualizada.</v>
      </c>
      <c r="H51" s="439" t="s">
        <v>1779</v>
      </c>
      <c r="I51" s="439" t="s">
        <v>1717</v>
      </c>
      <c r="J51" s="448" t="s">
        <v>909</v>
      </c>
      <c r="K51" s="449" t="s">
        <v>390</v>
      </c>
      <c r="L51" s="449" t="s">
        <v>390</v>
      </c>
      <c r="M51" s="450">
        <v>42123</v>
      </c>
      <c r="N51" s="449"/>
      <c r="O51" s="451"/>
      <c r="P51" s="451"/>
      <c r="Q51" s="451"/>
      <c r="R51" s="452"/>
      <c r="S51" s="709" t="s">
        <v>2056</v>
      </c>
      <c r="T51" s="453"/>
      <c r="U51" s="455" t="str">
        <f>IF(ISERROR(VLOOKUP(T51,'Base de Datos'!$E$7:$AR$302,3,0))=TRUE," ",(VLOOKUP(T51,'Base de Datos'!$E$7:$AR$302,2,0)))</f>
        <v xml:space="preserve"> </v>
      </c>
      <c r="V51" s="458" t="str">
        <f>IF(ISERROR(VLOOKUP(T51,'Base de Datos'!$E$7:$AR$302,5,0))=TRUE," ",(VLOOKUP(T51,'Base de Datos'!$E$7:$AR$302,5,0)))</f>
        <v xml:space="preserve"> </v>
      </c>
      <c r="W51" s="455" t="str">
        <f>IF(ISERROR(VLOOKUP(T51,'Base de Datos'!$E$7:$AR$302,19,0))=TRUE," ",(VLOOKUP(T51,'Base de Datos'!$E$7:$AR$302,19,0)))</f>
        <v xml:space="preserve"> </v>
      </c>
      <c r="X51" s="460" t="str">
        <f>IF(ISERROR(VLOOKUP(T51,'Base de Datos'!$E$7:$AR$302,8,0))=TRUE," ",(VLOOKUP(T51,'Base de Datos'!$E$7:$AR$302,8,0)))</f>
        <v xml:space="preserve"> </v>
      </c>
      <c r="Y51" s="460" t="str">
        <f>IF(ISERROR(VLOOKUP(T51,'Base de Datos'!$E$7:$AR$302,9,0))=TRUE," ",(VLOOKUP(T51,'Base de Datos'!$E$7:$AR$302,9,0)))</f>
        <v xml:space="preserve"> </v>
      </c>
      <c r="Z51" s="454" t="str">
        <f>IF(ISERROR(VLOOKUP(T51,'Base de Datos'!$E$7:$AR$302,10,0))=TRUE," ",(VLOOKUP(T51,'Base de Datos'!$E$7:$AR$302,10,0)))</f>
        <v xml:space="preserve"> </v>
      </c>
      <c r="AA51" s="457" t="str">
        <f>IF(ISERROR(VLOOKUP(T51,'Base de Datos'!$E$7:$AR$302,11,0))=TRUE," ",(VLOOKUP(T51,'Base de Datos'!$E$7:$AR$302,11,0)))</f>
        <v xml:space="preserve"> </v>
      </c>
      <c r="AB51" s="454" t="str">
        <f>IF(ISERROR(VLOOKUP(T51,'Base de Datos'!$E$7:$AR$302,12,0))=TRUE," ",(VLOOKUP(T51,'Base de Datos'!$E$7:$AR$302,12,0)))</f>
        <v xml:space="preserve"> </v>
      </c>
      <c r="AC51" s="454" t="str">
        <f>IF(ISERROR(VLOOKUP(T51,'Base de Datos'!$E$7:$AR$302,12,0))=TRUE," ",(VLOOKUP(T51,'Base de Datos'!$E$7:$AR$302,12,0)))</f>
        <v xml:space="preserve"> </v>
      </c>
      <c r="AD51" s="460" t="str">
        <f>IF(ISERROR(VLOOKUP(T51,'Base de Datos'!$E$7:$AR$302,15,0))=TRUE," ",(VLOOKUP(T51,'Base de Datos'!$E$7:$AR$302,15,0)))</f>
        <v xml:space="preserve"> </v>
      </c>
      <c r="AE51" s="465" t="str">
        <f>IF(ISERROR(VLOOKUP(T51,'Base de Datos'!$E$7:$AR$302,16,0))=TRUE," ",(VLOOKUP(T51,'Base de Datos'!$E$7:$AR$302,16,0)))</f>
        <v xml:space="preserve"> </v>
      </c>
      <c r="AF51" s="465" t="str">
        <f>IF(ISERROR(VLOOKUP(T51,'Base de Datos'!$E$7:$AR$302,17,0))=TRUE," ",(VLOOKUP(T51,'Base de Datos'!$E$7:$AR$302,17,0)))</f>
        <v xml:space="preserve"> </v>
      </c>
      <c r="AG51" s="465" t="str">
        <f>IF(ISERROR(VLOOKUP(T51,'Base de Datos'!$E$7:$AR$302,18,0))=TRUE," ",(VLOOKUP(T51,'Base de Datos'!$E$7:$AR$302,18,0)))</f>
        <v xml:space="preserve"> </v>
      </c>
      <c r="AH51" s="466" t="str">
        <f>IF(ISERROR(VLOOKUP(T51,'Base de Datos'!$E$7:$AR$302,20,0))=TRUE," ",(VLOOKUP(T51,'Base de Datos'!$E$7:$AR$302,20,0)))</f>
        <v xml:space="preserve"> </v>
      </c>
      <c r="AI51" s="466" t="str">
        <f>IF(ISERROR(VLOOKUP(T51,'Base de Datos'!$E$7:$AR$302,21,0))=TRUE," ",(VLOOKUP(T51,'Base de Datos'!$E$7:$AR$302,21,0)))</f>
        <v xml:space="preserve"> </v>
      </c>
      <c r="AJ51" s="469">
        <v>42207</v>
      </c>
      <c r="AK51" s="455" t="str">
        <f>IF(ISERROR(VLOOKUP(D51,'Base de Datos'!$C$7:$AR$400,2,0))=TRUE," ",(VLOOKUP(D51,'Base de Datos'!$C$7:$AR$400,2,0)))</f>
        <v>2015140</v>
      </c>
      <c r="AL51" s="455" t="str">
        <f>IF(ISERROR(VLOOKUP(D51,'Base de Datos'!$C$7:$AR$400,3,0))=TRUE," ",(VLOOKUP(D51,'Base de Datos'!$C$7:$AR$400,3,0)))</f>
        <v>150320-0-2015</v>
      </c>
      <c r="AM51" s="458"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8">
        <f>IF(ISERROR(VLOOKUP(D51,'Base de Datos'!$C$7:$AR$400,20,0))=TRUE," ",(VLOOKUP(D51,'Base de Datos'!$C$7:$AR$400,19,0)))</f>
        <v>715000</v>
      </c>
      <c r="AO51" s="461">
        <f>IF(ISERROR(VLOOKUP(D51,'Base de Datos'!$C$7:$AR$400,9,0))=TRUE," ",(VLOOKUP(D51,'Base de Datos'!$C$7:$AR$400,9,0)))</f>
        <v>2015</v>
      </c>
      <c r="AP51" s="461">
        <f>IF(ISERROR(VLOOKUP(D51,'Base de Datos'!$C$7:$AR$400,10,0))=TRUE," ",(VLOOKUP(D51,'Base de Datos'!$C$7:$AR$400,10,0)))</f>
        <v>42207</v>
      </c>
      <c r="AQ51" s="463">
        <f>IF(ISERROR(VLOOKUP(D51,'Base de Datos'!$C$7:$AR$400,11,0))=TRUE," ",(VLOOKUP(D51,'Base de Datos'!$C$7:$AR$400,11,0)))</f>
        <v>42221</v>
      </c>
      <c r="AR51" s="464">
        <f>IF(ISERROR(VLOOKUP(D51,'Base de Datos'!$C$7:$AR$400,12,0))=TRUE," ",(VLOOKUP(D51,'Base de Datos'!$C$7:$AR$400,12,0)))</f>
        <v>42587</v>
      </c>
      <c r="AS51" s="463">
        <f>IF(ISERROR(VLOOKUP(D51,'Base de Datos'!$C$7:$AR$400,13,0))=TRUE," ",(VLOOKUP(D51,'Base de Datos'!$C$7:$AR$400,13,0)))</f>
        <v>0</v>
      </c>
      <c r="AT51" s="463">
        <f>IF(ISERROR(VLOOKUP(D51,'Base de Datos'!$C$7:$AR$400,14,0))=TRUE," ",(VLOOKUP(D51,'Base de Datos'!$C$7:$AR$400,14,0)))</f>
        <v>0</v>
      </c>
      <c r="AU51" s="461" t="str">
        <f>IF(ISERROR(VLOOKUP(D51,'Base de Datos'!$C$7:$AR$400,16,0))=TRUE," ",(VLOOKUP(D51,'Base de Datos'!$C$7:$AR$400,16,0)))</f>
        <v/>
      </c>
      <c r="AV51" s="465" t="str">
        <f>IF(ISERROR(VLOOKUP(D51,'Base de Datos'!$C$7:$AR$400,17,0))=TRUE," ",(VLOOKUP(D51,'Base de Datos'!$C$7:$AR$400,17,0)))</f>
        <v/>
      </c>
      <c r="AW51" s="465">
        <f>IF(ISERROR(VLOOKUP(D51,'Base de Datos'!$C$7:$AR$400,18,0))=TRUE," ",(VLOOKUP(D51,'Base de Datos'!$C$7:$AR$400,18,0)))</f>
        <v>42587</v>
      </c>
      <c r="AX51" s="465">
        <f>IF(ISERROR(VLOOKUP(D51,'Base de Datos'!$C$7:$AR$400,19,0))=TRUE," ",(VLOOKUP(D51,'Base de Datos'!$C$7:$AR$400,19,0)))</f>
        <v>715000</v>
      </c>
      <c r="AY51" s="468">
        <f>IF(ISERROR(VLOOKUP(D51,'Base de Datos'!$C$7:$AR$400,21,0))=TRUE," ",(VLOOKUP(D51,'Base de Datos'!$C$7:$AR$400,21,0)))</f>
        <v>0</v>
      </c>
      <c r="AZ51" s="468" t="str">
        <f>IF(ISERROR(VLOOKUP(D51,'Base de Datos'!$C$7:$AR$400,22,0))=TRUE," ",(VLOOKUP(D51,'Base de Datos'!$C$7:$AR$400,22,0)))</f>
        <v>Un pago único</v>
      </c>
      <c r="BA51" s="475"/>
      <c r="BB51" s="485"/>
    </row>
    <row r="52" spans="2:54" ht="55.5" hidden="1" customHeight="1" x14ac:dyDescent="0.25">
      <c r="B52" s="438">
        <v>45</v>
      </c>
      <c r="C52" s="446" t="s">
        <v>1645</v>
      </c>
      <c r="D52" s="438">
        <v>141</v>
      </c>
      <c r="E52" s="446" t="s">
        <v>1656</v>
      </c>
      <c r="F52" s="447">
        <f>VLOOKUP(D52,'Presupuesto - PAA 2015'!$B$10:$E$265,4,0)</f>
        <v>1226994</v>
      </c>
      <c r="G52" s="439" t="str">
        <f>VLOOKUP(D52,'[3]Seguimiento Plan'!$C$2:$R$101,16,0)</f>
        <v>Suscripción al períodico El Tiempo y Portafolio para el Concejo de Bogotá.</v>
      </c>
      <c r="H52" s="439" t="s">
        <v>1779</v>
      </c>
      <c r="I52" s="439" t="s">
        <v>1717</v>
      </c>
      <c r="J52" s="448" t="s">
        <v>908</v>
      </c>
      <c r="K52" s="449" t="s">
        <v>390</v>
      </c>
      <c r="L52" s="449" t="str">
        <f>VLOOKUP(D52,'[3]Seguimiento Plan'!$C$2:$AJ$101,30,0)</f>
        <v>SI</v>
      </c>
      <c r="M52" s="450">
        <f>VLOOKUP(D52,'[3]Seguimiento Plan'!$C$2:$AJ$101,31,0)</f>
        <v>42020</v>
      </c>
      <c r="N52" s="449"/>
      <c r="O52" s="451"/>
      <c r="P52" s="451"/>
      <c r="Q52" s="451"/>
      <c r="R52" s="529"/>
      <c r="S52" s="355" t="s">
        <v>1597</v>
      </c>
      <c r="T52" s="453" t="s">
        <v>252</v>
      </c>
      <c r="U52" s="455" t="str">
        <f>IF(ISERROR(VLOOKUP(T52,'Base de Datos'!$E$7:$AR$302,3,0))=TRUE," ",(VLOOKUP(T52,'Base de Datos'!$E$7:$AR$302,2,0)))</f>
        <v>CASA EDITORIAL EL TIEMPO SA</v>
      </c>
      <c r="V52" s="458">
        <f>IF(ISERROR(VLOOKUP(T52,'Base de Datos'!$E$7:$AR$302,5,0))=TRUE," ",(VLOOKUP(T52,'Base de Datos'!$E$7:$AR$302,5,0)))</f>
        <v>1197000</v>
      </c>
      <c r="W52" s="455">
        <f>IF(ISERROR(VLOOKUP(T52,'Base de Datos'!$E$7:$AR$302,19,0))=TRUE," ",(VLOOKUP(T52,'Base de Datos'!$E$7:$AR$302,19,0)))</f>
        <v>0</v>
      </c>
      <c r="X52" s="460" t="str">
        <f>IF(ISERROR(VLOOKUP(T52,'Base de Datos'!$E$7:$AR$302,8,0))=TRUE," ",(VLOOKUP(T52,'Base de Datos'!$E$7:$AR$302,8,0)))</f>
        <v xml:space="preserve"> </v>
      </c>
      <c r="Y52" s="460">
        <f>IF(ISERROR(VLOOKUP(T52,'Base de Datos'!$E$7:$AR$302,9,0))=TRUE," ",(VLOOKUP(T52,'Base de Datos'!$E$7:$AR$302,9,0)))</f>
        <v>41717</v>
      </c>
      <c r="Z52" s="454">
        <f>IF(ISERROR(VLOOKUP(T52,'Base de Datos'!$E$7:$AR$302,10,0))=TRUE," ",(VLOOKUP(T52,'Base de Datos'!$E$7:$AR$302,10,0)))</f>
        <v>42081</v>
      </c>
      <c r="AA52" s="457">
        <f>IF(ISERROR(VLOOKUP(T52,'Base de Datos'!$E$7:$AR$302,11,0))=TRUE," ",(VLOOKUP(T52,'Base de Datos'!$E$7:$AR$302,11,0)))</f>
        <v>0</v>
      </c>
      <c r="AB52" s="454">
        <f>IF(ISERROR(VLOOKUP(T52,'Base de Datos'!$E$7:$AR$302,12,0))=TRUE," ",(VLOOKUP(T52,'Base de Datos'!$E$7:$AR$302,12,0)))</f>
        <v>0</v>
      </c>
      <c r="AC52" s="454">
        <f>IF(ISERROR(VLOOKUP(T52,'Base de Datos'!$E$7:$AR$302,12,0))=TRUE," ",(VLOOKUP(T52,'Base de Datos'!$E$7:$AR$302,12,0)))</f>
        <v>0</v>
      </c>
      <c r="AD52" s="460" t="str">
        <f>IF(ISERROR(VLOOKUP(T52,'Base de Datos'!$E$7:$AR$302,15,0))=TRUE," ",(VLOOKUP(T52,'Base de Datos'!$E$7:$AR$302,15,0)))</f>
        <v/>
      </c>
      <c r="AE52" s="465">
        <f>IF(ISERROR(VLOOKUP(T52,'Base de Datos'!$E$7:$AR$302,16,0))=TRUE," ",(VLOOKUP(T52,'Base de Datos'!$E$7:$AR$302,16,0)))</f>
        <v>42081</v>
      </c>
      <c r="AF52" s="465">
        <f>IF(ISERROR(VLOOKUP(T52,'Base de Datos'!$E$7:$AR$302,17,0))=TRUE," ",(VLOOKUP(T52,'Base de Datos'!$E$7:$AR$302,17,0)))</f>
        <v>1197000</v>
      </c>
      <c r="AG52" s="465">
        <f>IF(ISERROR(VLOOKUP(T52,'Base de Datos'!$E$7:$AR$302,18,0))=TRUE," ",(VLOOKUP(T52,'Base de Datos'!$E$7:$AR$302,18,0)))</f>
        <v>1197000</v>
      </c>
      <c r="AH52" s="466"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6">
        <f>IF(ISERROR(VLOOKUP(T52,'Base de Datos'!$E$7:$AR$302,21,0))=TRUE," ",(VLOOKUP(T52,'Base de Datos'!$E$7:$AR$302,21,0)))</f>
        <v>1</v>
      </c>
      <c r="AJ52" s="460">
        <v>42080</v>
      </c>
      <c r="AK52" s="455" t="str">
        <f>IF(ISERROR(VLOOKUP(D52,'Base de Datos'!$C$7:$AR$400,2,0))=TRUE," ",(VLOOKUP(D52,'Base de Datos'!$C$7:$AR$400,2,0)))</f>
        <v>2015141</v>
      </c>
      <c r="AL52" s="455" t="str">
        <f>IF(ISERROR(VLOOKUP(D52,'Base de Datos'!$C$7:$AR$400,3,0))=TRUE," ",(VLOOKUP(D52,'Base de Datos'!$C$7:$AR$400,3,0)))</f>
        <v>150123-0-2015</v>
      </c>
      <c r="AM52" s="458" t="str">
        <f>IF(ISERROR(VLOOKUP(D52,'Base de Datos'!$C$7:$AR$4014,6,0))=TRUE," ",(VLOOKUP(D52,'Base de Datos'!$C$7:$AR$400,6,0)))</f>
        <v>Suscripción a los diarios el TIEMPO Y PORTAFOLIO con destino al concejo de Bogotá D.C.</v>
      </c>
      <c r="AN52" s="458">
        <f>IF(ISERROR(VLOOKUP(D52,'Base de Datos'!$C$7:$AR$400,20,0))=TRUE," ",(VLOOKUP(D52,'Base de Datos'!$C$7:$AR$400,19,0)))</f>
        <v>1226994</v>
      </c>
      <c r="AO52" s="461">
        <f>IF(ISERROR(VLOOKUP(D52,'Base de Datos'!$C$7:$AR$400,9,0))=TRUE," ",(VLOOKUP(D52,'Base de Datos'!$C$7:$AR$400,9,0)))</f>
        <v>2015</v>
      </c>
      <c r="AP52" s="461">
        <f>IF(ISERROR(VLOOKUP(D52,'Base de Datos'!$C$7:$AR$400,10,0))=TRUE," ",(VLOOKUP(D52,'Base de Datos'!$C$7:$AR$400,10,0)))</f>
        <v>42080</v>
      </c>
      <c r="AQ52" s="463">
        <f>IF(ISERROR(VLOOKUP(D52,'Base de Datos'!$C$7:$AR$400,11,0))=TRUE," ",(VLOOKUP(D52,'Base de Datos'!$C$7:$AR$400,11,0)))</f>
        <v>42082</v>
      </c>
      <c r="AR52" s="464">
        <f>IF(ISERROR(VLOOKUP(D52,'Base de Datos'!$C$7:$AR$400,12,0))=TRUE," ",(VLOOKUP(D52,'Base de Datos'!$C$7:$AR$400,12,0)))</f>
        <v>42447</v>
      </c>
      <c r="AS52" s="463">
        <f>IF(ISERROR(VLOOKUP(D52,'Base de Datos'!$C$7:$AR$400,13,0))=TRUE," ",(VLOOKUP(D52,'Base de Datos'!$C$7:$AR$400,13,0)))</f>
        <v>0</v>
      </c>
      <c r="AT52" s="463">
        <f>IF(ISERROR(VLOOKUP(D52,'Base de Datos'!$C$7:$AR$400,14,0))=TRUE," ",(VLOOKUP(D52,'Base de Datos'!$C$7:$AR$400,14,0)))</f>
        <v>0</v>
      </c>
      <c r="AU52" s="461" t="str">
        <f>IF(ISERROR(VLOOKUP(D52,'Base de Datos'!$C$7:$AR$400,16,0))=TRUE," ",(VLOOKUP(D52,'Base de Datos'!$C$7:$AR$400,16,0)))</f>
        <v/>
      </c>
      <c r="AV52" s="465" t="str">
        <f>IF(ISERROR(VLOOKUP(D52,'Base de Datos'!$C$7:$AR$400,17,0))=TRUE," ",(VLOOKUP(D52,'Base de Datos'!$C$7:$AR$400,17,0)))</f>
        <v/>
      </c>
      <c r="AW52" s="465">
        <f>IF(ISERROR(VLOOKUP(D52,'Base de Datos'!$C$7:$AR$400,18,0))=TRUE," ",(VLOOKUP(D52,'Base de Datos'!$C$7:$AR$400,18,0)))</f>
        <v>42447</v>
      </c>
      <c r="AX52" s="465">
        <f>IF(ISERROR(VLOOKUP(D52,'Base de Datos'!$C$7:$AR$400,19,0))=TRUE," ",(VLOOKUP(D52,'Base de Datos'!$C$7:$AR$400,19,0)))</f>
        <v>1226994</v>
      </c>
      <c r="AY52" s="468">
        <f>IF(ISERROR(VLOOKUP(D52,'Base de Datos'!$C$7:$AR$400,21,0))=TRUE," ",(VLOOKUP(D52,'Base de Datos'!$C$7:$AR$400,21,0)))</f>
        <v>0</v>
      </c>
      <c r="AZ52" s="468" t="str">
        <f>IF(ISERROR(VLOOKUP(D52,'Base de Datos'!$C$7:$AR$400,22,0))=TRUE," ",(VLOOKUP(D52,'Base de Datos'!$C$7:$AR$400,22,0)))</f>
        <v>Único</v>
      </c>
      <c r="BA52" s="475"/>
      <c r="BB52" s="485"/>
    </row>
    <row r="53" spans="2:54" ht="55.5" hidden="1" customHeight="1" x14ac:dyDescent="0.25">
      <c r="B53" s="438">
        <v>46</v>
      </c>
      <c r="C53" s="446" t="s">
        <v>1645</v>
      </c>
      <c r="D53" s="438">
        <v>142</v>
      </c>
      <c r="E53" s="446" t="s">
        <v>1656</v>
      </c>
      <c r="F53" s="447">
        <f>VLOOKUP(D53,'Presupuesto - PAA 2015'!$B$10:$E$265,4,0)</f>
        <v>7800000</v>
      </c>
      <c r="G53" s="439" t="str">
        <f>VLOOKUP(D53,'[3]Seguimiento Plan'!$C$2:$R$101,16,0)</f>
        <v>Suscripción a la Revista del Congreso para el Concejo de Bogotá.-</v>
      </c>
      <c r="H53" s="439" t="s">
        <v>1779</v>
      </c>
      <c r="I53" s="439" t="s">
        <v>1717</v>
      </c>
      <c r="J53" s="448" t="s">
        <v>908</v>
      </c>
      <c r="K53" s="449" t="s">
        <v>390</v>
      </c>
      <c r="L53" s="449" t="str">
        <f>VLOOKUP(D53,'[3]Seguimiento Plan'!$C$2:$AJ$101,30,0)</f>
        <v>SI</v>
      </c>
      <c r="M53" s="450">
        <f>VLOOKUP(D53,'[3]Seguimiento Plan'!$C$2:$AJ$101,31,0)</f>
        <v>42058</v>
      </c>
      <c r="N53" s="449"/>
      <c r="O53" s="451"/>
      <c r="P53" s="451"/>
      <c r="Q53" s="451"/>
      <c r="R53" s="452"/>
      <c r="S53" s="452"/>
      <c r="T53" s="453" t="s">
        <v>278</v>
      </c>
      <c r="U53" s="455" t="str">
        <f>IF(ISERROR(VLOOKUP(T53,'Base de Datos'!$E$7:$AR$302,3,0))=TRUE," ",(VLOOKUP(T53,'Base de Datos'!$E$7:$AR$302,2,0)))</f>
        <v>REVISTA EL CONGRESO SIGLO XXI LTDA</v>
      </c>
      <c r="V53" s="458">
        <f>IF(ISERROR(VLOOKUP(T53,'Base de Datos'!$E$7:$AR$302,5,0))=TRUE," ",(VLOOKUP(T53,'Base de Datos'!$E$7:$AR$302,5,0)))</f>
        <v>7740000</v>
      </c>
      <c r="W53" s="455">
        <f>IF(ISERROR(VLOOKUP(T53,'Base de Datos'!$E$7:$AR$302,19,0))=TRUE," ",(VLOOKUP(T53,'Base de Datos'!$E$7:$AR$302,19,0)))</f>
        <v>0</v>
      </c>
      <c r="X53" s="460" t="str">
        <f>IF(ISERROR(VLOOKUP(T53,'Base de Datos'!$E$7:$AR$302,8,0))=TRUE," ",(VLOOKUP(T53,'Base de Datos'!$E$7:$AR$302,8,0)))</f>
        <v xml:space="preserve"> </v>
      </c>
      <c r="Y53" s="460">
        <f>IF(ISERROR(VLOOKUP(T53,'Base de Datos'!$E$7:$AR$302,9,0))=TRUE," ",(VLOOKUP(T53,'Base de Datos'!$E$7:$AR$302,9,0)))</f>
        <v>41775</v>
      </c>
      <c r="Z53" s="454">
        <f>IF(ISERROR(VLOOKUP(T53,'Base de Datos'!$E$7:$AR$302,10,0))=TRUE," ",(VLOOKUP(T53,'Base de Datos'!$E$7:$AR$302,10,0)))</f>
        <v>42139</v>
      </c>
      <c r="AA53" s="457">
        <f>IF(ISERROR(VLOOKUP(T53,'Base de Datos'!$E$7:$AR$302,11,0))=TRUE," ",(VLOOKUP(T53,'Base de Datos'!$E$7:$AR$302,11,0)))</f>
        <v>0</v>
      </c>
      <c r="AB53" s="454">
        <f>IF(ISERROR(VLOOKUP(T53,'Base de Datos'!$E$7:$AR$302,12,0))=TRUE," ",(VLOOKUP(T53,'Base de Datos'!$E$7:$AR$302,12,0)))</f>
        <v>0</v>
      </c>
      <c r="AC53" s="454">
        <f>IF(ISERROR(VLOOKUP(T53,'Base de Datos'!$E$7:$AR$302,12,0))=TRUE," ",(VLOOKUP(T53,'Base de Datos'!$E$7:$AR$302,12,0)))</f>
        <v>0</v>
      </c>
      <c r="AD53" s="460" t="str">
        <f>IF(ISERROR(VLOOKUP(T53,'Base de Datos'!$E$7:$AR$302,15,0))=TRUE," ",(VLOOKUP(T53,'Base de Datos'!$E$7:$AR$302,15,0)))</f>
        <v/>
      </c>
      <c r="AE53" s="465">
        <f>IF(ISERROR(VLOOKUP(T53,'Base de Datos'!$E$7:$AR$302,16,0))=TRUE," ",(VLOOKUP(T53,'Base de Datos'!$E$7:$AR$302,16,0)))</f>
        <v>42139</v>
      </c>
      <c r="AF53" s="465">
        <f>IF(ISERROR(VLOOKUP(T53,'Base de Datos'!$E$7:$AR$302,17,0))=TRUE," ",(VLOOKUP(T53,'Base de Datos'!$E$7:$AR$302,17,0)))</f>
        <v>7740000</v>
      </c>
      <c r="AG53" s="465">
        <f>IF(ISERROR(VLOOKUP(T53,'Base de Datos'!$E$7:$AR$302,18,0))=TRUE," ",(VLOOKUP(T53,'Base de Datos'!$E$7:$AR$302,18,0)))</f>
        <v>7740000</v>
      </c>
      <c r="AH53" s="466"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6">
        <f>IF(ISERROR(VLOOKUP(T53,'Base de Datos'!$E$7:$AR$302,21,0))=TRUE," ",(VLOOKUP(T53,'Base de Datos'!$E$7:$AR$302,21,0)))</f>
        <v>1</v>
      </c>
      <c r="AJ53" s="469">
        <v>42139</v>
      </c>
      <c r="AK53" s="455" t="str">
        <f>IF(ISERROR(VLOOKUP(D53,'Base de Datos'!$C$7:$AR$400,2,0))=TRUE," ",(VLOOKUP(D53,'Base de Datos'!$C$7:$AR$400,2,0)))</f>
        <v>2015142</v>
      </c>
      <c r="AL53" s="455" t="str">
        <f>IF(ISERROR(VLOOKUP(D53,'Base de Datos'!$C$7:$AR$400,3,0))=TRUE," ",(VLOOKUP(D53,'Base de Datos'!$C$7:$AR$400,3,0)))</f>
        <v>150228-0-2015</v>
      </c>
      <c r="AM53" s="458" t="str">
        <f>IF(ISERROR(VLOOKUP(D53,'Base de Datos'!$C$7:$AR$4014,6,0))=TRUE," ",(VLOOKUP(D53,'Base de Datos'!$C$7:$AR$400,6,0)))</f>
        <v xml:space="preserve">Suscripción a la Revista El Congreso Siglo XXI con destino al Concejo de Bogotá D.C. </v>
      </c>
      <c r="AN53" s="458">
        <f>IF(ISERROR(VLOOKUP(D53,'Base de Datos'!$C$7:$AR$400,20,0))=TRUE," ",(VLOOKUP(D53,'Base de Datos'!$C$7:$AR$400,19,0)))</f>
        <v>7800000</v>
      </c>
      <c r="AO53" s="461">
        <f>IF(ISERROR(VLOOKUP(D53,'Base de Datos'!$C$7:$AR$400,9,0))=TRUE," ",(VLOOKUP(D53,'Base de Datos'!$C$7:$AR$400,9,0)))</f>
        <v>2015</v>
      </c>
      <c r="AP53" s="461">
        <f>IF(ISERROR(VLOOKUP(D53,'Base de Datos'!$C$7:$AR$400,10,0))=TRUE," ",(VLOOKUP(D53,'Base de Datos'!$C$7:$AR$400,10,0)))</f>
        <v>42139</v>
      </c>
      <c r="AQ53" s="463">
        <f>IF(ISERROR(VLOOKUP(D53,'Base de Datos'!$C$7:$AR$400,11,0))=TRUE," ",(VLOOKUP(D53,'Base de Datos'!$C$7:$AR$400,11,0)))</f>
        <v>42145</v>
      </c>
      <c r="AR53" s="464">
        <f>IF(ISERROR(VLOOKUP(D53,'Base de Datos'!$C$7:$AR$400,12,0))=TRUE," ",(VLOOKUP(D53,'Base de Datos'!$C$7:$AR$400,12,0)))</f>
        <v>42511</v>
      </c>
      <c r="AS53" s="463">
        <f>IF(ISERROR(VLOOKUP(D53,'Base de Datos'!$C$7:$AR$400,13,0))=TRUE," ",(VLOOKUP(D53,'Base de Datos'!$C$7:$AR$400,13,0)))</f>
        <v>0</v>
      </c>
      <c r="AT53" s="463">
        <f>IF(ISERROR(VLOOKUP(D53,'Base de Datos'!$C$7:$AR$400,14,0))=TRUE," ",(VLOOKUP(D53,'Base de Datos'!$C$7:$AR$400,14,0)))</f>
        <v>0</v>
      </c>
      <c r="AU53" s="461" t="str">
        <f>IF(ISERROR(VLOOKUP(D53,'Base de Datos'!$C$7:$AR$400,16,0))=TRUE," ",(VLOOKUP(D53,'Base de Datos'!$C$7:$AR$400,16,0)))</f>
        <v/>
      </c>
      <c r="AV53" s="465" t="str">
        <f>IF(ISERROR(VLOOKUP(D53,'Base de Datos'!$C$7:$AR$400,17,0))=TRUE," ",(VLOOKUP(D53,'Base de Datos'!$C$7:$AR$400,17,0)))</f>
        <v/>
      </c>
      <c r="AW53" s="465">
        <f>IF(ISERROR(VLOOKUP(D53,'Base de Datos'!$C$7:$AR$400,18,0))=TRUE," ",(VLOOKUP(D53,'Base de Datos'!$C$7:$AR$400,18,0)))</f>
        <v>42511</v>
      </c>
      <c r="AX53" s="465">
        <f>IF(ISERROR(VLOOKUP(D53,'Base de Datos'!$C$7:$AR$400,19,0))=TRUE," ",(VLOOKUP(D53,'Base de Datos'!$C$7:$AR$400,19,0)))</f>
        <v>7800000</v>
      </c>
      <c r="AY53" s="468">
        <f>IF(ISERROR(VLOOKUP(D53,'Base de Datos'!$C$7:$AR$400,21,0))=TRUE," ",(VLOOKUP(D53,'Base de Datos'!$C$7:$AR$400,21,0)))</f>
        <v>0</v>
      </c>
      <c r="AZ53" s="468" t="str">
        <f>IF(ISERROR(VLOOKUP(D53,'Base de Datos'!$C$7:$AR$400,22,0))=TRUE," ",(VLOOKUP(D53,'Base de Datos'!$C$7:$AR$400,22,0)))</f>
        <v>Único pago</v>
      </c>
      <c r="BA53" s="475"/>
      <c r="BB53" s="485"/>
    </row>
    <row r="54" spans="2:54" ht="55.5" hidden="1" customHeight="1" x14ac:dyDescent="0.25">
      <c r="B54" s="438">
        <v>47</v>
      </c>
      <c r="C54" s="446" t="s">
        <v>1645</v>
      </c>
      <c r="D54" s="438">
        <v>143</v>
      </c>
      <c r="E54" s="446" t="s">
        <v>1656</v>
      </c>
      <c r="F54" s="447">
        <f>VLOOKUP(D54,'Presupuesto - PAA 2015'!$B$10:$E$265,4,0)</f>
        <v>4100000</v>
      </c>
      <c r="G54" s="439" t="str">
        <f>VLOOKUP(D54,'[3]Seguimiento Plan'!$C$2:$R$101,16,0)</f>
        <v>Suscripción al Directorio de Despachos Públicos para el Concejo de Bogotá.-</v>
      </c>
      <c r="H54" s="439" t="s">
        <v>1779</v>
      </c>
      <c r="I54" s="439" t="s">
        <v>1717</v>
      </c>
      <c r="J54" s="448" t="s">
        <v>908</v>
      </c>
      <c r="K54" s="449"/>
      <c r="L54" s="449" t="s">
        <v>390</v>
      </c>
      <c r="M54" s="450"/>
      <c r="N54" s="449"/>
      <c r="O54" s="451"/>
      <c r="P54" s="451"/>
      <c r="Q54" s="451"/>
      <c r="R54" s="452"/>
      <c r="S54" s="470" t="s">
        <v>1595</v>
      </c>
      <c r="T54" s="453" t="s">
        <v>270</v>
      </c>
      <c r="U54" s="455" t="str">
        <f>IF(ISERROR(VLOOKUP(T54,'Base de Datos'!$E$7:$AR$302,3,0))=TRUE," ",(VLOOKUP(T54,'Base de Datos'!$E$7:$AR$302,2,0)))</f>
        <v>DPC LTDA PUBLICACIONES DESPACHOS PÚBLICOS DE COLOMBIA LTDA</v>
      </c>
      <c r="V54" s="458">
        <f>IF(ISERROR(VLOOKUP(T54,'Base de Datos'!$E$7:$AR$302,5,0))=TRUE," ",(VLOOKUP(T54,'Base de Datos'!$E$7:$AR$302,5,0)))</f>
        <v>4000000</v>
      </c>
      <c r="W54" s="455">
        <f>IF(ISERROR(VLOOKUP(T54,'Base de Datos'!$E$7:$AR$302,19,0))=TRUE," ",(VLOOKUP(T54,'Base de Datos'!$E$7:$AR$302,19,0)))</f>
        <v>0</v>
      </c>
      <c r="X54" s="460" t="str">
        <f>IF(ISERROR(VLOOKUP(T54,'Base de Datos'!$E$7:$AR$302,8,0))=TRUE," ",(VLOOKUP(T54,'Base de Datos'!$E$7:$AR$302,8,0)))</f>
        <v xml:space="preserve"> </v>
      </c>
      <c r="Y54" s="460">
        <f>IF(ISERROR(VLOOKUP(T54,'Base de Datos'!$E$7:$AR$302,9,0))=TRUE," ",(VLOOKUP(T54,'Base de Datos'!$E$7:$AR$302,9,0)))</f>
        <v>41739</v>
      </c>
      <c r="Z54" s="454">
        <f>IF(ISERROR(VLOOKUP(T54,'Base de Datos'!$E$7:$AR$302,10,0))=TRUE," ",(VLOOKUP(T54,'Base de Datos'!$E$7:$AR$302,10,0)))</f>
        <v>41891</v>
      </c>
      <c r="AA54" s="457">
        <f>IF(ISERROR(VLOOKUP(T54,'Base de Datos'!$E$7:$AR$302,11,0))=TRUE," ",(VLOOKUP(T54,'Base de Datos'!$E$7:$AR$302,11,0)))</f>
        <v>0</v>
      </c>
      <c r="AB54" s="454">
        <f>IF(ISERROR(VLOOKUP(T54,'Base de Datos'!$E$7:$AR$302,12,0))=TRUE," ",(VLOOKUP(T54,'Base de Datos'!$E$7:$AR$302,12,0)))</f>
        <v>0</v>
      </c>
      <c r="AC54" s="454">
        <f>IF(ISERROR(VLOOKUP(T54,'Base de Datos'!$E$7:$AR$302,12,0))=TRUE," ",(VLOOKUP(T54,'Base de Datos'!$E$7:$AR$302,12,0)))</f>
        <v>0</v>
      </c>
      <c r="AD54" s="460" t="str">
        <f>IF(ISERROR(VLOOKUP(T54,'Base de Datos'!$E$7:$AR$302,15,0))=TRUE," ",(VLOOKUP(T54,'Base de Datos'!$E$7:$AR$302,15,0)))</f>
        <v/>
      </c>
      <c r="AE54" s="465">
        <f>IF(ISERROR(VLOOKUP(T54,'Base de Datos'!$E$7:$AR$302,16,0))=TRUE," ",(VLOOKUP(T54,'Base de Datos'!$E$7:$AR$302,16,0)))</f>
        <v>41891</v>
      </c>
      <c r="AF54" s="465">
        <f>IF(ISERROR(VLOOKUP(T54,'Base de Datos'!$E$7:$AR$302,17,0))=TRUE," ",(VLOOKUP(T54,'Base de Datos'!$E$7:$AR$302,17,0)))</f>
        <v>4000000</v>
      </c>
      <c r="AG54" s="465">
        <f>IF(ISERROR(VLOOKUP(T54,'Base de Datos'!$E$7:$AR$302,18,0))=TRUE," ",(VLOOKUP(T54,'Base de Datos'!$E$7:$AR$302,18,0)))</f>
        <v>4000000</v>
      </c>
      <c r="AH54" s="466"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6">
        <f>IF(ISERROR(VLOOKUP(T54,'Base de Datos'!$E$7:$AR$302,21,0))=TRUE," ",(VLOOKUP(T54,'Base de Datos'!$E$7:$AR$302,21,0)))</f>
        <v>1</v>
      </c>
      <c r="AJ54" s="460">
        <v>42080</v>
      </c>
      <c r="AK54" s="455" t="str">
        <f>IF(ISERROR(VLOOKUP(D54,'Base de Datos'!$C$7:$AR$400,2,0))=TRUE," ",(VLOOKUP(D54,'Base de Datos'!$C$7:$AR$400,2,0)))</f>
        <v>2015143</v>
      </c>
      <c r="AL54" s="455" t="str">
        <f>IF(ISERROR(VLOOKUP(D54,'Base de Datos'!$C$7:$AR$400,3,0))=TRUE," ",(VLOOKUP(D54,'Base de Datos'!$C$7:$AR$400,3,0)))</f>
        <v>150124-0-2015</v>
      </c>
      <c r="AM54" s="458" t="str">
        <f>IF(ISERROR(VLOOKUP(D54,'Base de Datos'!$C$7:$AR$4014,6,0))=TRUE," ",(VLOOKUP(D54,'Base de Datos'!$C$7:$AR$400,6,0)))</f>
        <v>Adquirir a título de compra ejemplares del Directorio de Despachos Públicos de Colombia 2015, para el Concejo de Bogotá D.C.</v>
      </c>
      <c r="AN54" s="458">
        <f>IF(ISERROR(VLOOKUP(D54,'Base de Datos'!$C$7:$AR$400,20,0))=TRUE," ",(VLOOKUP(D54,'Base de Datos'!$C$7:$AR$400,19,0)))</f>
        <v>4100000</v>
      </c>
      <c r="AO54" s="461">
        <f>IF(ISERROR(VLOOKUP(D54,'Base de Datos'!$C$7:$AR$400,9,0))=TRUE," ",(VLOOKUP(D54,'Base de Datos'!$C$7:$AR$400,9,0)))</f>
        <v>2015</v>
      </c>
      <c r="AP54" s="461">
        <f>IF(ISERROR(VLOOKUP(D54,'Base de Datos'!$C$7:$AR$400,10,0))=TRUE," ",(VLOOKUP(D54,'Base de Datos'!$C$7:$AR$400,10,0)))</f>
        <v>42080</v>
      </c>
      <c r="AQ54" s="463">
        <f>IF(ISERROR(VLOOKUP(D54,'Base de Datos'!$C$7:$AR$400,11,0))=TRUE," ",(VLOOKUP(D54,'Base de Datos'!$C$7:$AR$400,11,0)))</f>
        <v>42088</v>
      </c>
      <c r="AR54" s="464">
        <f>IF(ISERROR(VLOOKUP(D54,'Base de Datos'!$C$7:$AR$400,12,0))=TRUE," ",(VLOOKUP(D54,'Base de Datos'!$C$7:$AR$400,12,0)))</f>
        <v>42241</v>
      </c>
      <c r="AS54" s="463">
        <f>IF(ISERROR(VLOOKUP(D54,'Base de Datos'!$C$7:$AR$400,13,0))=TRUE," ",(VLOOKUP(D54,'Base de Datos'!$C$7:$AR$400,13,0)))</f>
        <v>0</v>
      </c>
      <c r="AT54" s="463">
        <f>IF(ISERROR(VLOOKUP(D54,'Base de Datos'!$C$7:$AR$400,14,0))=TRUE," ",(VLOOKUP(D54,'Base de Datos'!$C$7:$AR$400,14,0)))</f>
        <v>0</v>
      </c>
      <c r="AU54" s="461" t="str">
        <f>IF(ISERROR(VLOOKUP(D54,'Base de Datos'!$C$7:$AR$400,16,0))=TRUE," ",(VLOOKUP(D54,'Base de Datos'!$C$7:$AR$400,16,0)))</f>
        <v/>
      </c>
      <c r="AV54" s="465" t="str">
        <f>IF(ISERROR(VLOOKUP(D54,'Base de Datos'!$C$7:$AR$400,17,0))=TRUE," ",(VLOOKUP(D54,'Base de Datos'!$C$7:$AR$400,17,0)))</f>
        <v/>
      </c>
      <c r="AW54" s="465">
        <f>IF(ISERROR(VLOOKUP(D54,'Base de Datos'!$C$7:$AR$400,18,0))=TRUE," ",(VLOOKUP(D54,'Base de Datos'!$C$7:$AR$400,18,0)))</f>
        <v>42241</v>
      </c>
      <c r="AX54" s="465">
        <f>IF(ISERROR(VLOOKUP(D54,'Base de Datos'!$C$7:$AR$400,19,0))=TRUE," ",(VLOOKUP(D54,'Base de Datos'!$C$7:$AR$400,19,0)))</f>
        <v>4100000</v>
      </c>
      <c r="AY54" s="468">
        <f>IF(ISERROR(VLOOKUP(D54,'Base de Datos'!$C$7:$AR$400,21,0))=TRUE," ",(VLOOKUP(D54,'Base de Datos'!$C$7:$AR$400,21,0)))</f>
        <v>0</v>
      </c>
      <c r="AZ54" s="468" t="str">
        <f>IF(ISERROR(VLOOKUP(D54,'Base de Datos'!$C$7:$AR$400,22,0))=TRUE," ",(VLOOKUP(D54,'Base de Datos'!$C$7:$AR$400,22,0)))</f>
        <v>Único</v>
      </c>
      <c r="BA54" s="475"/>
      <c r="BB54" s="485"/>
    </row>
    <row r="55" spans="2:54" ht="55.5" hidden="1" customHeight="1" x14ac:dyDescent="0.25">
      <c r="B55" s="438">
        <v>48</v>
      </c>
      <c r="C55" s="446" t="s">
        <v>1645</v>
      </c>
      <c r="D55" s="438">
        <v>144</v>
      </c>
      <c r="E55" s="446" t="s">
        <v>1656</v>
      </c>
      <c r="F55" s="447">
        <f>VLOOKUP(D55,'Presupuesto - PAA 2015'!$B$10:$E$265,4,0)</f>
        <v>936000</v>
      </c>
      <c r="G55" s="439" t="str">
        <f>VLOOKUP(D55,'[3]Seguimiento Plan'!$C$2:$R$101,16,0)</f>
        <v>Suscripción al diario el Espectador para el Concejo de Bogotá</v>
      </c>
      <c r="H55" s="439" t="s">
        <v>1779</v>
      </c>
      <c r="I55" s="439" t="s">
        <v>1717</v>
      </c>
      <c r="J55" s="448" t="s">
        <v>908</v>
      </c>
      <c r="K55" s="449" t="s">
        <v>390</v>
      </c>
      <c r="L55" s="449" t="s">
        <v>390</v>
      </c>
      <c r="M55" s="450">
        <v>42123</v>
      </c>
      <c r="N55" s="449"/>
      <c r="O55" s="451"/>
      <c r="P55" s="451"/>
      <c r="Q55" s="451"/>
      <c r="R55" s="452"/>
      <c r="S55" s="452"/>
      <c r="T55" s="349" t="s">
        <v>548</v>
      </c>
      <c r="U55" s="455" t="str">
        <f>IF(ISERROR(VLOOKUP(T55,'Base de Datos'!$E$7:$AR$302,3,0))=TRUE," ",(VLOOKUP(T55,'Base de Datos'!$E$7:$AR$302,2,0)))</f>
        <v>COMUNICAN S.A</v>
      </c>
      <c r="V55" s="458">
        <f>IF(ISERROR(VLOOKUP(T55,'Base de Datos'!$E$7:$AR$302,5,0))=TRUE," ",(VLOOKUP(T55,'Base de Datos'!$E$7:$AR$302,5,0)))</f>
        <v>936000</v>
      </c>
      <c r="W55" s="455">
        <f>IF(ISERROR(VLOOKUP(T55,'Base de Datos'!$E$7:$AR$302,19,0))=TRUE," ",(VLOOKUP(T55,'Base de Datos'!$E$7:$AR$302,19,0)))</f>
        <v>0</v>
      </c>
      <c r="X55" s="460" t="str">
        <f>IF(ISERROR(VLOOKUP(T55,'Base de Datos'!$E$7:$AR$302,8,0))=TRUE," ",(VLOOKUP(T55,'Base de Datos'!$E$7:$AR$302,8,0)))</f>
        <v xml:space="preserve"> </v>
      </c>
      <c r="Y55" s="460">
        <f>IF(ISERROR(VLOOKUP(T55,'Base de Datos'!$E$7:$AR$302,9,0))=TRUE," ",(VLOOKUP(T55,'Base de Datos'!$E$7:$AR$302,9,0)))</f>
        <v>41893</v>
      </c>
      <c r="Z55" s="454">
        <f>IF(ISERROR(VLOOKUP(T55,'Base de Datos'!$E$7:$AR$302,10,0))=TRUE," ",(VLOOKUP(T55,'Base de Datos'!$E$7:$AR$302,10,0)))</f>
        <v>42258</v>
      </c>
      <c r="AA55" s="457">
        <f>IF(ISERROR(VLOOKUP(T55,'Base de Datos'!$E$7:$AR$302,11,0))=TRUE," ",(VLOOKUP(T55,'Base de Datos'!$E$7:$AR$302,11,0)))</f>
        <v>0</v>
      </c>
      <c r="AB55" s="454">
        <f>IF(ISERROR(VLOOKUP(T55,'Base de Datos'!$E$7:$AR$302,12,0))=TRUE," ",(VLOOKUP(T55,'Base de Datos'!$E$7:$AR$302,12,0)))</f>
        <v>0</v>
      </c>
      <c r="AC55" s="454">
        <f>IF(ISERROR(VLOOKUP(T55,'Base de Datos'!$E$7:$AR$302,12,0))=TRUE," ",(VLOOKUP(T55,'Base de Datos'!$E$7:$AR$302,12,0)))</f>
        <v>0</v>
      </c>
      <c r="AD55" s="460" t="str">
        <f>IF(ISERROR(VLOOKUP(T55,'Base de Datos'!$E$7:$AR$302,15,0))=TRUE," ",(VLOOKUP(T55,'Base de Datos'!$E$7:$AR$302,15,0)))</f>
        <v/>
      </c>
      <c r="AE55" s="465">
        <f>IF(ISERROR(VLOOKUP(T55,'Base de Datos'!$E$7:$AR$302,16,0))=TRUE," ",(VLOOKUP(T55,'Base de Datos'!$E$7:$AR$302,16,0)))</f>
        <v>42258</v>
      </c>
      <c r="AF55" s="465">
        <f>IF(ISERROR(VLOOKUP(T55,'Base de Datos'!$E$7:$AR$302,17,0))=TRUE," ",(VLOOKUP(T55,'Base de Datos'!$E$7:$AR$302,17,0)))</f>
        <v>936000</v>
      </c>
      <c r="AG55" s="465">
        <f>IF(ISERROR(VLOOKUP(T55,'Base de Datos'!$E$7:$AR$302,18,0))=TRUE," ",(VLOOKUP(T55,'Base de Datos'!$E$7:$AR$302,18,0)))</f>
        <v>936000</v>
      </c>
      <c r="AH55" s="466"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6">
        <f>IF(ISERROR(VLOOKUP(T55,'Base de Datos'!$E$7:$AR$302,21,0))=TRUE," ",(VLOOKUP(T55,'Base de Datos'!$E$7:$AR$302,21,0)))</f>
        <v>1</v>
      </c>
      <c r="AJ55" s="455"/>
      <c r="AK55" s="455" t="str">
        <f>IF(ISERROR(VLOOKUP(D55,'Base de Datos'!$C$7:$AR$400,2,0))=TRUE," ",(VLOOKUP(D55,'Base de Datos'!$C$7:$AR$400,2,0)))</f>
        <v>2015144</v>
      </c>
      <c r="AL55" s="455" t="str">
        <f>IF(ISERROR(VLOOKUP(D55,'Base de Datos'!$C$7:$AR$400,3,0))=TRUE," ",(VLOOKUP(D55,'Base de Datos'!$C$7:$AR$400,3,0)))</f>
        <v>150330-0-2015</v>
      </c>
      <c r="AM55" s="458" t="str">
        <f>IF(ISERROR(VLOOKUP(D55,'Base de Datos'!$C$7:$AR$4014,6,0))=TRUE," ",(VLOOKUP(D55,'Base de Datos'!$C$7:$AR$400,6,0)))</f>
        <v xml:space="preserve">Suscripción al DIARIO EL ESPECTADOR, para el Concejo de Bogotá D.C. </v>
      </c>
      <c r="AN55" s="458">
        <f>IF(ISERROR(VLOOKUP(D55,'Base de Datos'!$C$7:$AR$400,20,0))=TRUE," ",(VLOOKUP(D55,'Base de Datos'!$C$7:$AR$400,19,0)))</f>
        <v>936000</v>
      </c>
      <c r="AO55" s="461">
        <f>IF(ISERROR(VLOOKUP(D55,'Base de Datos'!$C$7:$AR$400,9,0))=TRUE," ",(VLOOKUP(D55,'Base de Datos'!$C$7:$AR$400,9,0)))</f>
        <v>2015</v>
      </c>
      <c r="AP55" s="461">
        <f>IF(ISERROR(VLOOKUP(D55,'Base de Datos'!$C$7:$AR$400,10,0))=TRUE," ",(VLOOKUP(D55,'Base de Datos'!$C$7:$AR$400,10,0)))</f>
        <v>42220</v>
      </c>
      <c r="AQ55" s="463">
        <f>IF(ISERROR(VLOOKUP(D55,'Base de Datos'!$C$7:$AR$400,11,0))=TRUE," ",(VLOOKUP(D55,'Base de Datos'!$C$7:$AR$400,11,0)))</f>
        <v>42261</v>
      </c>
      <c r="AR55" s="464">
        <f>IF(ISERROR(VLOOKUP(D55,'Base de Datos'!$C$7:$AR$400,12,0))=TRUE," ",(VLOOKUP(D55,'Base de Datos'!$C$7:$AR$400,12,0)))</f>
        <v>42627</v>
      </c>
      <c r="AS55" s="463">
        <f>IF(ISERROR(VLOOKUP(D55,'Base de Datos'!$C$7:$AR$400,13,0))=TRUE," ",(VLOOKUP(D55,'Base de Datos'!$C$7:$AR$400,13,0)))</f>
        <v>0</v>
      </c>
      <c r="AT55" s="463">
        <f>IF(ISERROR(VLOOKUP(D55,'Base de Datos'!$C$7:$AR$400,14,0))=TRUE," ",(VLOOKUP(D55,'Base de Datos'!$C$7:$AR$400,14,0)))</f>
        <v>0</v>
      </c>
      <c r="AU55" s="461" t="str">
        <f>IF(ISERROR(VLOOKUP(D55,'Base de Datos'!$C$7:$AR$400,16,0))=TRUE," ",(VLOOKUP(D55,'Base de Datos'!$C$7:$AR$400,16,0)))</f>
        <v/>
      </c>
      <c r="AV55" s="465" t="str">
        <f>IF(ISERROR(VLOOKUP(D55,'Base de Datos'!$C$7:$AR$400,17,0))=TRUE," ",(VLOOKUP(D55,'Base de Datos'!$C$7:$AR$400,17,0)))</f>
        <v/>
      </c>
      <c r="AW55" s="465">
        <f>IF(ISERROR(VLOOKUP(D55,'Base de Datos'!$C$7:$AR$400,18,0))=TRUE," ",(VLOOKUP(D55,'Base de Datos'!$C$7:$AR$400,18,0)))</f>
        <v>42627</v>
      </c>
      <c r="AX55" s="465">
        <f>IF(ISERROR(VLOOKUP(D55,'Base de Datos'!$C$7:$AR$400,19,0))=TRUE," ",(VLOOKUP(D55,'Base de Datos'!$C$7:$AR$400,19,0)))</f>
        <v>936000</v>
      </c>
      <c r="AY55" s="468">
        <f>IF(ISERROR(VLOOKUP(D55,'Base de Datos'!$C$7:$AR$400,21,0))=TRUE," ",(VLOOKUP(D55,'Base de Datos'!$C$7:$AR$400,21,0)))</f>
        <v>0</v>
      </c>
      <c r="AZ55" s="468" t="str">
        <f>IF(ISERROR(VLOOKUP(D55,'Base de Datos'!$C$7:$AR$400,22,0))=TRUE," ",(VLOOKUP(D55,'Base de Datos'!$C$7:$AR$400,22,0)))</f>
        <v>Un pago único</v>
      </c>
      <c r="BA55" s="475"/>
      <c r="BB55" s="485"/>
    </row>
    <row r="56" spans="2:54" ht="55.5" hidden="1" customHeight="1" x14ac:dyDescent="0.25">
      <c r="B56" s="438">
        <v>49</v>
      </c>
      <c r="C56" s="446" t="s">
        <v>1645</v>
      </c>
      <c r="D56" s="438">
        <v>145</v>
      </c>
      <c r="E56" s="446" t="s">
        <v>1656</v>
      </c>
      <c r="F56" s="447">
        <f>VLOOKUP(D56,'Presupuesto - PAA 2015'!$B$10:$E$265,4,0)</f>
        <v>764100</v>
      </c>
      <c r="G56" s="439" t="str">
        <f>VLOOKUP(D56,'[3]Seguimiento Plan'!$C$2:$R$101,16,0)</f>
        <v>Suscripción al diario La República para el Concejo de Bogotá.-</v>
      </c>
      <c r="H56" s="439" t="s">
        <v>1779</v>
      </c>
      <c r="I56" s="439" t="s">
        <v>1717</v>
      </c>
      <c r="J56" s="448" t="s">
        <v>908</v>
      </c>
      <c r="K56" s="449" t="s">
        <v>390</v>
      </c>
      <c r="L56" s="449" t="s">
        <v>390</v>
      </c>
      <c r="M56" s="450">
        <v>42123</v>
      </c>
      <c r="N56" s="449"/>
      <c r="O56" s="451"/>
      <c r="P56" s="451"/>
      <c r="Q56" s="451"/>
      <c r="R56" s="452"/>
      <c r="S56" s="452"/>
      <c r="T56" s="355" t="s">
        <v>1355</v>
      </c>
      <c r="U56" s="455" t="str">
        <f>IF(ISERROR(VLOOKUP(T56,'Base de Datos'!$E$7:$AR$302,3,0))=TRUE," ",(VLOOKUP(T56,'Base de Datos'!$E$7:$AR$302,2,0)))</f>
        <v>EDITORIAL EL GLOBO S.A</v>
      </c>
      <c r="V56" s="458">
        <f>IF(ISERROR(VLOOKUP(T56,'Base de Datos'!$E$7:$AR$302,5,0))=TRUE," ",(VLOOKUP(T56,'Base de Datos'!$E$7:$AR$302,5,0)))</f>
        <v>764100</v>
      </c>
      <c r="W56" s="455">
        <f>IF(ISERROR(VLOOKUP(T56,'Base de Datos'!$E$7:$AR$302,19,0))=TRUE," ",(VLOOKUP(T56,'Base de Datos'!$E$7:$AR$302,19,0)))</f>
        <v>0</v>
      </c>
      <c r="X56" s="460" t="str">
        <f>IF(ISERROR(VLOOKUP(T56,'Base de Datos'!$E$7:$AR$302,8,0))=TRUE," ",(VLOOKUP(T56,'Base de Datos'!$E$7:$AR$302,8,0)))</f>
        <v xml:space="preserve"> </v>
      </c>
      <c r="Y56" s="460">
        <f>IF(ISERROR(VLOOKUP(T56,'Base de Datos'!$E$7:$AR$302,9,0))=TRUE," ",(VLOOKUP(T56,'Base de Datos'!$E$7:$AR$302,9,0)))</f>
        <v>41970</v>
      </c>
      <c r="Z56" s="454">
        <f>IF(ISERROR(VLOOKUP(T56,'Base de Datos'!$E$7:$AR$302,10,0))=TRUE," ",(VLOOKUP(T56,'Base de Datos'!$E$7:$AR$302,10,0)))</f>
        <v>42335</v>
      </c>
      <c r="AA56" s="457">
        <f>IF(ISERROR(VLOOKUP(T56,'Base de Datos'!$E$7:$AR$302,11,0))=TRUE," ",(VLOOKUP(T56,'Base de Datos'!$E$7:$AR$302,11,0)))</f>
        <v>0</v>
      </c>
      <c r="AB56" s="454">
        <f>IF(ISERROR(VLOOKUP(T56,'Base de Datos'!$E$7:$AR$302,12,0))=TRUE," ",(VLOOKUP(T56,'Base de Datos'!$E$7:$AR$302,12,0)))</f>
        <v>0</v>
      </c>
      <c r="AC56" s="454">
        <f>IF(ISERROR(VLOOKUP(T56,'Base de Datos'!$E$7:$AR$302,12,0))=TRUE," ",(VLOOKUP(T56,'Base de Datos'!$E$7:$AR$302,12,0)))</f>
        <v>0</v>
      </c>
      <c r="AD56" s="460" t="str">
        <f>IF(ISERROR(VLOOKUP(T56,'Base de Datos'!$E$7:$AR$302,15,0))=TRUE," ",(VLOOKUP(T56,'Base de Datos'!$E$7:$AR$302,15,0)))</f>
        <v/>
      </c>
      <c r="AE56" s="465">
        <f>IF(ISERROR(VLOOKUP(T56,'Base de Datos'!$E$7:$AR$302,16,0))=TRUE," ",(VLOOKUP(T56,'Base de Datos'!$E$7:$AR$302,16,0)))</f>
        <v>42335</v>
      </c>
      <c r="AF56" s="465">
        <f>IF(ISERROR(VLOOKUP(T56,'Base de Datos'!$E$7:$AR$302,17,0))=TRUE," ",(VLOOKUP(T56,'Base de Datos'!$E$7:$AR$302,17,0)))</f>
        <v>764100</v>
      </c>
      <c r="AG56" s="465">
        <f>IF(ISERROR(VLOOKUP(T56,'Base de Datos'!$E$7:$AR$302,18,0))=TRUE," ",(VLOOKUP(T56,'Base de Datos'!$E$7:$AR$302,18,0)))</f>
        <v>764100</v>
      </c>
      <c r="AH56" s="466" t="str">
        <f>IF(ISERROR(VLOOKUP(T56,'Base de Datos'!$E$7:$AR$302,20,0))=TRUE," ",(VLOOKUP(T56,'Base de Datos'!$E$7:$AR$302,20,0)))</f>
        <v>Único</v>
      </c>
      <c r="AI56" s="466">
        <f>IF(ISERROR(VLOOKUP(T56,'Base de Datos'!$E$7:$AR$302,21,0))=TRUE," ",(VLOOKUP(T56,'Base de Datos'!$E$7:$AR$302,21,0)))</f>
        <v>1</v>
      </c>
      <c r="AJ56" s="455"/>
      <c r="AK56" s="455" t="str">
        <f>IF(ISERROR(VLOOKUP(D56,'Base de Datos'!$C$7:$AR$400,2,0))=TRUE," ",(VLOOKUP(D56,'Base de Datos'!$C$7:$AR$400,2,0)))</f>
        <v>2015145</v>
      </c>
      <c r="AL56" s="455" t="str">
        <f>IF(ISERROR(VLOOKUP(D56,'Base de Datos'!$C$7:$AR$400,3,0))=TRUE," ",(VLOOKUP(D56,'Base de Datos'!$C$7:$AR$400,3,0)))</f>
        <v>150363-0-2015</v>
      </c>
      <c r="AM56" s="458" t="str">
        <f>IF(ISERROR(VLOOKUP(D56,'Base de Datos'!$C$7:$AR$4014,6,0))=TRUE," ",(VLOOKUP(D56,'Base de Datos'!$C$7:$AR$400,6,0)))</f>
        <v>Suscripción al diario La República para el Concejo de Bogotá D.C.</v>
      </c>
      <c r="AN56" s="458">
        <f>IF(ISERROR(VLOOKUP(D56,'Base de Datos'!$C$7:$AR$400,20,0))=TRUE," ",(VLOOKUP(D56,'Base de Datos'!$C$7:$AR$400,19,0)))</f>
        <v>764100</v>
      </c>
      <c r="AO56" s="461">
        <f>IF(ISERROR(VLOOKUP(D56,'Base de Datos'!$C$7:$AR$400,9,0))=TRUE," ",(VLOOKUP(D56,'Base de Datos'!$C$7:$AR$400,9,0)))</f>
        <v>2015</v>
      </c>
      <c r="AP56" s="461">
        <f>IF(ISERROR(VLOOKUP(D56,'Base de Datos'!$C$7:$AR$400,10,0))=TRUE," ",(VLOOKUP(D56,'Base de Datos'!$C$7:$AR$400,10,0)))</f>
        <v>42272</v>
      </c>
      <c r="AQ56" s="463">
        <f>IF(ISERROR(VLOOKUP(D56,'Base de Datos'!$C$7:$AR$400,11,0))=TRUE," ",(VLOOKUP(D56,'Base de Datos'!$C$7:$AR$400,11,0)))</f>
        <v>42336</v>
      </c>
      <c r="AR56" s="464">
        <f>IF(ISERROR(VLOOKUP(D56,'Base de Datos'!$C$7:$AR$400,12,0))=TRUE," ",(VLOOKUP(D56,'Base de Datos'!$C$7:$AR$400,12,0)))</f>
        <v>42702</v>
      </c>
      <c r="AS56" s="463">
        <f>IF(ISERROR(VLOOKUP(D56,'Base de Datos'!$C$7:$AR$400,13,0))=TRUE," ",(VLOOKUP(D56,'Base de Datos'!$C$7:$AR$400,13,0)))</f>
        <v>0</v>
      </c>
      <c r="AT56" s="463">
        <f>IF(ISERROR(VLOOKUP(D56,'Base de Datos'!$C$7:$AR$400,14,0))=TRUE," ",(VLOOKUP(D56,'Base de Datos'!$C$7:$AR$400,14,0)))</f>
        <v>0</v>
      </c>
      <c r="AU56" s="461" t="str">
        <f>IF(ISERROR(VLOOKUP(D56,'Base de Datos'!$C$7:$AR$400,16,0))=TRUE," ",(VLOOKUP(D56,'Base de Datos'!$C$7:$AR$400,16,0)))</f>
        <v/>
      </c>
      <c r="AV56" s="465" t="str">
        <f>IF(ISERROR(VLOOKUP(D56,'Base de Datos'!$C$7:$AR$400,17,0))=TRUE," ",(VLOOKUP(D56,'Base de Datos'!$C$7:$AR$400,17,0)))</f>
        <v/>
      </c>
      <c r="AW56" s="465">
        <f>IF(ISERROR(VLOOKUP(D56,'Base de Datos'!$C$7:$AR$400,18,0))=TRUE," ",(VLOOKUP(D56,'Base de Datos'!$C$7:$AR$400,18,0)))</f>
        <v>42702</v>
      </c>
      <c r="AX56" s="465">
        <f>IF(ISERROR(VLOOKUP(D56,'Base de Datos'!$C$7:$AR$400,19,0))=TRUE," ",(VLOOKUP(D56,'Base de Datos'!$C$7:$AR$400,19,0)))</f>
        <v>764100</v>
      </c>
      <c r="AY56" s="468">
        <f>IF(ISERROR(VLOOKUP(D56,'Base de Datos'!$C$7:$AR$400,21,0))=TRUE," ",(VLOOKUP(D56,'Base de Datos'!$C$7:$AR$400,21,0)))</f>
        <v>0</v>
      </c>
      <c r="AZ56" s="468" t="str">
        <f>IF(ISERROR(VLOOKUP(D56,'Base de Datos'!$C$7:$AR$400,22,0))=TRUE," ",(VLOOKUP(D56,'Base de Datos'!$C$7:$AR$400,22,0)))</f>
        <v>Un único pago</v>
      </c>
      <c r="BA56" s="475"/>
      <c r="BB56" s="485"/>
    </row>
    <row r="57" spans="2:54" ht="55.5" hidden="1" customHeight="1" x14ac:dyDescent="0.25">
      <c r="B57" s="438">
        <v>50</v>
      </c>
      <c r="C57" s="446" t="s">
        <v>1645</v>
      </c>
      <c r="D57" s="438">
        <v>146</v>
      </c>
      <c r="E57" s="446" t="s">
        <v>1656</v>
      </c>
      <c r="F57" s="447">
        <f>VLOOKUP(D57,'Presupuesto - PAA 2015'!$B$10:$E$265,4,0)</f>
        <v>825000</v>
      </c>
      <c r="G57" s="439" t="str">
        <f>VLOOKUP(D57,'[3]Seguimiento Plan'!$C$2:$R$101,16,0)</f>
        <v>Suscripción a la Revista Semana para el Concejo de Bogotá</v>
      </c>
      <c r="H57" s="439" t="s">
        <v>1779</v>
      </c>
      <c r="I57" s="439" t="s">
        <v>1717</v>
      </c>
      <c r="J57" s="448" t="s">
        <v>908</v>
      </c>
      <c r="K57" s="449"/>
      <c r="L57" s="449" t="s">
        <v>390</v>
      </c>
      <c r="M57" s="450"/>
      <c r="N57" s="449"/>
      <c r="O57" s="451"/>
      <c r="P57" s="451"/>
      <c r="Q57" s="451"/>
      <c r="R57" s="452"/>
      <c r="S57" s="452"/>
      <c r="T57" s="349" t="s">
        <v>1156</v>
      </c>
      <c r="U57" s="455" t="str">
        <f>IF(ISERROR(VLOOKUP(T57,'Base de Datos'!$E$7:$AR$302,3,0))=TRUE," ",(VLOOKUP(T57,'Base de Datos'!$E$7:$AR$302,2,0)))</f>
        <v>PUBLICACIONES SEMANA S.A.</v>
      </c>
      <c r="V57" s="458">
        <f>IF(ISERROR(VLOOKUP(T57,'Base de Datos'!$E$7:$AR$302,5,0))=TRUE," ",(VLOOKUP(T57,'Base de Datos'!$E$7:$AR$302,5,0)))</f>
        <v>807000</v>
      </c>
      <c r="W57" s="455">
        <f>IF(ISERROR(VLOOKUP(T57,'Base de Datos'!$E$7:$AR$302,19,0))=TRUE," ",(VLOOKUP(T57,'Base de Datos'!$E$7:$AR$302,19,0)))</f>
        <v>0</v>
      </c>
      <c r="X57" s="460" t="str">
        <f>IF(ISERROR(VLOOKUP(T57,'Base de Datos'!$E$7:$AR$302,8,0))=TRUE," ",(VLOOKUP(T57,'Base de Datos'!$E$7:$AR$302,8,0)))</f>
        <v xml:space="preserve"> </v>
      </c>
      <c r="Y57" s="460">
        <f>IF(ISERROR(VLOOKUP(T57,'Base de Datos'!$E$7:$AR$302,9,0))=TRUE," ",(VLOOKUP(T57,'Base de Datos'!$E$7:$AR$302,9,0)))</f>
        <v>41912</v>
      </c>
      <c r="Z57" s="454">
        <f>IF(ISERROR(VLOOKUP(T57,'Base de Datos'!$E$7:$AR$302,10,0))=TRUE," ",(VLOOKUP(T57,'Base de Datos'!$E$7:$AR$302,10,0)))</f>
        <v>42277</v>
      </c>
      <c r="AA57" s="457">
        <f>IF(ISERROR(VLOOKUP(T57,'Base de Datos'!$E$7:$AR$302,11,0))=TRUE," ",(VLOOKUP(T57,'Base de Datos'!$E$7:$AR$302,11,0)))</f>
        <v>0</v>
      </c>
      <c r="AB57" s="454">
        <f>IF(ISERROR(VLOOKUP(T57,'Base de Datos'!$E$7:$AR$302,12,0))=TRUE," ",(VLOOKUP(T57,'Base de Datos'!$E$7:$AR$302,12,0)))</f>
        <v>0</v>
      </c>
      <c r="AC57" s="454">
        <f>IF(ISERROR(VLOOKUP(T57,'Base de Datos'!$E$7:$AR$302,12,0))=TRUE," ",(VLOOKUP(T57,'Base de Datos'!$E$7:$AR$302,12,0)))</f>
        <v>0</v>
      </c>
      <c r="AD57" s="460" t="str">
        <f>IF(ISERROR(VLOOKUP(T57,'Base de Datos'!$E$7:$AR$302,15,0))=TRUE," ",(VLOOKUP(T57,'Base de Datos'!$E$7:$AR$302,15,0)))</f>
        <v/>
      </c>
      <c r="AE57" s="465">
        <f>IF(ISERROR(VLOOKUP(T57,'Base de Datos'!$E$7:$AR$302,16,0))=TRUE," ",(VLOOKUP(T57,'Base de Datos'!$E$7:$AR$302,16,0)))</f>
        <v>42277</v>
      </c>
      <c r="AF57" s="465">
        <f>IF(ISERROR(VLOOKUP(T57,'Base de Datos'!$E$7:$AR$302,17,0))=TRUE," ",(VLOOKUP(T57,'Base de Datos'!$E$7:$AR$302,17,0)))</f>
        <v>807000</v>
      </c>
      <c r="AG57" s="465">
        <f>IF(ISERROR(VLOOKUP(T57,'Base de Datos'!$E$7:$AR$302,18,0))=TRUE," ",(VLOOKUP(T57,'Base de Datos'!$E$7:$AR$302,18,0)))</f>
        <v>807000</v>
      </c>
      <c r="AH57" s="466"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6">
        <f>IF(ISERROR(VLOOKUP(T57,'Base de Datos'!$E$7:$AR$302,21,0))=TRUE," ",(VLOOKUP(T57,'Base de Datos'!$E$7:$AR$302,21,0)))</f>
        <v>1</v>
      </c>
      <c r="AJ57" s="455"/>
      <c r="AK57" s="455" t="str">
        <f>IF(ISERROR(VLOOKUP(D57,'Base de Datos'!$C$7:$AR$400,2,0))=TRUE," ",(VLOOKUP(D57,'Base de Datos'!$C$7:$AR$400,2,0)))</f>
        <v>2015146</v>
      </c>
      <c r="AL57" s="455" t="str">
        <f>IF(ISERROR(VLOOKUP(D57,'Base de Datos'!$C$7:$AR$400,3,0))=TRUE," ",(VLOOKUP(D57,'Base de Datos'!$C$7:$AR$400,3,0)))</f>
        <v>150342-0-2015</v>
      </c>
      <c r="AM57" s="458" t="str">
        <f>IF(ISERROR(VLOOKUP(D57,'Base de Datos'!$C$7:$AR$4014,6,0))=TRUE," ",(VLOOKUP(D57,'Base de Datos'!$C$7:$AR$400,6,0)))</f>
        <v>Suscripción  a LA REVISTA SEMANA, para el Concejo de Bogotá D.C.</v>
      </c>
      <c r="AN57" s="458">
        <f>IF(ISERROR(VLOOKUP(D57,'Base de Datos'!$C$7:$AR$400,20,0))=TRUE," ",(VLOOKUP(D57,'Base de Datos'!$C$7:$AR$400,19,0)))</f>
        <v>825000</v>
      </c>
      <c r="AO57" s="461">
        <f>IF(ISERROR(VLOOKUP(D57,'Base de Datos'!$C$7:$AR$400,9,0))=TRUE," ",(VLOOKUP(D57,'Base de Datos'!$C$7:$AR$400,9,0)))</f>
        <v>2015</v>
      </c>
      <c r="AP57" s="461">
        <f>IF(ISERROR(VLOOKUP(D57,'Base de Datos'!$C$7:$AR$400,10,0))=TRUE," ",(VLOOKUP(D57,'Base de Datos'!$C$7:$AR$400,10,0)))</f>
        <v>42237</v>
      </c>
      <c r="AQ57" s="463">
        <f>IF(ISERROR(VLOOKUP(D57,'Base de Datos'!$C$7:$AR$400,11,0))=TRUE," ",(VLOOKUP(D57,'Base de Datos'!$C$7:$AR$400,11,0)))</f>
        <v>42278</v>
      </c>
      <c r="AR57" s="464">
        <f>IF(ISERROR(VLOOKUP(D57,'Base de Datos'!$C$7:$AR$400,12,0))=TRUE," ",(VLOOKUP(D57,'Base de Datos'!$C$7:$AR$400,12,0)))</f>
        <v>42644</v>
      </c>
      <c r="AS57" s="463">
        <f>IF(ISERROR(VLOOKUP(D57,'Base de Datos'!$C$7:$AR$400,13,0))=TRUE," ",(VLOOKUP(D57,'Base de Datos'!$C$7:$AR$400,13,0)))</f>
        <v>0</v>
      </c>
      <c r="AT57" s="463">
        <f>IF(ISERROR(VLOOKUP(D57,'Base de Datos'!$C$7:$AR$400,14,0))=TRUE," ",(VLOOKUP(D57,'Base de Datos'!$C$7:$AR$400,14,0)))</f>
        <v>0</v>
      </c>
      <c r="AU57" s="461" t="str">
        <f>IF(ISERROR(VLOOKUP(D57,'Base de Datos'!$C$7:$AR$400,16,0))=TRUE," ",(VLOOKUP(D57,'Base de Datos'!$C$7:$AR$400,16,0)))</f>
        <v/>
      </c>
      <c r="AV57" s="465" t="str">
        <f>IF(ISERROR(VLOOKUP(D57,'Base de Datos'!$C$7:$AR$400,17,0))=TRUE," ",(VLOOKUP(D57,'Base de Datos'!$C$7:$AR$400,17,0)))</f>
        <v/>
      </c>
      <c r="AW57" s="465">
        <f>IF(ISERROR(VLOOKUP(D57,'Base de Datos'!$C$7:$AR$400,18,0))=TRUE," ",(VLOOKUP(D57,'Base de Datos'!$C$7:$AR$400,18,0)))</f>
        <v>42644</v>
      </c>
      <c r="AX57" s="465">
        <f>IF(ISERROR(VLOOKUP(D57,'Base de Datos'!$C$7:$AR$400,19,0))=TRUE," ",(VLOOKUP(D57,'Base de Datos'!$C$7:$AR$400,19,0)))</f>
        <v>825000</v>
      </c>
      <c r="AY57" s="468">
        <f>IF(ISERROR(VLOOKUP(D57,'Base de Datos'!$C$7:$AR$400,21,0))=TRUE," ",(VLOOKUP(D57,'Base de Datos'!$C$7:$AR$400,21,0)))</f>
        <v>0</v>
      </c>
      <c r="AZ57" s="468" t="str">
        <f>IF(ISERROR(VLOOKUP(D57,'Base de Datos'!$C$7:$AR$400,22,0))=TRUE," ",(VLOOKUP(D57,'Base de Datos'!$C$7:$AR$400,22,0)))</f>
        <v>Un pago único</v>
      </c>
      <c r="BA57" s="475"/>
      <c r="BB57" s="485"/>
    </row>
    <row r="58" spans="2:54" ht="55.5" hidden="1" customHeight="1" x14ac:dyDescent="0.25">
      <c r="B58" s="438">
        <v>51</v>
      </c>
      <c r="C58" s="446" t="s">
        <v>1645</v>
      </c>
      <c r="D58" s="438">
        <v>147</v>
      </c>
      <c r="E58" s="446" t="s">
        <v>1656</v>
      </c>
      <c r="F58" s="447">
        <f>VLOOKUP(D58,'Presupuesto - PAA 2015'!$B$10:$E$265,4,0)</f>
        <v>0</v>
      </c>
      <c r="G58" s="439" t="str">
        <f>VLOOKUP(D58,'[3]Seguimiento Plan'!$C$2:$R$101,16,0)</f>
        <v>Suscripción al diario Periódico de Bogotá para el Concejo de Bogotá</v>
      </c>
      <c r="H58" s="439" t="s">
        <v>1779</v>
      </c>
      <c r="I58" s="439" t="s">
        <v>1717</v>
      </c>
      <c r="J58" s="448" t="s">
        <v>908</v>
      </c>
      <c r="K58" s="449"/>
      <c r="L58" s="449" t="s">
        <v>590</v>
      </c>
      <c r="M58" s="450"/>
      <c r="N58" s="449"/>
      <c r="O58" s="451"/>
      <c r="P58" s="451"/>
      <c r="Q58" s="451"/>
      <c r="R58" s="452"/>
      <c r="S58" s="452"/>
      <c r="T58" s="348" t="s">
        <v>1330</v>
      </c>
      <c r="U58" s="455" t="str">
        <f>IF(ISERROR(VLOOKUP(T58,'Base de Datos'!$E$7:$AR$302,3,0))=TRUE," ",(VLOOKUP(T58,'Base de Datos'!$E$7:$AR$302,2,0)))</f>
        <v>GRUPO EDITORIAL EL PERIÓDICO S.A.S</v>
      </c>
      <c r="V58" s="458">
        <f>IF(ISERROR(VLOOKUP(T58,'Base de Datos'!$E$7:$AR$302,5,0))=TRUE," ",(VLOOKUP(T58,'Base de Datos'!$E$7:$AR$302,5,0)))</f>
        <v>810000</v>
      </c>
      <c r="W58" s="455">
        <f>IF(ISERROR(VLOOKUP(T58,'Base de Datos'!$E$7:$AR$302,19,0))=TRUE," ",(VLOOKUP(T58,'Base de Datos'!$E$7:$AR$302,19,0)))</f>
        <v>0</v>
      </c>
      <c r="X58" s="460" t="str">
        <f>IF(ISERROR(VLOOKUP(T58,'Base de Datos'!$E$7:$AR$302,8,0))=TRUE," ",(VLOOKUP(T58,'Base de Datos'!$E$7:$AR$302,8,0)))</f>
        <v xml:space="preserve"> </v>
      </c>
      <c r="Y58" s="460">
        <f>IF(ISERROR(VLOOKUP(T58,'Base de Datos'!$E$7:$AR$302,9,0))=TRUE," ",(VLOOKUP(T58,'Base de Datos'!$E$7:$AR$302,9,0)))</f>
        <v>41940</v>
      </c>
      <c r="Z58" s="454">
        <f>IF(ISERROR(VLOOKUP(T58,'Base de Datos'!$E$7:$AR$302,10,0))=TRUE," ",(VLOOKUP(T58,'Base de Datos'!$E$7:$AR$302,10,0)))</f>
        <v>42305</v>
      </c>
      <c r="AA58" s="457">
        <f>IF(ISERROR(VLOOKUP(T58,'Base de Datos'!$E$7:$AR$302,11,0))=TRUE," ",(VLOOKUP(T58,'Base de Datos'!$E$7:$AR$302,11,0)))</f>
        <v>0</v>
      </c>
      <c r="AB58" s="454">
        <f>IF(ISERROR(VLOOKUP(T58,'Base de Datos'!$E$7:$AR$302,12,0))=TRUE," ",(VLOOKUP(T58,'Base de Datos'!$E$7:$AR$302,12,0)))</f>
        <v>0</v>
      </c>
      <c r="AC58" s="454">
        <f>IF(ISERROR(VLOOKUP(T58,'Base de Datos'!$E$7:$AR$302,12,0))=TRUE," ",(VLOOKUP(T58,'Base de Datos'!$E$7:$AR$302,12,0)))</f>
        <v>0</v>
      </c>
      <c r="AD58" s="460" t="str">
        <f>IF(ISERROR(VLOOKUP(T58,'Base de Datos'!$E$7:$AR$302,15,0))=TRUE," ",(VLOOKUP(T58,'Base de Datos'!$E$7:$AR$302,15,0)))</f>
        <v/>
      </c>
      <c r="AE58" s="465">
        <f>IF(ISERROR(VLOOKUP(T58,'Base de Datos'!$E$7:$AR$302,16,0))=TRUE," ",(VLOOKUP(T58,'Base de Datos'!$E$7:$AR$302,16,0)))</f>
        <v>42305</v>
      </c>
      <c r="AF58" s="465">
        <f>IF(ISERROR(VLOOKUP(T58,'Base de Datos'!$E$7:$AR$302,17,0))=TRUE," ",(VLOOKUP(T58,'Base de Datos'!$E$7:$AR$302,17,0)))</f>
        <v>810000</v>
      </c>
      <c r="AG58" s="465">
        <f>IF(ISERROR(VLOOKUP(T58,'Base de Datos'!$E$7:$AR$302,18,0))=TRUE," ",(VLOOKUP(T58,'Base de Datos'!$E$7:$AR$302,18,0)))</f>
        <v>810000</v>
      </c>
      <c r="AH58" s="466">
        <f>IF(ISERROR(VLOOKUP(T58,'Base de Datos'!$E$7:$AR$302,20,0))=TRUE," ",(VLOOKUP(T58,'Base de Datos'!$E$7:$AR$302,20,0)))</f>
        <v>0</v>
      </c>
      <c r="AI58" s="466">
        <f>IF(ISERROR(VLOOKUP(T58,'Base de Datos'!$E$7:$AR$302,21,0))=TRUE," ",(VLOOKUP(T58,'Base de Datos'!$E$7:$AR$302,21,0)))</f>
        <v>1</v>
      </c>
      <c r="AJ58" s="455"/>
      <c r="AK58" s="455" t="str">
        <f>IF(ISERROR(VLOOKUP(D58,'Base de Datos'!$C$7:$AR$400,2,0))=TRUE," ",(VLOOKUP(D58,'Base de Datos'!$C$7:$AR$400,2,0)))</f>
        <v xml:space="preserve"> </v>
      </c>
      <c r="AL58" s="455" t="str">
        <f>IF(ISERROR(VLOOKUP(D58,'Base de Datos'!$C$7:$AR$400,3,0))=TRUE," ",(VLOOKUP(D58,'Base de Datos'!$C$7:$AR$400,3,0)))</f>
        <v xml:space="preserve"> </v>
      </c>
      <c r="AM58" s="458" t="e">
        <f>IF(ISERROR(VLOOKUP(D58,'Base de Datos'!$C$7:$AR$4014,6,0))=TRUE," ",(VLOOKUP(D58,'Base de Datos'!$C$7:$AR$400,6,0)))</f>
        <v>#N/A</v>
      </c>
      <c r="AN58" s="458" t="str">
        <f>IF(ISERROR(VLOOKUP(D58,'Base de Datos'!$C$7:$AR$400,20,0))=TRUE," ",(VLOOKUP(D58,'Base de Datos'!$C$7:$AR$400,19,0)))</f>
        <v xml:space="preserve"> </v>
      </c>
      <c r="AO58" s="461" t="str">
        <f>IF(ISERROR(VLOOKUP(D58,'Base de Datos'!$C$7:$AR$400,9,0))=TRUE," ",(VLOOKUP(D58,'Base de Datos'!$C$7:$AR$400,9,0)))</f>
        <v xml:space="preserve"> </v>
      </c>
      <c r="AP58" s="461" t="str">
        <f>IF(ISERROR(VLOOKUP(D58,'Base de Datos'!$C$7:$AR$400,10,0))=TRUE," ",(VLOOKUP(D58,'Base de Datos'!$C$7:$AR$400,10,0)))</f>
        <v xml:space="preserve"> </v>
      </c>
      <c r="AQ58" s="463" t="str">
        <f>IF(ISERROR(VLOOKUP(D58,'Base de Datos'!$C$7:$AR$400,11,0))=TRUE," ",(VLOOKUP(D58,'Base de Datos'!$C$7:$AR$400,11,0)))</f>
        <v xml:space="preserve"> </v>
      </c>
      <c r="AR58" s="464" t="str">
        <f>IF(ISERROR(VLOOKUP(D58,'Base de Datos'!$C$7:$AR$400,12,0))=TRUE," ",(VLOOKUP(D58,'Base de Datos'!$C$7:$AR$400,12,0)))</f>
        <v xml:space="preserve"> </v>
      </c>
      <c r="AS58" s="463" t="str">
        <f>IF(ISERROR(VLOOKUP(D58,'Base de Datos'!$C$7:$AR$400,13,0))=TRUE," ",(VLOOKUP(D58,'Base de Datos'!$C$7:$AR$400,13,0)))</f>
        <v xml:space="preserve"> </v>
      </c>
      <c r="AT58" s="463" t="str">
        <f>IF(ISERROR(VLOOKUP(D58,'Base de Datos'!$C$7:$AR$400,14,0))=TRUE," ",(VLOOKUP(D58,'Base de Datos'!$C$7:$AR$400,14,0)))</f>
        <v xml:space="preserve"> </v>
      </c>
      <c r="AU58" s="461" t="str">
        <f>IF(ISERROR(VLOOKUP(D58,'Base de Datos'!$C$7:$AR$400,16,0))=TRUE," ",(VLOOKUP(D58,'Base de Datos'!$C$7:$AR$400,16,0)))</f>
        <v xml:space="preserve"> </v>
      </c>
      <c r="AV58" s="465" t="str">
        <f>IF(ISERROR(VLOOKUP(D58,'Base de Datos'!$C$7:$AR$400,17,0))=TRUE," ",(VLOOKUP(D58,'Base de Datos'!$C$7:$AR$400,17,0)))</f>
        <v xml:space="preserve"> </v>
      </c>
      <c r="AW58" s="465" t="str">
        <f>IF(ISERROR(VLOOKUP(D58,'Base de Datos'!$C$7:$AR$400,18,0))=TRUE," ",(VLOOKUP(D58,'Base de Datos'!$C$7:$AR$400,18,0)))</f>
        <v xml:space="preserve"> </v>
      </c>
      <c r="AX58" s="465" t="str">
        <f>IF(ISERROR(VLOOKUP(D58,'Base de Datos'!$C$7:$AR$400,19,0))=TRUE," ",(VLOOKUP(D58,'Base de Datos'!$C$7:$AR$400,19,0)))</f>
        <v xml:space="preserve"> </v>
      </c>
      <c r="AY58" s="468" t="str">
        <f>IF(ISERROR(VLOOKUP(D58,'Base de Datos'!$C$7:$AR$400,21,0))=TRUE," ",(VLOOKUP(D58,'Base de Datos'!$C$7:$AR$400,21,0)))</f>
        <v xml:space="preserve"> </v>
      </c>
      <c r="AZ58" s="468" t="str">
        <f>IF(ISERROR(VLOOKUP(D58,'Base de Datos'!$C$7:$AR$400,22,0))=TRUE," ",(VLOOKUP(D58,'Base de Datos'!$C$7:$AR$400,22,0)))</f>
        <v xml:space="preserve"> </v>
      </c>
      <c r="BA58" s="475"/>
      <c r="BB58" s="485"/>
    </row>
    <row r="59" spans="2:54" ht="55.5" hidden="1" customHeight="1" x14ac:dyDescent="0.25">
      <c r="B59" s="438">
        <v>52</v>
      </c>
      <c r="C59" s="446" t="s">
        <v>1645</v>
      </c>
      <c r="D59" s="438">
        <v>148</v>
      </c>
      <c r="E59" s="446" t="s">
        <v>1656</v>
      </c>
      <c r="F59" s="447">
        <f>VLOOKUP(D59,'Presupuesto - PAA 2015'!$B$10:$E$265,4,0)</f>
        <v>880500</v>
      </c>
      <c r="G59" s="439" t="str">
        <f>VLOOKUP(D59,'[3]Seguimiento Plan'!$C$2:$R$101,16,0)</f>
        <v>Suscripción al diario El Nuevo Siglo para el Concejo de Bogotá</v>
      </c>
      <c r="H59" s="439" t="s">
        <v>1779</v>
      </c>
      <c r="I59" s="439" t="s">
        <v>1717</v>
      </c>
      <c r="J59" s="448" t="s">
        <v>908</v>
      </c>
      <c r="K59" s="449" t="s">
        <v>390</v>
      </c>
      <c r="L59" s="449" t="s">
        <v>390</v>
      </c>
      <c r="M59" s="450">
        <v>42123</v>
      </c>
      <c r="N59" s="449"/>
      <c r="O59" s="451"/>
      <c r="P59" s="451"/>
      <c r="Q59" s="451"/>
      <c r="R59" s="452"/>
      <c r="S59" s="452"/>
      <c r="T59" s="348" t="s">
        <v>551</v>
      </c>
      <c r="U59" s="455" t="str">
        <f>IF(ISERROR(VLOOKUP(T59,'Base de Datos'!$E$7:$AR$302,3,0))=TRUE," ",(VLOOKUP(T59,'Base de Datos'!$E$7:$AR$302,2,0)))</f>
        <v>EDITORIAL LA UNIDAD</v>
      </c>
      <c r="V59" s="458">
        <f>IF(ISERROR(VLOOKUP(T59,'Base de Datos'!$E$7:$AR$302,5,0))=TRUE," ",(VLOOKUP(T59,'Base de Datos'!$E$7:$AR$302,5,0)))</f>
        <v>855000</v>
      </c>
      <c r="W59" s="455">
        <f>IF(ISERROR(VLOOKUP(T59,'Base de Datos'!$E$7:$AR$302,19,0))=TRUE," ",(VLOOKUP(T59,'Base de Datos'!$E$7:$AR$302,19,0)))</f>
        <v>0</v>
      </c>
      <c r="X59" s="460" t="str">
        <f>IF(ISERROR(VLOOKUP(T59,'Base de Datos'!$E$7:$AR$302,8,0))=TRUE," ",(VLOOKUP(T59,'Base de Datos'!$E$7:$AR$302,8,0)))</f>
        <v xml:space="preserve"> </v>
      </c>
      <c r="Y59" s="460">
        <f>IF(ISERROR(VLOOKUP(T59,'Base de Datos'!$E$7:$AR$302,9,0))=TRUE," ",(VLOOKUP(T59,'Base de Datos'!$E$7:$AR$302,9,0)))</f>
        <v>41896</v>
      </c>
      <c r="Z59" s="454">
        <f>IF(ISERROR(VLOOKUP(T59,'Base de Datos'!$E$7:$AR$302,10,0))=TRUE," ",(VLOOKUP(T59,'Base de Datos'!$E$7:$AR$302,10,0)))</f>
        <v>42261</v>
      </c>
      <c r="AA59" s="457">
        <f>IF(ISERROR(VLOOKUP(T59,'Base de Datos'!$E$7:$AR$302,11,0))=TRUE," ",(VLOOKUP(T59,'Base de Datos'!$E$7:$AR$302,11,0)))</f>
        <v>0</v>
      </c>
      <c r="AB59" s="454">
        <f>IF(ISERROR(VLOOKUP(T59,'Base de Datos'!$E$7:$AR$302,12,0))=TRUE," ",(VLOOKUP(T59,'Base de Datos'!$E$7:$AR$302,12,0)))</f>
        <v>0</v>
      </c>
      <c r="AC59" s="454">
        <f>IF(ISERROR(VLOOKUP(T59,'Base de Datos'!$E$7:$AR$302,12,0))=TRUE," ",(VLOOKUP(T59,'Base de Datos'!$E$7:$AR$302,12,0)))</f>
        <v>0</v>
      </c>
      <c r="AD59" s="460" t="str">
        <f>IF(ISERROR(VLOOKUP(T59,'Base de Datos'!$E$7:$AR$302,15,0))=TRUE," ",(VLOOKUP(T59,'Base de Datos'!$E$7:$AR$302,15,0)))</f>
        <v/>
      </c>
      <c r="AE59" s="465">
        <f>IF(ISERROR(VLOOKUP(T59,'Base de Datos'!$E$7:$AR$302,16,0))=TRUE," ",(VLOOKUP(T59,'Base de Datos'!$E$7:$AR$302,16,0)))</f>
        <v>42261</v>
      </c>
      <c r="AF59" s="465">
        <f>IF(ISERROR(VLOOKUP(T59,'Base de Datos'!$E$7:$AR$302,17,0))=TRUE," ",(VLOOKUP(T59,'Base de Datos'!$E$7:$AR$302,17,0)))</f>
        <v>855000</v>
      </c>
      <c r="AG59" s="465">
        <f>IF(ISERROR(VLOOKUP(T59,'Base de Datos'!$E$7:$AR$302,18,0))=TRUE," ",(VLOOKUP(T59,'Base de Datos'!$E$7:$AR$302,18,0)))</f>
        <v>855000</v>
      </c>
      <c r="AH59" s="466"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6">
        <f>IF(ISERROR(VLOOKUP(T59,'Base de Datos'!$E$7:$AR$302,21,0))=TRUE," ",(VLOOKUP(T59,'Base de Datos'!$E$7:$AR$302,21,0)))</f>
        <v>1</v>
      </c>
      <c r="AJ59" s="455"/>
      <c r="AK59" s="455" t="str">
        <f>IF(ISERROR(VLOOKUP(D59,'Base de Datos'!$C$7:$AR$400,2,0))=TRUE," ",(VLOOKUP(D59,'Base de Datos'!$C$7:$AR$400,2,0)))</f>
        <v>2015148</v>
      </c>
      <c r="AL59" s="455" t="str">
        <f>IF(ISERROR(VLOOKUP(D59,'Base de Datos'!$C$7:$AR$400,3,0))=TRUE," ",(VLOOKUP(D59,'Base de Datos'!$C$7:$AR$400,3,0)))</f>
        <v>150338-0-2015</v>
      </c>
      <c r="AM59" s="458" t="str">
        <f>IF(ISERROR(VLOOKUP(D59,'Base de Datos'!$C$7:$AR$4014,6,0))=TRUE," ",(VLOOKUP(D59,'Base de Datos'!$C$7:$AR$400,6,0)))</f>
        <v>Suscripción al diario El Nuevo Siglo, para el Concejo de Bogotá D.C.</v>
      </c>
      <c r="AN59" s="458">
        <f>IF(ISERROR(VLOOKUP(D59,'Base de Datos'!$C$7:$AR$400,20,0))=TRUE," ",(VLOOKUP(D59,'Base de Datos'!$C$7:$AR$400,19,0)))</f>
        <v>880500</v>
      </c>
      <c r="AO59" s="461">
        <f>IF(ISERROR(VLOOKUP(D59,'Base de Datos'!$C$7:$AR$400,9,0))=TRUE," ",(VLOOKUP(D59,'Base de Datos'!$C$7:$AR$400,9,0)))</f>
        <v>2015</v>
      </c>
      <c r="AP59" s="461">
        <f>IF(ISERROR(VLOOKUP(D59,'Base de Datos'!$C$7:$AR$400,10,0))=TRUE," ",(VLOOKUP(D59,'Base de Datos'!$C$7:$AR$400,10,0)))</f>
        <v>42230</v>
      </c>
      <c r="AQ59" s="463">
        <f>IF(ISERROR(VLOOKUP(D59,'Base de Datos'!$C$7:$AR$400,11,0))=TRUE," ",(VLOOKUP(D59,'Base de Datos'!$C$7:$AR$400,11,0)))</f>
        <v>42262</v>
      </c>
      <c r="AR59" s="464">
        <f>IF(ISERROR(VLOOKUP(D59,'Base de Datos'!$C$7:$AR$400,12,0))=TRUE," ",(VLOOKUP(D59,'Base de Datos'!$C$7:$AR$400,12,0)))</f>
        <v>42628</v>
      </c>
      <c r="AS59" s="463">
        <f>IF(ISERROR(VLOOKUP(D59,'Base de Datos'!$C$7:$AR$400,13,0))=TRUE," ",(VLOOKUP(D59,'Base de Datos'!$C$7:$AR$400,13,0)))</f>
        <v>0</v>
      </c>
      <c r="AT59" s="463">
        <f>IF(ISERROR(VLOOKUP(D59,'Base de Datos'!$C$7:$AR$400,14,0))=TRUE," ",(VLOOKUP(D59,'Base de Datos'!$C$7:$AR$400,14,0)))</f>
        <v>0</v>
      </c>
      <c r="AU59" s="461" t="str">
        <f>IF(ISERROR(VLOOKUP(D59,'Base de Datos'!$C$7:$AR$400,16,0))=TRUE," ",(VLOOKUP(D59,'Base de Datos'!$C$7:$AR$400,16,0)))</f>
        <v/>
      </c>
      <c r="AV59" s="465" t="str">
        <f>IF(ISERROR(VLOOKUP(D59,'Base de Datos'!$C$7:$AR$400,17,0))=TRUE," ",(VLOOKUP(D59,'Base de Datos'!$C$7:$AR$400,17,0)))</f>
        <v/>
      </c>
      <c r="AW59" s="465">
        <f>IF(ISERROR(VLOOKUP(D59,'Base de Datos'!$C$7:$AR$400,18,0))=TRUE," ",(VLOOKUP(D59,'Base de Datos'!$C$7:$AR$400,18,0)))</f>
        <v>42628</v>
      </c>
      <c r="AX59" s="465">
        <f>IF(ISERROR(VLOOKUP(D59,'Base de Datos'!$C$7:$AR$400,19,0))=TRUE," ",(VLOOKUP(D59,'Base de Datos'!$C$7:$AR$400,19,0)))</f>
        <v>880500</v>
      </c>
      <c r="AY59" s="468">
        <f>IF(ISERROR(VLOOKUP(D59,'Base de Datos'!$C$7:$AR$400,21,0))=TRUE," ",(VLOOKUP(D59,'Base de Datos'!$C$7:$AR$400,21,0)))</f>
        <v>0</v>
      </c>
      <c r="AZ59" s="468" t="str">
        <f>IF(ISERROR(VLOOKUP(D59,'Base de Datos'!$C$7:$AR$400,22,0))=TRUE," ",(VLOOKUP(D59,'Base de Datos'!$C$7:$AR$400,22,0)))</f>
        <v>Un pago único</v>
      </c>
      <c r="BA59" s="475"/>
      <c r="BB59" s="485"/>
    </row>
    <row r="60" spans="2:54" ht="55.5" hidden="1" customHeight="1" x14ac:dyDescent="0.25">
      <c r="B60" s="438">
        <v>53</v>
      </c>
      <c r="C60" s="446" t="s">
        <v>1645</v>
      </c>
      <c r="D60" s="438">
        <v>170</v>
      </c>
      <c r="E60" s="446" t="s">
        <v>1656</v>
      </c>
      <c r="F60" s="447">
        <f>VLOOKUP(D60,'Presupuesto - PAA 2015'!$B$10:$E$265,4,0)</f>
        <v>30552000</v>
      </c>
      <c r="G60" s="439" t="str">
        <f>VLOOKUP(D60,'[3]Seguimiento Plan'!$C$2:$R$101,16,0)</f>
        <v>Prestar el servicio Integral de fotocopiado y servicios afines para la Secretaría Distrital de Hacienda y del Concejo de Bogotá</v>
      </c>
      <c r="H60" s="439" t="s">
        <v>1779</v>
      </c>
      <c r="I60" s="439" t="s">
        <v>1713</v>
      </c>
      <c r="J60" s="448" t="s">
        <v>1737</v>
      </c>
      <c r="K60" s="449" t="s">
        <v>390</v>
      </c>
      <c r="L60" s="449" t="str">
        <f>VLOOKUP(D60,'[3]Seguimiento Plan'!$C$2:$AJ$101,30,0)</f>
        <v>SI</v>
      </c>
      <c r="M60" s="450">
        <f>VLOOKUP(D60,'[3]Seguimiento Plan'!$C$2:$AJ$101,31,0)</f>
        <v>42025</v>
      </c>
      <c r="N60" s="449"/>
      <c r="O60" s="451"/>
      <c r="P60" s="451"/>
      <c r="Q60" s="451"/>
      <c r="R60" s="452"/>
      <c r="S60" s="470" t="s">
        <v>1749</v>
      </c>
      <c r="T60" s="347" t="s">
        <v>294</v>
      </c>
      <c r="U60" s="455" t="str">
        <f>IF(ISERROR(VLOOKUP(T60,'Base de Datos'!$E$7:$AR$302,3,0))=TRUE," ",(VLOOKUP(T60,'Base de Datos'!$E$7:$AR$302,2,0)))</f>
        <v>T Y G MINOLTA</v>
      </c>
      <c r="V60" s="458">
        <f>IF(ISERROR(VLOOKUP(T60,'Base de Datos'!$E$7:$AR$302,5,0))=TRUE," ",(VLOOKUP(T60,'Base de Datos'!$E$7:$AR$302,5,0)))</f>
        <v>36581760</v>
      </c>
      <c r="W60" s="455">
        <f>IF(ISERROR(VLOOKUP(T60,'Base de Datos'!$E$7:$AR$302,19,0))=TRUE," ",(VLOOKUP(T60,'Base de Datos'!$E$7:$AR$302,19,0)))</f>
        <v>2218442</v>
      </c>
      <c r="X60" s="460" t="str">
        <f>IF(ISERROR(VLOOKUP(T60,'Base de Datos'!$E$7:$AR$302,8,0))=TRUE," ",(VLOOKUP(T60,'Base de Datos'!$E$7:$AR$302,8,0)))</f>
        <v xml:space="preserve"> </v>
      </c>
      <c r="Y60" s="460">
        <f>IF(ISERROR(VLOOKUP(T60,'Base de Datos'!$E$7:$AR$302,9,0))=TRUE," ",(VLOOKUP(T60,'Base de Datos'!$E$7:$AR$302,9,0)))</f>
        <v>41821</v>
      </c>
      <c r="Z60" s="454">
        <f>IF(ISERROR(VLOOKUP(T60,'Base de Datos'!$E$7:$AR$302,10,0))=TRUE," ",(VLOOKUP(T60,'Base de Datos'!$E$7:$AR$302,10,0)))</f>
        <v>42093</v>
      </c>
      <c r="AA60" s="457">
        <f>IF(ISERROR(VLOOKUP(T60,'Base de Datos'!$E$7:$AR$302,11,0))=TRUE," ",(VLOOKUP(T60,'Base de Datos'!$E$7:$AR$302,11,0)))</f>
        <v>0</v>
      </c>
      <c r="AB60" s="454">
        <f>IF(ISERROR(VLOOKUP(T60,'Base de Datos'!$E$7:$AR$302,12,0))=TRUE," ",(VLOOKUP(T60,'Base de Datos'!$E$7:$AR$302,12,0)))</f>
        <v>0</v>
      </c>
      <c r="AC60" s="454">
        <f>IF(ISERROR(VLOOKUP(T60,'Base de Datos'!$E$7:$AR$302,12,0))=TRUE," ",(VLOOKUP(T60,'Base de Datos'!$E$7:$AR$302,12,0)))</f>
        <v>0</v>
      </c>
      <c r="AD60" s="460">
        <f>IF(ISERROR(VLOOKUP(T60,'Base de Datos'!$E$7:$AR$302,15,0))=TRUE," ",(VLOOKUP(T60,'Base de Datos'!$E$7:$AR$302,15,0)))</f>
        <v>42186</v>
      </c>
      <c r="AE60" s="465">
        <f>IF(ISERROR(VLOOKUP(T60,'Base de Datos'!$E$7:$AR$302,16,0))=TRUE," ",(VLOOKUP(T60,'Base de Datos'!$E$7:$AR$302,16,0)))</f>
        <v>42186</v>
      </c>
      <c r="AF60" s="465">
        <f>IF(ISERROR(VLOOKUP(T60,'Base de Datos'!$E$7:$AR$302,17,0))=TRUE," ",(VLOOKUP(T60,'Base de Datos'!$E$7:$AR$302,17,0)))</f>
        <v>36581760</v>
      </c>
      <c r="AG60" s="465">
        <f>IF(ISERROR(VLOOKUP(T60,'Base de Datos'!$E$7:$AR$302,18,0))=TRUE," ",(VLOOKUP(T60,'Base de Datos'!$E$7:$AR$302,18,0)))</f>
        <v>34363318</v>
      </c>
      <c r="AH60" s="466"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6">
        <f>IF(ISERROR(VLOOKUP(T60,'Base de Datos'!$E$7:$AR$302,21,0))=TRUE," ",(VLOOKUP(T60,'Base de Datos'!$E$7:$AR$302,21,0)))</f>
        <v>0.93935660832064938</v>
      </c>
      <c r="AJ60" s="469">
        <v>42157</v>
      </c>
      <c r="AK60" s="455" t="str">
        <f>IF(ISERROR(VLOOKUP(D60,'Base de Datos'!$C$7:$AR$400,2,0))=TRUE," ",(VLOOKUP(D60,'Base de Datos'!$C$7:$AR$400,2,0)))</f>
        <v>2015170</v>
      </c>
      <c r="AL60" s="455" t="str">
        <f>IF(ISERROR(VLOOKUP(D60,'Base de Datos'!$C$7:$AR$400,3,0))=TRUE," ",(VLOOKUP(D60,'Base de Datos'!$C$7:$AR$400,3,0)))</f>
        <v>150241-0-2015</v>
      </c>
      <c r="AM60" s="458"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8">
        <f>IF(ISERROR(VLOOKUP(D60,'Base de Datos'!$C$7:$AR$400,20,0))=TRUE," ",(VLOOKUP(D60,'Base de Datos'!$C$7:$AR$400,19,0)))</f>
        <v>41552000</v>
      </c>
      <c r="AO60" s="461">
        <f>IF(ISERROR(VLOOKUP(D60,'Base de Datos'!$C$7:$AR$400,9,0))=TRUE," ",(VLOOKUP(D60,'Base de Datos'!$C$7:$AR$400,9,0)))</f>
        <v>2015</v>
      </c>
      <c r="AP60" s="461">
        <f>IF(ISERROR(VLOOKUP(D60,'Base de Datos'!$C$7:$AR$400,10,0))=TRUE," ",(VLOOKUP(D60,'Base de Datos'!$C$7:$AR$400,10,0)))</f>
        <v>42157</v>
      </c>
      <c r="AQ60" s="463">
        <f>IF(ISERROR(VLOOKUP(D60,'Base de Datos'!$C$7:$AR$400,11,0))=TRUE," ",(VLOOKUP(D60,'Base de Datos'!$C$7:$AR$400,11,0)))</f>
        <v>42187</v>
      </c>
      <c r="AR60" s="464">
        <f>IF(ISERROR(VLOOKUP(D60,'Base de Datos'!$C$7:$AR$400,12,0))=TRUE," ",(VLOOKUP(D60,'Base de Datos'!$C$7:$AR$400,12,0)))</f>
        <v>42431</v>
      </c>
      <c r="AS60" s="463">
        <f>IF(ISERROR(VLOOKUP(D60,'Base de Datos'!$C$7:$AR$400,13,0))=TRUE," ",(VLOOKUP(D60,'Base de Datos'!$C$7:$AR$400,13,0)))</f>
        <v>1</v>
      </c>
      <c r="AT60" s="463">
        <f>IF(ISERROR(VLOOKUP(D60,'Base de Datos'!$C$7:$AR$400,14,0))=TRUE," ",(VLOOKUP(D60,'Base de Datos'!$C$7:$AR$400,14,0)))</f>
        <v>11000000</v>
      </c>
      <c r="AU60" s="461" t="str">
        <f>IF(ISERROR(VLOOKUP(D60,'Base de Datos'!$C$7:$AR$400,16,0))=TRUE," ",(VLOOKUP(D60,'Base de Datos'!$C$7:$AR$400,16,0)))</f>
        <v>4 meses y 29 dias</v>
      </c>
      <c r="AV60" s="465">
        <f>IF(ISERROR(VLOOKUP(D60,'Base de Datos'!$C$7:$AR$400,17,0))=TRUE," ",(VLOOKUP(D60,'Base de Datos'!$C$7:$AR$400,17,0)))</f>
        <v>42582</v>
      </c>
      <c r="AW60" s="465">
        <f>IF(ISERROR(VLOOKUP(D60,'Base de Datos'!$C$7:$AR$400,18,0))=TRUE," ",(VLOOKUP(D60,'Base de Datos'!$C$7:$AR$400,18,0)))</f>
        <v>42582</v>
      </c>
      <c r="AX60" s="465">
        <f>IF(ISERROR(VLOOKUP(D60,'Base de Datos'!$C$7:$AR$400,19,0))=TRUE," ",(VLOOKUP(D60,'Base de Datos'!$C$7:$AR$400,19,0)))</f>
        <v>41552000</v>
      </c>
      <c r="AY60" s="468">
        <f>IF(ISERROR(VLOOKUP(D60,'Base de Datos'!$C$7:$AR$400,21,0))=TRUE," ",(VLOOKUP(D60,'Base de Datos'!$C$7:$AR$400,21,0)))</f>
        <v>2086389</v>
      </c>
      <c r="AZ60" s="468" t="str">
        <f>IF(ISERROR(VLOOKUP(D60,'Base de Datos'!$C$7:$AR$400,22,0))=TRUE," ",(VLOOKUP(D60,'Base de Datos'!$C$7:$AR$400,22,0)))</f>
        <v>Mensualidades vencidas por los servicios efectivamente prestados</v>
      </c>
      <c r="BA60" s="475"/>
      <c r="BB60" s="485"/>
    </row>
    <row r="61" spans="2:54" ht="55.5" hidden="1" customHeight="1" x14ac:dyDescent="0.25">
      <c r="B61" s="438">
        <v>54</v>
      </c>
      <c r="C61" s="446" t="s">
        <v>1645</v>
      </c>
      <c r="D61" s="438">
        <v>267</v>
      </c>
      <c r="E61" s="446" t="s">
        <v>1656</v>
      </c>
      <c r="F61" s="447">
        <f>VLOOKUP(D61,'Presupuesto - PAA 2015'!$B$10:$E$265,4,0)</f>
        <v>800000</v>
      </c>
      <c r="G61" s="439" t="str">
        <f>VLOOKUP(D61,'[3]Seguimiento Plan'!$C$2:$R$101,16,0)</f>
        <v>Adicion al contrato 140342-2014 que tiene por objeto: Prestar el  servicio de empaste y/o encuadernación de documentos del concejo de Bogotá D.C.</v>
      </c>
      <c r="H61" s="439" t="s">
        <v>1779</v>
      </c>
      <c r="I61" s="439" t="s">
        <v>590</v>
      </c>
      <c r="J61" s="448" t="s">
        <v>590</v>
      </c>
      <c r="K61" s="449" t="s">
        <v>390</v>
      </c>
      <c r="L61" s="449" t="s">
        <v>390</v>
      </c>
      <c r="M61" s="450"/>
      <c r="N61" s="449"/>
      <c r="O61" s="451"/>
      <c r="P61" s="451"/>
      <c r="Q61" s="451"/>
      <c r="R61" s="452"/>
      <c r="S61" s="452"/>
      <c r="T61" s="353" t="s">
        <v>1345</v>
      </c>
      <c r="U61" s="455" t="str">
        <f>IF(ISERROR(VLOOKUP(T61,'Base de Datos'!$E$7:$AR$302,3,0))=TRUE," ",(VLOOKUP(T61,'Base de Datos'!$E$7:$AR$302,2,0)))</f>
        <v>EDITORES CONARTE SAS</v>
      </c>
      <c r="V61" s="458">
        <f>IF(ISERROR(VLOOKUP(T61,'Base de Datos'!$E$7:$AR$302,5,0))=TRUE," ",(VLOOKUP(T61,'Base de Datos'!$E$7:$AR$302,5,0)))</f>
        <v>1659960</v>
      </c>
      <c r="W61" s="455">
        <f>IF(ISERROR(VLOOKUP(T61,'Base de Datos'!$E$7:$AR$302,19,0))=TRUE," ",(VLOOKUP(T61,'Base de Datos'!$E$7:$AR$302,19,0)))</f>
        <v>2076</v>
      </c>
      <c r="X61" s="460" t="str">
        <f>IF(ISERROR(VLOOKUP(T61,'Base de Datos'!$E$7:$AR$302,8,0))=TRUE," ",(VLOOKUP(T61,'Base de Datos'!$E$7:$AR$302,8,0)))</f>
        <v xml:space="preserve"> </v>
      </c>
      <c r="Y61" s="460">
        <f>IF(ISERROR(VLOOKUP(T61,'Base de Datos'!$E$7:$AR$302,9,0))=TRUE," ",(VLOOKUP(T61,'Base de Datos'!$E$7:$AR$302,9,0)))</f>
        <v>41968</v>
      </c>
      <c r="Z61" s="454">
        <f>IF(ISERROR(VLOOKUP(T61,'Base de Datos'!$E$7:$AR$302,10,0))=TRUE," ",(VLOOKUP(T61,'Base de Datos'!$E$7:$AR$302,10,0)))</f>
        <v>42241</v>
      </c>
      <c r="AA61" s="457">
        <f>IF(ISERROR(VLOOKUP(T61,'Base de Datos'!$E$7:$AR$302,11,0))=TRUE," ",(VLOOKUP(T61,'Base de Datos'!$E$7:$AR$302,11,0)))</f>
        <v>1</v>
      </c>
      <c r="AB61" s="454">
        <f>IF(ISERROR(VLOOKUP(T61,'Base de Datos'!$E$7:$AR$302,12,0))=TRUE," ",(VLOOKUP(T61,'Base de Datos'!$E$7:$AR$302,12,0)))</f>
        <v>800000</v>
      </c>
      <c r="AC61" s="454">
        <f>IF(ISERROR(VLOOKUP(T61,'Base de Datos'!$E$7:$AR$302,12,0))=TRUE," ",(VLOOKUP(T61,'Base de Datos'!$E$7:$AR$302,12,0)))</f>
        <v>800000</v>
      </c>
      <c r="AD61" s="460" t="str">
        <f>IF(ISERROR(VLOOKUP(T61,'Base de Datos'!$E$7:$AR$302,15,0))=TRUE," ",(VLOOKUP(T61,'Base de Datos'!$E$7:$AR$302,15,0)))</f>
        <v/>
      </c>
      <c r="AE61" s="465">
        <f>IF(ISERROR(VLOOKUP(T61,'Base de Datos'!$E$7:$AR$302,16,0))=TRUE," ",(VLOOKUP(T61,'Base de Datos'!$E$7:$AR$302,16,0)))</f>
        <v>42241</v>
      </c>
      <c r="AF61" s="465">
        <f>IF(ISERROR(VLOOKUP(T61,'Base de Datos'!$E$7:$AR$302,17,0))=TRUE," ",(VLOOKUP(T61,'Base de Datos'!$E$7:$AR$302,17,0)))</f>
        <v>2459960</v>
      </c>
      <c r="AG61" s="465">
        <f>IF(ISERROR(VLOOKUP(T61,'Base de Datos'!$E$7:$AR$302,18,0))=TRUE," ",(VLOOKUP(T61,'Base de Datos'!$E$7:$AR$302,18,0)))</f>
        <v>2457884</v>
      </c>
      <c r="AH61" s="466" t="str">
        <f>IF(ISERROR(VLOOKUP(T61,'Base de Datos'!$E$7:$AR$302,20,0))=TRUE," ",(VLOOKUP(T61,'Base de Datos'!$E$7:$AR$302,20,0)))</f>
        <v>Por producto</v>
      </c>
      <c r="AI61" s="466">
        <f>IF(ISERROR(VLOOKUP(T61,'Base de Datos'!$E$7:$AR$302,21,0))=TRUE," ",(VLOOKUP(T61,'Base de Datos'!$E$7:$AR$302,21,0)))</f>
        <v>0.99915608383876164</v>
      </c>
      <c r="AJ61" s="455"/>
      <c r="AK61" s="455" t="str">
        <f>IF(ISERROR(VLOOKUP(D61,'Base de Datos'!$C$7:$AR$400,2,0))=TRUE," ",(VLOOKUP(D61,'Base de Datos'!$C$7:$AR$400,2,0)))</f>
        <v xml:space="preserve"> </v>
      </c>
      <c r="AL61" s="455" t="str">
        <f>IF(ISERROR(VLOOKUP(D61,'Base de Datos'!$C$7:$AR$400,3,0))=TRUE," ",(VLOOKUP(D61,'Base de Datos'!$C$7:$AR$400,3,0)))</f>
        <v xml:space="preserve"> </v>
      </c>
      <c r="AM61" s="458" t="str">
        <f>IF(ISERROR(VLOOKUP(D61,'Base de Datos'!$C$7:$AR$4014,6,0))=TRUE," ",(VLOOKUP(D61,'Base de Datos'!$C$7:$AR$400,6,0)))</f>
        <v xml:space="preserve"> </v>
      </c>
      <c r="AN61" s="458" t="str">
        <f>IF(ISERROR(VLOOKUP(D61,'Base de Datos'!$C$7:$AR$400,20,0))=TRUE," ",(VLOOKUP(D61,'Base de Datos'!$C$7:$AR$400,19,0)))</f>
        <v xml:space="preserve"> </v>
      </c>
      <c r="AO61" s="461" t="str">
        <f>IF(ISERROR(VLOOKUP(D61,'Base de Datos'!$C$7:$AR$400,9,0))=TRUE," ",(VLOOKUP(D61,'Base de Datos'!$C$7:$AR$400,9,0)))</f>
        <v xml:space="preserve"> </v>
      </c>
      <c r="AP61" s="461" t="str">
        <f>IF(ISERROR(VLOOKUP(D61,'Base de Datos'!$C$7:$AR$400,10,0))=TRUE," ",(VLOOKUP(D61,'Base de Datos'!$C$7:$AR$400,10,0)))</f>
        <v xml:space="preserve"> </v>
      </c>
      <c r="AQ61" s="463" t="str">
        <f>IF(ISERROR(VLOOKUP(D61,'Base de Datos'!$C$7:$AR$400,11,0))=TRUE," ",(VLOOKUP(D61,'Base de Datos'!$C$7:$AR$400,11,0)))</f>
        <v xml:space="preserve"> </v>
      </c>
      <c r="AR61" s="464" t="str">
        <f>IF(ISERROR(VLOOKUP(D61,'Base de Datos'!$C$7:$AR$400,12,0))=TRUE," ",(VLOOKUP(D61,'Base de Datos'!$C$7:$AR$400,12,0)))</f>
        <v xml:space="preserve"> </v>
      </c>
      <c r="AS61" s="463" t="str">
        <f>IF(ISERROR(VLOOKUP(D61,'Base de Datos'!$C$7:$AR$400,13,0))=TRUE," ",(VLOOKUP(D61,'Base de Datos'!$C$7:$AR$400,13,0)))</f>
        <v xml:space="preserve"> </v>
      </c>
      <c r="AT61" s="463" t="str">
        <f>IF(ISERROR(VLOOKUP(D61,'Base de Datos'!$C$7:$AR$400,14,0))=TRUE," ",(VLOOKUP(D61,'Base de Datos'!$C$7:$AR$400,14,0)))</f>
        <v xml:space="preserve"> </v>
      </c>
      <c r="AU61" s="461" t="str">
        <f>IF(ISERROR(VLOOKUP(D61,'Base de Datos'!$C$7:$AR$400,16,0))=TRUE," ",(VLOOKUP(D61,'Base de Datos'!$C$7:$AR$400,16,0)))</f>
        <v xml:space="preserve"> </v>
      </c>
      <c r="AV61" s="465" t="str">
        <f>IF(ISERROR(VLOOKUP(D61,'Base de Datos'!$C$7:$AR$400,17,0))=TRUE," ",(VLOOKUP(D61,'Base de Datos'!$C$7:$AR$400,17,0)))</f>
        <v xml:space="preserve"> </v>
      </c>
      <c r="AW61" s="465" t="str">
        <f>IF(ISERROR(VLOOKUP(D61,'Base de Datos'!$C$7:$AR$400,18,0))=TRUE," ",(VLOOKUP(D61,'Base de Datos'!$C$7:$AR$400,18,0)))</f>
        <v xml:space="preserve"> </v>
      </c>
      <c r="AX61" s="465" t="str">
        <f>IF(ISERROR(VLOOKUP(D61,'Base de Datos'!$C$7:$AR$400,19,0))=TRUE," ",(VLOOKUP(D61,'Base de Datos'!$C$7:$AR$400,19,0)))</f>
        <v xml:space="preserve"> </v>
      </c>
      <c r="AY61" s="468" t="str">
        <f>IF(ISERROR(VLOOKUP(D61,'Base de Datos'!$C$7:$AR$400,21,0))=TRUE," ",(VLOOKUP(D61,'Base de Datos'!$C$7:$AR$400,21,0)))</f>
        <v xml:space="preserve"> </v>
      </c>
      <c r="AZ61" s="468" t="str">
        <f>IF(ISERROR(VLOOKUP(D61,'Base de Datos'!$C$7:$AR$400,22,0))=TRUE," ",(VLOOKUP(D61,'Base de Datos'!$C$7:$AR$400,22,0)))</f>
        <v xml:space="preserve"> </v>
      </c>
      <c r="BA61" s="475"/>
      <c r="BB61" s="485"/>
    </row>
    <row r="62" spans="2:54" ht="55.5" hidden="1" customHeight="1" x14ac:dyDescent="0.25">
      <c r="B62" s="438">
        <v>55</v>
      </c>
      <c r="C62" s="446" t="s">
        <v>1645</v>
      </c>
      <c r="D62" s="438">
        <v>149</v>
      </c>
      <c r="E62" s="446" t="s">
        <v>1658</v>
      </c>
      <c r="F62" s="447">
        <f>VLOOKUP(D62,'Presupuesto - PAA 2015'!$B$10:$E$265,4,0)</f>
        <v>2000000</v>
      </c>
      <c r="G62" s="439" t="str">
        <f>VLOOKUP(D62,'[3]Seguimiento Plan'!$C$2:$R$101,16,0)</f>
        <v>Prestar los servicios de mantenimiento preventivo y correctivo de las alarmas de emergencia ubicadas en la sede principal del Concejo de Bogotá-</v>
      </c>
      <c r="H62" s="439" t="s">
        <v>1779</v>
      </c>
      <c r="I62" s="439" t="s">
        <v>1713</v>
      </c>
      <c r="J62" s="448" t="s">
        <v>909</v>
      </c>
      <c r="K62" s="449" t="s">
        <v>390</v>
      </c>
      <c r="L62" s="449" t="str">
        <f>VLOOKUP(D62,'[3]Seguimiento Plan'!$C$2:$AJ$101,30,0)</f>
        <v>SI</v>
      </c>
      <c r="M62" s="450">
        <f>VLOOKUP(D62,'[3]Seguimiento Plan'!$C$2:$AJ$101,31,0)</f>
        <v>42080</v>
      </c>
      <c r="N62" s="449"/>
      <c r="O62" s="451"/>
      <c r="P62" s="451"/>
      <c r="Q62" s="451"/>
      <c r="R62" s="452"/>
      <c r="S62" s="470" t="s">
        <v>1753</v>
      </c>
      <c r="T62" s="347" t="s">
        <v>274</v>
      </c>
      <c r="U62" s="455" t="str">
        <f>IF(ISERROR(VLOOKUP(T62,'Base de Datos'!$E$7:$AR$302,3,0))=TRUE," ",(VLOOKUP(T62,'Base de Datos'!$E$7:$AR$302,2,0)))</f>
        <v>SECURITYCOM S.A.S</v>
      </c>
      <c r="V62" s="458">
        <f>IF(ISERROR(VLOOKUP(T62,'Base de Datos'!$E$7:$AR$302,5,0))=TRUE," ",(VLOOKUP(T62,'Base de Datos'!$E$7:$AR$302,5,0)))</f>
        <v>2122000</v>
      </c>
      <c r="W62" s="455">
        <f>IF(ISERROR(VLOOKUP(T62,'Base de Datos'!$E$7:$AR$302,19,0))=TRUE," ",(VLOOKUP(T62,'Base de Datos'!$E$7:$AR$302,19,0)))</f>
        <v>0</v>
      </c>
      <c r="X62" s="460" t="str">
        <f>IF(ISERROR(VLOOKUP(T62,'Base de Datos'!$E$7:$AR$302,8,0))=TRUE," ",(VLOOKUP(T62,'Base de Datos'!$E$7:$AR$302,8,0)))</f>
        <v xml:space="preserve"> </v>
      </c>
      <c r="Y62" s="460">
        <f>IF(ISERROR(VLOOKUP(T62,'Base de Datos'!$E$7:$AR$302,9,0))=TRUE," ",(VLOOKUP(T62,'Base de Datos'!$E$7:$AR$302,9,0)))</f>
        <v>41752</v>
      </c>
      <c r="Z62" s="454">
        <f>IF(ISERROR(VLOOKUP(T62,'Base de Datos'!$E$7:$AR$302,10,0))=TRUE," ",(VLOOKUP(T62,'Base de Datos'!$E$7:$AR$302,10,0)))</f>
        <v>42116</v>
      </c>
      <c r="AA62" s="457">
        <f>IF(ISERROR(VLOOKUP(T62,'Base de Datos'!$E$7:$AR$302,11,0))=TRUE," ",(VLOOKUP(T62,'Base de Datos'!$E$7:$AR$302,11,0)))</f>
        <v>0</v>
      </c>
      <c r="AB62" s="454">
        <f>IF(ISERROR(VLOOKUP(T62,'Base de Datos'!$E$7:$AR$302,12,0))=TRUE," ",(VLOOKUP(T62,'Base de Datos'!$E$7:$AR$302,12,0)))</f>
        <v>0</v>
      </c>
      <c r="AC62" s="454">
        <f>IF(ISERROR(VLOOKUP(T62,'Base de Datos'!$E$7:$AR$302,12,0))=TRUE," ",(VLOOKUP(T62,'Base de Datos'!$E$7:$AR$302,12,0)))</f>
        <v>0</v>
      </c>
      <c r="AD62" s="460" t="str">
        <f>IF(ISERROR(VLOOKUP(T62,'Base de Datos'!$E$7:$AR$302,15,0))=TRUE," ",(VLOOKUP(T62,'Base de Datos'!$E$7:$AR$302,15,0)))</f>
        <v/>
      </c>
      <c r="AE62" s="465">
        <f>IF(ISERROR(VLOOKUP(T62,'Base de Datos'!$E$7:$AR$302,16,0))=TRUE," ",(VLOOKUP(T62,'Base de Datos'!$E$7:$AR$302,16,0)))</f>
        <v>42116</v>
      </c>
      <c r="AF62" s="465">
        <f>IF(ISERROR(VLOOKUP(T62,'Base de Datos'!$E$7:$AR$302,17,0))=TRUE," ",(VLOOKUP(T62,'Base de Datos'!$E$7:$AR$302,17,0)))</f>
        <v>2122000</v>
      </c>
      <c r="AG62" s="465">
        <f>IF(ISERROR(VLOOKUP(T62,'Base de Datos'!$E$7:$AR$302,18,0))=TRUE," ",(VLOOKUP(T62,'Base de Datos'!$E$7:$AR$302,18,0)))</f>
        <v>2122000</v>
      </c>
      <c r="AH62" s="466"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6">
        <f>IF(ISERROR(VLOOKUP(T62,'Base de Datos'!$E$7:$AR$302,21,0))=TRUE," ",(VLOOKUP(T62,'Base de Datos'!$E$7:$AR$302,21,0)))</f>
        <v>1</v>
      </c>
      <c r="AJ62" s="469">
        <v>42135</v>
      </c>
      <c r="AK62" s="455" t="str">
        <f>IF(ISERROR(VLOOKUP(D62,'Base de Datos'!$C$7:$AR$400,2,0))=TRUE," ",(VLOOKUP(D62,'Base de Datos'!$C$7:$AR$400,2,0)))</f>
        <v>2015149</v>
      </c>
      <c r="AL62" s="455" t="str">
        <f>IF(ISERROR(VLOOKUP(D62,'Base de Datos'!$C$7:$AR$400,3,0))=TRUE," ",(VLOOKUP(D62,'Base de Datos'!$C$7:$AR$400,3,0)))</f>
        <v>150223-0-2015</v>
      </c>
      <c r="AM62" s="458"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8">
        <f>IF(ISERROR(VLOOKUP(D62,'Base de Datos'!$C$7:$AR$400,20,0))=TRUE," ",(VLOOKUP(D62,'Base de Datos'!$C$7:$AR$400,19,0)))</f>
        <v>2000000</v>
      </c>
      <c r="AO62" s="461">
        <f>IF(ISERROR(VLOOKUP(D62,'Base de Datos'!$C$7:$AR$400,9,0))=TRUE," ",(VLOOKUP(D62,'Base de Datos'!$C$7:$AR$400,9,0)))</f>
        <v>2015</v>
      </c>
      <c r="AP62" s="461">
        <f>IF(ISERROR(VLOOKUP(D62,'Base de Datos'!$C$7:$AR$400,10,0))=TRUE," ",(VLOOKUP(D62,'Base de Datos'!$C$7:$AR$400,10,0)))</f>
        <v>42135</v>
      </c>
      <c r="AQ62" s="463">
        <f>IF(ISERROR(VLOOKUP(D62,'Base de Datos'!$C$7:$AR$400,11,0))=TRUE," ",(VLOOKUP(D62,'Base de Datos'!$C$7:$AR$400,11,0)))</f>
        <v>42150</v>
      </c>
      <c r="AR62" s="464">
        <f>IF(ISERROR(VLOOKUP(D62,'Base de Datos'!$C$7:$AR$400,12,0))=TRUE," ",(VLOOKUP(D62,'Base de Datos'!$C$7:$AR$400,12,0)))</f>
        <v>42455</v>
      </c>
      <c r="AS62" s="463">
        <f>IF(ISERROR(VLOOKUP(D62,'Base de Datos'!$C$7:$AR$400,13,0))=TRUE," ",(VLOOKUP(D62,'Base de Datos'!$C$7:$AR$400,13,0)))</f>
        <v>0</v>
      </c>
      <c r="AT62" s="463">
        <f>IF(ISERROR(VLOOKUP(D62,'Base de Datos'!$C$7:$AR$400,14,0))=TRUE," ",(VLOOKUP(D62,'Base de Datos'!$C$7:$AR$400,14,0)))</f>
        <v>0</v>
      </c>
      <c r="AU62" s="461" t="str">
        <f>IF(ISERROR(VLOOKUP(D62,'Base de Datos'!$C$7:$AR$400,16,0))=TRUE," ",(VLOOKUP(D62,'Base de Datos'!$C$7:$AR$400,16,0)))</f>
        <v/>
      </c>
      <c r="AV62" s="465" t="str">
        <f>IF(ISERROR(VLOOKUP(D62,'Base de Datos'!$C$7:$AR$400,17,0))=TRUE," ",(VLOOKUP(D62,'Base de Datos'!$C$7:$AR$400,17,0)))</f>
        <v/>
      </c>
      <c r="AW62" s="465">
        <f>IF(ISERROR(VLOOKUP(D62,'Base de Datos'!$C$7:$AR$400,18,0))=TRUE," ",(VLOOKUP(D62,'Base de Datos'!$C$7:$AR$400,18,0)))</f>
        <v>42455</v>
      </c>
      <c r="AX62" s="465">
        <f>IF(ISERROR(VLOOKUP(D62,'Base de Datos'!$C$7:$AR$400,19,0))=TRUE," ",(VLOOKUP(D62,'Base de Datos'!$C$7:$AR$400,19,0)))</f>
        <v>2000000</v>
      </c>
      <c r="AY62" s="468">
        <f>IF(ISERROR(VLOOKUP(D62,'Base de Datos'!$C$7:$AR$400,21,0))=TRUE," ",(VLOOKUP(D62,'Base de Datos'!$C$7:$AR$400,21,0)))</f>
        <v>1175240</v>
      </c>
      <c r="AZ62" s="468" t="str">
        <f>IF(ISERROR(VLOOKUP(D62,'Base de Datos'!$C$7:$AR$400,22,0))=TRUE," ",(VLOOKUP(D62,'Base de Datos'!$C$7:$AR$400,22,0)))</f>
        <v>Un pago por cada visita, y los repuestos de acuerdo a la demanda requerida</v>
      </c>
      <c r="BA62" s="475"/>
      <c r="BB62" s="485"/>
    </row>
    <row r="63" spans="2:54" ht="55.5" hidden="1" customHeight="1" x14ac:dyDescent="0.25">
      <c r="B63" s="438">
        <v>56</v>
      </c>
      <c r="C63" s="446" t="s">
        <v>1645</v>
      </c>
      <c r="D63" s="438">
        <v>150</v>
      </c>
      <c r="E63" s="446" t="s">
        <v>1658</v>
      </c>
      <c r="F63" s="447">
        <f>VLOOKUP(D63,'Presupuesto - PAA 2015'!$B$10:$E$265,4,0)</f>
        <v>4721200</v>
      </c>
      <c r="G63" s="439"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9" t="s">
        <v>1779</v>
      </c>
      <c r="I63" s="439" t="s">
        <v>1713</v>
      </c>
      <c r="J63" s="448" t="s">
        <v>909</v>
      </c>
      <c r="K63" s="449" t="s">
        <v>390</v>
      </c>
      <c r="L63" s="449" t="str">
        <f>VLOOKUP(D63,'[3]Seguimiento Plan'!$C$2:$AJ$101,30,0)</f>
        <v>SI</v>
      </c>
      <c r="M63" s="450">
        <f>VLOOKUP(D63,'[3]Seguimiento Plan'!$C$2:$AJ$101,31,0)</f>
        <v>42030</v>
      </c>
      <c r="N63" s="449"/>
      <c r="O63" s="451"/>
      <c r="P63" s="451"/>
      <c r="Q63" s="451"/>
      <c r="R63" s="529"/>
      <c r="S63" s="355" t="s">
        <v>1743</v>
      </c>
      <c r="T63" s="453" t="s">
        <v>266</v>
      </c>
      <c r="U63" s="455" t="str">
        <f>IF(ISERROR(VLOOKUP(T63,'Base de Datos'!$E$7:$AR$302,3,0))=TRUE," ",(VLOOKUP(T63,'Base de Datos'!$E$7:$AR$302,2,0)))</f>
        <v>SYSTEM NET INGENIERÍA LTDA</v>
      </c>
      <c r="V63" s="458">
        <f>IF(ISERROR(VLOOKUP(T63,'Base de Datos'!$E$7:$AR$302,5,0))=TRUE," ",(VLOOKUP(T63,'Base de Datos'!$E$7:$AR$302,5,0)))</f>
        <v>4982000</v>
      </c>
      <c r="W63" s="455">
        <f>IF(ISERROR(VLOOKUP(T63,'Base de Datos'!$E$7:$AR$302,19,0))=TRUE," ",(VLOOKUP(T63,'Base de Datos'!$E$7:$AR$302,19,0)))</f>
        <v>2150000</v>
      </c>
      <c r="X63" s="460" t="str">
        <f>IF(ISERROR(VLOOKUP(T63,'Base de Datos'!$E$7:$AR$302,8,0))=TRUE," ",(VLOOKUP(T63,'Base de Datos'!$E$7:$AR$302,8,0)))</f>
        <v xml:space="preserve"> </v>
      </c>
      <c r="Y63" s="460">
        <f>IF(ISERROR(VLOOKUP(T63,'Base de Datos'!$E$7:$AR$302,9,0))=TRUE," ",(VLOOKUP(T63,'Base de Datos'!$E$7:$AR$302,9,0)))</f>
        <v>41725</v>
      </c>
      <c r="Z63" s="454">
        <f>IF(ISERROR(VLOOKUP(T63,'Base de Datos'!$E$7:$AR$302,10,0))=TRUE," ",(VLOOKUP(T63,'Base de Datos'!$E$7:$AR$302,10,0)))</f>
        <v>41969</v>
      </c>
      <c r="AA63" s="457">
        <f>IF(ISERROR(VLOOKUP(T63,'Base de Datos'!$E$7:$AR$302,11,0))=TRUE," ",(VLOOKUP(T63,'Base de Datos'!$E$7:$AR$302,11,0)))</f>
        <v>0</v>
      </c>
      <c r="AB63" s="454">
        <f>IF(ISERROR(VLOOKUP(T63,'Base de Datos'!$E$7:$AR$302,12,0))=TRUE," ",(VLOOKUP(T63,'Base de Datos'!$E$7:$AR$302,12,0)))</f>
        <v>0</v>
      </c>
      <c r="AC63" s="454">
        <f>IF(ISERROR(VLOOKUP(T63,'Base de Datos'!$E$7:$AR$302,12,0))=TRUE," ",(VLOOKUP(T63,'Base de Datos'!$E$7:$AR$302,12,0)))</f>
        <v>0</v>
      </c>
      <c r="AD63" s="460" t="str">
        <f>IF(ISERROR(VLOOKUP(T63,'Base de Datos'!$E$7:$AR$302,15,0))=TRUE," ",(VLOOKUP(T63,'Base de Datos'!$E$7:$AR$302,15,0)))</f>
        <v/>
      </c>
      <c r="AE63" s="465">
        <f>IF(ISERROR(VLOOKUP(T63,'Base de Datos'!$E$7:$AR$302,16,0))=TRUE," ",(VLOOKUP(T63,'Base de Datos'!$E$7:$AR$302,16,0)))</f>
        <v>41969</v>
      </c>
      <c r="AF63" s="465">
        <f>IF(ISERROR(VLOOKUP(T63,'Base de Datos'!$E$7:$AR$302,17,0))=TRUE," ",(VLOOKUP(T63,'Base de Datos'!$E$7:$AR$302,17,0)))</f>
        <v>4982000</v>
      </c>
      <c r="AG63" s="465">
        <f>IF(ISERROR(VLOOKUP(T63,'Base de Datos'!$E$7:$AR$302,18,0))=TRUE," ",(VLOOKUP(T63,'Base de Datos'!$E$7:$AR$302,18,0)))</f>
        <v>2832000</v>
      </c>
      <c r="AH63" s="466"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6">
        <f>IF(ISERROR(VLOOKUP(T63,'Base de Datos'!$E$7:$AR$302,21,0))=TRUE," ",(VLOOKUP(T63,'Base de Datos'!$E$7:$AR$302,21,0)))</f>
        <v>0.56844640706543559</v>
      </c>
      <c r="AJ63" s="460">
        <v>42104</v>
      </c>
      <c r="AK63" s="455" t="str">
        <f>IF(ISERROR(VLOOKUP(D63,'Base de Datos'!$C$7:$AR$400,2,0))=TRUE," ",(VLOOKUP(D63,'Base de Datos'!$C$7:$AR$400,2,0)))</f>
        <v>2015150</v>
      </c>
      <c r="AL63" s="455" t="str">
        <f>IF(ISERROR(VLOOKUP(D63,'Base de Datos'!$C$7:$AR$400,3,0))=TRUE," ",(VLOOKUP(D63,'Base de Datos'!$C$7:$AR$400,3,0)))</f>
        <v>150168-0-2015</v>
      </c>
      <c r="AM63" s="458"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8">
        <f>IF(ISERROR(VLOOKUP(D63,'Base de Datos'!$C$7:$AR$400,20,0))=TRUE," ",(VLOOKUP(D63,'Base de Datos'!$C$7:$AR$400,19,0)))</f>
        <v>4721200</v>
      </c>
      <c r="AO63" s="461">
        <f>IF(ISERROR(VLOOKUP(D63,'Base de Datos'!$C$7:$AR$400,9,0))=TRUE," ",(VLOOKUP(D63,'Base de Datos'!$C$7:$AR$400,9,0)))</f>
        <v>2015</v>
      </c>
      <c r="AP63" s="461">
        <f>IF(ISERROR(VLOOKUP(D63,'Base de Datos'!$C$7:$AR$400,10,0))=TRUE," ",(VLOOKUP(D63,'Base de Datos'!$C$7:$AR$400,10,0)))</f>
        <v>42104</v>
      </c>
      <c r="AQ63" s="463">
        <f>IF(ISERROR(VLOOKUP(D63,'Base de Datos'!$C$7:$AR$400,11,0))=TRUE," ",(VLOOKUP(D63,'Base de Datos'!$C$7:$AR$400,11,0)))</f>
        <v>42116</v>
      </c>
      <c r="AR63" s="464">
        <f>IF(ISERROR(VLOOKUP(D63,'Base de Datos'!$C$7:$AR$400,12,0))=TRUE," ",(VLOOKUP(D63,'Base de Datos'!$C$7:$AR$400,12,0)))</f>
        <v>42451</v>
      </c>
      <c r="AS63" s="463">
        <f>IF(ISERROR(VLOOKUP(D63,'Base de Datos'!$C$7:$AR$400,13,0))=TRUE," ",(VLOOKUP(D63,'Base de Datos'!$C$7:$AR$400,13,0)))</f>
        <v>0</v>
      </c>
      <c r="AT63" s="463">
        <f>IF(ISERROR(VLOOKUP(D63,'Base de Datos'!$C$7:$AR$400,14,0))=TRUE," ",(VLOOKUP(D63,'Base de Datos'!$C$7:$AR$400,14,0)))</f>
        <v>0</v>
      </c>
      <c r="AU63" s="461" t="str">
        <f>IF(ISERROR(VLOOKUP(D63,'Base de Datos'!$C$7:$AR$400,16,0))=TRUE," ",(VLOOKUP(D63,'Base de Datos'!$C$7:$AR$400,16,0)))</f>
        <v/>
      </c>
      <c r="AV63" s="465" t="str">
        <f>IF(ISERROR(VLOOKUP(D63,'Base de Datos'!$C$7:$AR$400,17,0))=TRUE," ",(VLOOKUP(D63,'Base de Datos'!$C$7:$AR$400,17,0)))</f>
        <v/>
      </c>
      <c r="AW63" s="465">
        <f>IF(ISERROR(VLOOKUP(D63,'Base de Datos'!$C$7:$AR$400,18,0))=TRUE," ",(VLOOKUP(D63,'Base de Datos'!$C$7:$AR$400,18,0)))</f>
        <v>42451</v>
      </c>
      <c r="AX63" s="465">
        <f>IF(ISERROR(VLOOKUP(D63,'Base de Datos'!$C$7:$AR$400,19,0))=TRUE," ",(VLOOKUP(D63,'Base de Datos'!$C$7:$AR$400,19,0)))</f>
        <v>4721200</v>
      </c>
      <c r="AY63" s="468">
        <f>IF(ISERROR(VLOOKUP(D63,'Base de Datos'!$C$7:$AR$400,21,0))=TRUE," ",(VLOOKUP(D63,'Base de Datos'!$C$7:$AR$400,21,0)))</f>
        <v>0</v>
      </c>
      <c r="AZ63" s="468" t="str">
        <f>IF(ISERROR(VLOOKUP(D63,'Base de Datos'!$C$7:$AR$400,22,0))=TRUE," ",(VLOOKUP(D63,'Base de Datos'!$C$7:$AR$400,22,0)))</f>
        <v>Pagos bimestrales sobre las visitas de mantenimiento preventivo y/o correctivo</v>
      </c>
      <c r="BA63" s="475"/>
      <c r="BB63" s="485"/>
    </row>
    <row r="64" spans="2:54" ht="55.5" hidden="1" customHeight="1" x14ac:dyDescent="0.25">
      <c r="B64" s="438">
        <v>57</v>
      </c>
      <c r="C64" s="446" t="s">
        <v>1645</v>
      </c>
      <c r="D64" s="438">
        <v>151</v>
      </c>
      <c r="E64" s="446" t="s">
        <v>1658</v>
      </c>
      <c r="F64" s="447">
        <f>VLOOKUP(D64,'Presupuesto - PAA 2015'!$B$10:$E$265,4,0)</f>
        <v>14917500</v>
      </c>
      <c r="G64" s="439" t="str">
        <f>VLOOKUP(D64,'[3]Seguimiento Plan'!$C$2:$R$101,16,0)</f>
        <v>Realizar la interventoría al contrato de mantenimiento integral locativo del Concejo de Bogotá.</v>
      </c>
      <c r="H64" s="439" t="s">
        <v>1779</v>
      </c>
      <c r="I64" s="439" t="s">
        <v>1719</v>
      </c>
      <c r="J64" s="448" t="s">
        <v>909</v>
      </c>
      <c r="K64" s="449" t="s">
        <v>390</v>
      </c>
      <c r="L64" s="449" t="s">
        <v>390</v>
      </c>
      <c r="M64" s="450">
        <v>42117</v>
      </c>
      <c r="N64" s="449" t="s">
        <v>1824</v>
      </c>
      <c r="O64" s="451"/>
      <c r="P64" s="451"/>
      <c r="Q64" s="451"/>
      <c r="R64" s="452"/>
      <c r="S64" s="709" t="s">
        <v>2065</v>
      </c>
      <c r="T64" s="347" t="s">
        <v>292</v>
      </c>
      <c r="U64" s="455" t="str">
        <f>IF(ISERROR(VLOOKUP(T64,'Base de Datos'!$E$7:$AR$302,3,0))=TRUE," ",(VLOOKUP(T64,'Base de Datos'!$E$7:$AR$302,2,0)))</f>
        <v>ELKIN MAURICIO DIMAS MONTAYA</v>
      </c>
      <c r="V64" s="458">
        <f>IF(ISERROR(VLOOKUP(T64,'Base de Datos'!$E$7:$AR$302,5,0))=TRUE," ",(VLOOKUP(T64,'Base de Datos'!$E$7:$AR$302,5,0)))</f>
        <v>16390000</v>
      </c>
      <c r="W64" s="455">
        <f>IF(ISERROR(VLOOKUP(T64,'Base de Datos'!$E$7:$AR$302,19,0))=TRUE," ",(VLOOKUP(T64,'Base de Datos'!$E$7:$AR$302,19,0)))</f>
        <v>0</v>
      </c>
      <c r="X64" s="460" t="str">
        <f>IF(ISERROR(VLOOKUP(T64,'Base de Datos'!$E$7:$AR$302,8,0))=TRUE," ",(VLOOKUP(T64,'Base de Datos'!$E$7:$AR$302,8,0)))</f>
        <v xml:space="preserve"> </v>
      </c>
      <c r="Y64" s="460">
        <f>IF(ISERROR(VLOOKUP(T64,'Base de Datos'!$E$7:$AR$302,9,0))=TRUE," ",(VLOOKUP(T64,'Base de Datos'!$E$7:$AR$302,9,0)))</f>
        <v>41799</v>
      </c>
      <c r="Z64" s="454">
        <f>IF(ISERROR(VLOOKUP(T64,'Base de Datos'!$E$7:$AR$302,10,0))=TRUE," ",(VLOOKUP(T64,'Base de Datos'!$E$7:$AR$302,10,0)))</f>
        <v>42193</v>
      </c>
      <c r="AA64" s="457">
        <f>IF(ISERROR(VLOOKUP(T64,'Base de Datos'!$E$7:$AR$302,11,0))=TRUE," ",(VLOOKUP(T64,'Base de Datos'!$E$7:$AR$302,11,0)))</f>
        <v>1</v>
      </c>
      <c r="AB64" s="454">
        <f>IF(ISERROR(VLOOKUP(T64,'Base de Datos'!$E$7:$AR$302,12,0))=TRUE," ",(VLOOKUP(T64,'Base de Datos'!$E$7:$AR$302,12,0)))</f>
        <v>2324400</v>
      </c>
      <c r="AC64" s="454">
        <f>IF(ISERROR(VLOOKUP(T64,'Base de Datos'!$E$7:$AR$302,12,0))=TRUE," ",(VLOOKUP(T64,'Base de Datos'!$E$7:$AR$302,12,0)))</f>
        <v>2324400</v>
      </c>
      <c r="AD64" s="460">
        <f>IF(ISERROR(VLOOKUP(T64,'Base de Datos'!$E$7:$AR$302,15,0))=TRUE," ",(VLOOKUP(T64,'Base de Datos'!$E$7:$AR$302,15,0)))</f>
        <v>42247</v>
      </c>
      <c r="AE64" s="465">
        <f>IF(ISERROR(VLOOKUP(T64,'Base de Datos'!$E$7:$AR$302,16,0))=TRUE," ",(VLOOKUP(T64,'Base de Datos'!$E$7:$AR$302,16,0)))</f>
        <v>42247</v>
      </c>
      <c r="AF64" s="465">
        <f>IF(ISERROR(VLOOKUP(T64,'Base de Datos'!$E$7:$AR$302,17,0))=TRUE," ",(VLOOKUP(T64,'Base de Datos'!$E$7:$AR$302,17,0)))</f>
        <v>18714400</v>
      </c>
      <c r="AG64" s="465">
        <f>IF(ISERROR(VLOOKUP(T64,'Base de Datos'!$E$7:$AR$302,18,0))=TRUE," ",(VLOOKUP(T64,'Base de Datos'!$E$7:$AR$302,18,0)))</f>
        <v>18714400</v>
      </c>
      <c r="AH64" s="466"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6">
        <f>IF(ISERROR(VLOOKUP(T64,'Base de Datos'!$E$7:$AR$302,21,0))=TRUE," ",(VLOOKUP(T64,'Base de Datos'!$E$7:$AR$302,21,0)))</f>
        <v>1</v>
      </c>
      <c r="AJ64" s="455"/>
      <c r="AK64" s="455" t="str">
        <f>IF(ISERROR(VLOOKUP(D64,'Base de Datos'!$C$7:$AR$400,2,0))=TRUE," ",(VLOOKUP(D64,'Base de Datos'!$C$7:$AR$400,2,0)))</f>
        <v>2015151</v>
      </c>
      <c r="AL64" s="455" t="str">
        <f>IF(ISERROR(VLOOKUP(D64,'Base de Datos'!$C$7:$AR$400,3,0))=TRUE," ",(VLOOKUP(D64,'Base de Datos'!$C$7:$AR$400,3,0)))</f>
        <v>150333-0-2015</v>
      </c>
      <c r="AM64" s="458"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8">
        <f>IF(ISERROR(VLOOKUP(D64,'Base de Datos'!$C$7:$AR$400,20,0))=TRUE," ",(VLOOKUP(D64,'Base de Datos'!$C$7:$AR$400,19,0)))</f>
        <v>14917500</v>
      </c>
      <c r="AO64" s="461">
        <f>IF(ISERROR(VLOOKUP(D64,'Base de Datos'!$C$7:$AR$400,9,0))=TRUE," ",(VLOOKUP(D64,'Base de Datos'!$C$7:$AR$400,9,0)))</f>
        <v>2015</v>
      </c>
      <c r="AP64" s="461">
        <f>IF(ISERROR(VLOOKUP(D64,'Base de Datos'!$C$7:$AR$400,10,0))=TRUE," ",(VLOOKUP(D64,'Base de Datos'!$C$7:$AR$400,10,0)))</f>
        <v>42228</v>
      </c>
      <c r="AQ64" s="463">
        <f>IF(ISERROR(VLOOKUP(D64,'Base de Datos'!$C$7:$AR$400,11,0))=TRUE," ",(VLOOKUP(D64,'Base de Datos'!$C$7:$AR$400,11,0)))</f>
        <v>42247</v>
      </c>
      <c r="AR64" s="464">
        <f>IF(ISERROR(VLOOKUP(D64,'Base de Datos'!$C$7:$AR$400,12,0))=TRUE," ",(VLOOKUP(D64,'Base de Datos'!$C$7:$AR$400,12,0)))</f>
        <v>42551</v>
      </c>
      <c r="AS64" s="463">
        <f>IF(ISERROR(VLOOKUP(D64,'Base de Datos'!$C$7:$AR$400,13,0))=TRUE," ",(VLOOKUP(D64,'Base de Datos'!$C$7:$AR$400,13,0)))</f>
        <v>0</v>
      </c>
      <c r="AT64" s="463">
        <f>IF(ISERROR(VLOOKUP(D64,'Base de Datos'!$C$7:$AR$400,14,0))=TRUE," ",(VLOOKUP(D64,'Base de Datos'!$C$7:$AR$400,14,0)))</f>
        <v>0</v>
      </c>
      <c r="AU64" s="461" t="str">
        <f>IF(ISERROR(VLOOKUP(D64,'Base de Datos'!$C$7:$AR$400,16,0))=TRUE," ",(VLOOKUP(D64,'Base de Datos'!$C$7:$AR$400,16,0)))</f>
        <v xml:space="preserve">5 meses y 15 días </v>
      </c>
      <c r="AV64" s="465">
        <f>IF(ISERROR(VLOOKUP(D64,'Base de Datos'!$C$7:$AR$400,17,0))=TRUE," ",(VLOOKUP(D64,'Base de Datos'!$C$7:$AR$400,17,0)))</f>
        <v>42862</v>
      </c>
      <c r="AW64" s="465">
        <f>IF(ISERROR(VLOOKUP(D64,'Base de Datos'!$C$7:$AR$400,18,0))=TRUE," ",(VLOOKUP(D64,'Base de Datos'!$C$7:$AR$400,18,0)))</f>
        <v>42862</v>
      </c>
      <c r="AX64" s="465">
        <f>IF(ISERROR(VLOOKUP(D64,'Base de Datos'!$C$7:$AR$400,19,0))=TRUE," ",(VLOOKUP(D64,'Base de Datos'!$C$7:$AR$400,19,0)))</f>
        <v>14917500</v>
      </c>
      <c r="AY64" s="468">
        <f>IF(ISERROR(VLOOKUP(D64,'Base de Datos'!$C$7:$AR$400,21,0))=TRUE," ",(VLOOKUP(D64,'Base de Datos'!$C$7:$AR$400,21,0)))</f>
        <v>1491752</v>
      </c>
      <c r="AZ64" s="468" t="str">
        <f>IF(ISERROR(VLOOKUP(D64,'Base de Datos'!$C$7:$AR$400,22,0))=TRUE," ",(VLOOKUP(D64,'Base de Datos'!$C$7:$AR$400,22,0)))</f>
        <v>90% del valor del contrato en pagos mensuales, 10% posterior a la firma del acta de liquidación del contrato objeto de interventoría</v>
      </c>
      <c r="BA64" s="475"/>
      <c r="BB64" s="485"/>
    </row>
    <row r="65" spans="2:54" ht="55.5" hidden="1" customHeight="1" x14ac:dyDescent="0.25">
      <c r="B65" s="438">
        <v>58</v>
      </c>
      <c r="C65" s="446" t="s">
        <v>1645</v>
      </c>
      <c r="D65" s="438">
        <v>152</v>
      </c>
      <c r="E65" s="446" t="s">
        <v>1658</v>
      </c>
      <c r="F65" s="447">
        <f>VLOOKUP(D65,'Presupuesto - PAA 2015'!$B$10:$E$265,4,0)</f>
        <v>7442000</v>
      </c>
      <c r="G65" s="439" t="str">
        <f>VLOOKUP(D65,'[3]Seguimiento Plan'!$C$2:$R$101,16,0)</f>
        <v>Prestar los servicios de mantenimiento correctivo y preventivo de la puerta eléctrica y talanqueras de acceso vehicular del Concejo de Bogota</v>
      </c>
      <c r="H65" s="439" t="s">
        <v>1779</v>
      </c>
      <c r="I65" s="439" t="s">
        <v>1713</v>
      </c>
      <c r="J65" s="448" t="s">
        <v>909</v>
      </c>
      <c r="K65" s="449" t="s">
        <v>390</v>
      </c>
      <c r="L65" s="449" t="str">
        <f>VLOOKUP(D65,'[3]Seguimiento Plan'!$C$2:$AJ$101,30,0)</f>
        <v>SI</v>
      </c>
      <c r="M65" s="450">
        <f>VLOOKUP(D65,'[3]Seguimiento Plan'!$C$2:$AJ$101,31,0)</f>
        <v>41991</v>
      </c>
      <c r="N65" s="449"/>
      <c r="O65" s="451"/>
      <c r="P65" s="451"/>
      <c r="Q65" s="451"/>
      <c r="R65" s="529"/>
      <c r="S65" s="355" t="s">
        <v>1744</v>
      </c>
      <c r="T65" s="139" t="s">
        <v>273</v>
      </c>
      <c r="U65" s="455" t="str">
        <f>IF(ISERROR(VLOOKUP(T65,'Base de Datos'!$E$7:$AR$302,3,0))=TRUE," ",(VLOOKUP(T65,'Base de Datos'!$E$7:$AR$302,2,0)))</f>
        <v>AGR SOLUCIONES S.A.S.</v>
      </c>
      <c r="V65" s="458">
        <f>IF(ISERROR(VLOOKUP(T65,'Base de Datos'!$E$7:$AR$302,5,0))=TRUE," ",(VLOOKUP(T65,'Base de Datos'!$E$7:$AR$302,5,0)))</f>
        <v>11000000</v>
      </c>
      <c r="W65" s="455">
        <f>IF(ISERROR(VLOOKUP(T65,'Base de Datos'!$E$7:$AR$302,19,0))=TRUE," ",(VLOOKUP(T65,'Base de Datos'!$E$7:$AR$302,19,0)))</f>
        <v>8327534</v>
      </c>
      <c r="X65" s="460" t="str">
        <f>IF(ISERROR(VLOOKUP(T65,'Base de Datos'!$E$7:$AR$302,8,0))=TRUE," ",(VLOOKUP(T65,'Base de Datos'!$E$7:$AR$302,8,0)))</f>
        <v xml:space="preserve"> </v>
      </c>
      <c r="Y65" s="460">
        <f>IF(ISERROR(VLOOKUP(T65,'Base de Datos'!$E$7:$AR$302,9,0))=TRUE," ",(VLOOKUP(T65,'Base de Datos'!$E$7:$AR$302,9,0)))</f>
        <v>41738</v>
      </c>
      <c r="Z65" s="454">
        <f>IF(ISERROR(VLOOKUP(T65,'Base de Datos'!$E$7:$AR$302,10,0))=TRUE," ",(VLOOKUP(T65,'Base de Datos'!$E$7:$AR$302,10,0)))</f>
        <v>42012</v>
      </c>
      <c r="AA65" s="457">
        <f>IF(ISERROR(VLOOKUP(T65,'Base de Datos'!$E$7:$AR$302,11,0))=TRUE," ",(VLOOKUP(T65,'Base de Datos'!$E$7:$AR$302,11,0)))</f>
        <v>0</v>
      </c>
      <c r="AB65" s="454">
        <f>IF(ISERROR(VLOOKUP(T65,'Base de Datos'!$E$7:$AR$302,12,0))=TRUE," ",(VLOOKUP(T65,'Base de Datos'!$E$7:$AR$302,12,0)))</f>
        <v>0</v>
      </c>
      <c r="AC65" s="454">
        <f>IF(ISERROR(VLOOKUP(T65,'Base de Datos'!$E$7:$AR$302,12,0))=TRUE," ",(VLOOKUP(T65,'Base de Datos'!$E$7:$AR$302,12,0)))</f>
        <v>0</v>
      </c>
      <c r="AD65" s="460" t="str">
        <f>IF(ISERROR(VLOOKUP(T65,'Base de Datos'!$E$7:$AR$302,15,0))=TRUE," ",(VLOOKUP(T65,'Base de Datos'!$E$7:$AR$302,15,0)))</f>
        <v/>
      </c>
      <c r="AE65" s="465">
        <f>IF(ISERROR(VLOOKUP(T65,'Base de Datos'!$E$7:$AR$302,16,0))=TRUE," ",(VLOOKUP(T65,'Base de Datos'!$E$7:$AR$302,16,0)))</f>
        <v>42012</v>
      </c>
      <c r="AF65" s="465">
        <f>IF(ISERROR(VLOOKUP(T65,'Base de Datos'!$E$7:$AR$302,17,0))=TRUE," ",(VLOOKUP(T65,'Base de Datos'!$E$7:$AR$302,17,0)))</f>
        <v>11000000</v>
      </c>
      <c r="AG65" s="465">
        <f>IF(ISERROR(VLOOKUP(T65,'Base de Datos'!$E$7:$AR$302,18,0))=TRUE," ",(VLOOKUP(T65,'Base de Datos'!$E$7:$AR$302,18,0)))</f>
        <v>2672466</v>
      </c>
      <c r="AH65" s="466"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6">
        <f>IF(ISERROR(VLOOKUP(T65,'Base de Datos'!$E$7:$AR$302,21,0))=TRUE," ",(VLOOKUP(T65,'Base de Datos'!$E$7:$AR$302,21,0)))</f>
        <v>0.24295145454545455</v>
      </c>
      <c r="AJ65" s="460">
        <v>42082</v>
      </c>
      <c r="AK65" s="455" t="str">
        <f>IF(ISERROR(VLOOKUP(D65,'Base de Datos'!$C$7:$AR$400,2,0))=TRUE," ",(VLOOKUP(D65,'Base de Datos'!$C$7:$AR$400,2,0)))</f>
        <v>2015152</v>
      </c>
      <c r="AL65" s="455" t="str">
        <f>IF(ISERROR(VLOOKUP(D65,'Base de Datos'!$C$7:$AR$400,3,0))=TRUE," ",(VLOOKUP(D65,'Base de Datos'!$C$7:$AR$400,3,0)))</f>
        <v>150129-0-2015</v>
      </c>
      <c r="AM65" s="458" t="str">
        <f>IF(ISERROR(VLOOKUP(D65,'Base de Datos'!$C$7:$AR$4014,6,0))=TRUE," ",(VLOOKUP(D65,'Base de Datos'!$C$7:$AR$400,6,0)))</f>
        <v>Prestar el servicio de mantenimiento preventivo y correctivo con suministro de repuestos de la puerta eléctrica y talanqueras de acceso vehicular al Concejo de Bogotá D.C.</v>
      </c>
      <c r="AN65" s="458">
        <f>IF(ISERROR(VLOOKUP(D65,'Base de Datos'!$C$7:$AR$400,20,0))=TRUE," ",(VLOOKUP(D65,'Base de Datos'!$C$7:$AR$400,19,0)))</f>
        <v>7442000</v>
      </c>
      <c r="AO65" s="461">
        <f>IF(ISERROR(VLOOKUP(D65,'Base de Datos'!$C$7:$AR$400,9,0))=TRUE," ",(VLOOKUP(D65,'Base de Datos'!$C$7:$AR$400,9,0)))</f>
        <v>2015</v>
      </c>
      <c r="AP65" s="461">
        <f>IF(ISERROR(VLOOKUP(D65,'Base de Datos'!$C$7:$AR$400,10,0))=TRUE," ",(VLOOKUP(D65,'Base de Datos'!$C$7:$AR$400,10,0)))</f>
        <v>42082</v>
      </c>
      <c r="AQ65" s="463">
        <f>IF(ISERROR(VLOOKUP(D65,'Base de Datos'!$C$7:$AR$400,11,0))=TRUE," ",(VLOOKUP(D65,'Base de Datos'!$C$7:$AR$400,11,0)))</f>
        <v>42111</v>
      </c>
      <c r="AR65" s="464">
        <f>IF(ISERROR(VLOOKUP(D65,'Base de Datos'!$C$7:$AR$400,12,0))=TRUE," ",(VLOOKUP(D65,'Base de Datos'!$C$7:$AR$400,12,0)))</f>
        <v>42477</v>
      </c>
      <c r="AS65" s="463">
        <f>IF(ISERROR(VLOOKUP(D65,'Base de Datos'!$C$7:$AR$400,13,0))=TRUE," ",(VLOOKUP(D65,'Base de Datos'!$C$7:$AR$400,13,0)))</f>
        <v>0</v>
      </c>
      <c r="AT65" s="463">
        <f>IF(ISERROR(VLOOKUP(D65,'Base de Datos'!$C$7:$AR$400,14,0))=TRUE," ",(VLOOKUP(D65,'Base de Datos'!$C$7:$AR$400,14,0)))</f>
        <v>0</v>
      </c>
      <c r="AU65" s="461" t="str">
        <f>IF(ISERROR(VLOOKUP(D65,'Base de Datos'!$C$7:$AR$400,16,0))=TRUE," ",(VLOOKUP(D65,'Base de Datos'!$C$7:$AR$400,16,0)))</f>
        <v/>
      </c>
      <c r="AV65" s="465" t="str">
        <f>IF(ISERROR(VLOOKUP(D65,'Base de Datos'!$C$7:$AR$400,17,0))=TRUE," ",(VLOOKUP(D65,'Base de Datos'!$C$7:$AR$400,17,0)))</f>
        <v/>
      </c>
      <c r="AW65" s="465">
        <f>IF(ISERROR(VLOOKUP(D65,'Base de Datos'!$C$7:$AR$400,18,0))=TRUE," ",(VLOOKUP(D65,'Base de Datos'!$C$7:$AR$400,18,0)))</f>
        <v>42477</v>
      </c>
      <c r="AX65" s="465">
        <f>IF(ISERROR(VLOOKUP(D65,'Base de Datos'!$C$7:$AR$400,19,0))=TRUE," ",(VLOOKUP(D65,'Base de Datos'!$C$7:$AR$400,19,0)))</f>
        <v>7442000</v>
      </c>
      <c r="AY65" s="468">
        <f>IF(ISERROR(VLOOKUP(D65,'Base de Datos'!$C$7:$AR$400,21,0))=TRUE," ",(VLOOKUP(D65,'Base de Datos'!$C$7:$AR$400,21,0)))</f>
        <v>2193000</v>
      </c>
      <c r="AZ65" s="468" t="str">
        <f>IF(ISERROR(VLOOKUP(D65,'Base de Datos'!$C$7:$AR$400,22,0))=TRUE," ",(VLOOKUP(D65,'Base de Datos'!$C$7:$AR$400,22,0)))</f>
        <v>Un pago por cada visita, y los repuestos de acuerdo a la demanda requerida</v>
      </c>
      <c r="BA65" s="475"/>
      <c r="BB65" s="485"/>
    </row>
    <row r="66" spans="2:54" ht="55.5" hidden="1" customHeight="1" x14ac:dyDescent="0.25">
      <c r="B66" s="438">
        <v>59</v>
      </c>
      <c r="C66" s="446" t="s">
        <v>1645</v>
      </c>
      <c r="D66" s="438">
        <v>153</v>
      </c>
      <c r="E66" s="446" t="s">
        <v>1658</v>
      </c>
      <c r="F66" s="447" t="e">
        <f>VLOOKUP(D66,'Presupuesto - PAA 2015'!$B$10:$E$265,4,0)</f>
        <v>#N/A</v>
      </c>
      <c r="G66" s="439" t="str">
        <f>VLOOKUP(D66,'[3]Seguimiento Plan'!$C$2:$R$101,16,0)</f>
        <v>Prestar el servicio de manejo integral de los residuos peligrosos existentes en la sede del Concejo de Bogotá.</v>
      </c>
      <c r="H66" s="439" t="s">
        <v>1779</v>
      </c>
      <c r="I66" s="439" t="s">
        <v>1713</v>
      </c>
      <c r="J66" s="448" t="s">
        <v>909</v>
      </c>
      <c r="K66" s="449"/>
      <c r="L66" s="449"/>
      <c r="M66" s="450"/>
      <c r="N66" s="449"/>
      <c r="O66" s="451"/>
      <c r="P66" s="451"/>
      <c r="Q66" s="451"/>
      <c r="R66" s="452"/>
      <c r="S66" s="452"/>
      <c r="T66" s="348" t="s">
        <v>308</v>
      </c>
      <c r="U66" s="455" t="str">
        <f>IF(ISERROR(VLOOKUP(T66,'Base de Datos'!$E$7:$AR$302,3,0))=TRUE," ",(VLOOKUP(T66,'Base de Datos'!$E$7:$AR$302,2,0)))</f>
        <v>INDUSTRIAS QUÍMICAS FIQ LTDA</v>
      </c>
      <c r="V66" s="458">
        <f>IF(ISERROR(VLOOKUP(T66,'Base de Datos'!$E$7:$AR$302,5,0))=TRUE," ",(VLOOKUP(T66,'Base de Datos'!$E$7:$AR$302,5,0)))</f>
        <v>2260000</v>
      </c>
      <c r="W66" s="455">
        <f>IF(ISERROR(VLOOKUP(T66,'Base de Datos'!$E$7:$AR$302,19,0))=TRUE," ",(VLOOKUP(T66,'Base de Datos'!$E$7:$AR$302,19,0)))</f>
        <v>665000</v>
      </c>
      <c r="X66" s="460" t="str">
        <f>IF(ISERROR(VLOOKUP(T66,'Base de Datos'!$E$7:$AR$302,8,0))=TRUE," ",(VLOOKUP(T66,'Base de Datos'!$E$7:$AR$302,8,0)))</f>
        <v xml:space="preserve"> </v>
      </c>
      <c r="Y66" s="460">
        <f>IF(ISERROR(VLOOKUP(T66,'Base de Datos'!$E$7:$AR$302,9,0))=TRUE," ",(VLOOKUP(T66,'Base de Datos'!$E$7:$AR$302,9,0)))</f>
        <v>41862</v>
      </c>
      <c r="Z66" s="454">
        <f>IF(ISERROR(VLOOKUP(T66,'Base de Datos'!$E$7:$AR$302,10,0))=TRUE," ",(VLOOKUP(T66,'Base de Datos'!$E$7:$AR$302,10,0)))</f>
        <v>41923</v>
      </c>
      <c r="AA66" s="457">
        <f>IF(ISERROR(VLOOKUP(T66,'Base de Datos'!$E$7:$AR$302,11,0))=TRUE," ",(VLOOKUP(T66,'Base de Datos'!$E$7:$AR$302,11,0)))</f>
        <v>0</v>
      </c>
      <c r="AB66" s="454">
        <f>IF(ISERROR(VLOOKUP(T66,'Base de Datos'!$E$7:$AR$302,12,0))=TRUE," ",(VLOOKUP(T66,'Base de Datos'!$E$7:$AR$302,12,0)))</f>
        <v>0</v>
      </c>
      <c r="AC66" s="454">
        <f>IF(ISERROR(VLOOKUP(T66,'Base de Datos'!$E$7:$AR$302,12,0))=TRUE," ",(VLOOKUP(T66,'Base de Datos'!$E$7:$AR$302,12,0)))</f>
        <v>0</v>
      </c>
      <c r="AD66" s="460" t="str">
        <f>IF(ISERROR(VLOOKUP(T66,'Base de Datos'!$E$7:$AR$302,15,0))=TRUE," ",(VLOOKUP(T66,'Base de Datos'!$E$7:$AR$302,15,0)))</f>
        <v/>
      </c>
      <c r="AE66" s="465">
        <f>IF(ISERROR(VLOOKUP(T66,'Base de Datos'!$E$7:$AR$302,16,0))=TRUE," ",(VLOOKUP(T66,'Base de Datos'!$E$7:$AR$302,16,0)))</f>
        <v>41923</v>
      </c>
      <c r="AF66" s="465">
        <f>IF(ISERROR(VLOOKUP(T66,'Base de Datos'!$E$7:$AR$302,17,0))=TRUE," ",(VLOOKUP(T66,'Base de Datos'!$E$7:$AR$302,17,0)))</f>
        <v>2260000</v>
      </c>
      <c r="AG66" s="465">
        <f>IF(ISERROR(VLOOKUP(T66,'Base de Datos'!$E$7:$AR$302,18,0))=TRUE," ",(VLOOKUP(T66,'Base de Datos'!$E$7:$AR$302,18,0)))</f>
        <v>1595000</v>
      </c>
      <c r="AH66" s="466" t="str">
        <f>IF(ISERROR(VLOOKUP(T66,'Base de Datos'!$E$7:$AR$302,20,0))=TRUE," ",(VLOOKUP(T66,'Base de Datos'!$E$7:$AR$302,20,0)))</f>
        <v>Un pago equivalente al 100% del valor del contrato, una vez se hayan entregado y aprobado por el supervisor la totalidad de los resultados objeto del contrato.</v>
      </c>
      <c r="AI66" s="466">
        <f>IF(ISERROR(VLOOKUP(T66,'Base de Datos'!$E$7:$AR$302,21,0))=TRUE," ",(VLOOKUP(T66,'Base de Datos'!$E$7:$AR$302,21,0)))</f>
        <v>0.70575221238938057</v>
      </c>
      <c r="AJ66" s="455"/>
      <c r="AK66" s="455" t="str">
        <f>IF(ISERROR(VLOOKUP(D66,'Base de Datos'!$C$7:$AR$400,2,0))=TRUE," ",(VLOOKUP(D66,'Base de Datos'!$C$7:$AR$400,2,0)))</f>
        <v>2016153</v>
      </c>
      <c r="AL66" s="455" t="str">
        <f>IF(ISERROR(VLOOKUP(D66,'Base de Datos'!$C$7:$AR$400,3,0))=TRUE," ",(VLOOKUP(D66,'Base de Datos'!$C$7:$AR$400,3,0)))</f>
        <v>160047-0-2016</v>
      </c>
      <c r="AM66" s="458" t="str">
        <f>IF(ISERROR(VLOOKUP(D66,'Base de Datos'!$C$7:$AR$4014,6,0))=TRUE," ",(VLOOKUP(D66,'Base de Datos'!$C$7:$AR$400,6,0)))</f>
        <v>Prestar los servicios profesionales para apoyar la definición, contratación y seguimiento de los temas de infraestructura física que  requiera el Concejo de Bogotá D.C.</v>
      </c>
      <c r="AN66" s="458">
        <f>IF(ISERROR(VLOOKUP(D66,'Base de Datos'!$C$7:$AR$400,20,0))=TRUE," ",(VLOOKUP(D66,'Base de Datos'!$C$7:$AR$400,19,0)))</f>
        <v>61800000</v>
      </c>
      <c r="AO66" s="461">
        <f>IF(ISERROR(VLOOKUP(D66,'Base de Datos'!$C$7:$AR$400,9,0))=TRUE," ",(VLOOKUP(D66,'Base de Datos'!$C$7:$AR$400,9,0)))</f>
        <v>2016</v>
      </c>
      <c r="AP66" s="461">
        <f>IF(ISERROR(VLOOKUP(D66,'Base de Datos'!$C$7:$AR$400,10,0))=TRUE," ",(VLOOKUP(D66,'Base de Datos'!$C$7:$AR$400,10,0)))</f>
        <v>42446</v>
      </c>
      <c r="AQ66" s="463">
        <f>IF(ISERROR(VLOOKUP(D66,'Base de Datos'!$C$7:$AR$400,11,0))=TRUE," ",(VLOOKUP(D66,'Base de Datos'!$C$7:$AR$400,11,0)))</f>
        <v>42451</v>
      </c>
      <c r="AR66" s="464">
        <f>IF(ISERROR(VLOOKUP(D66,'Base de Datos'!$C$7:$AR$400,12,0))=TRUE," ",(VLOOKUP(D66,'Base de Datos'!$C$7:$AR$400,12,0)))</f>
        <v>42816</v>
      </c>
      <c r="AS66" s="463">
        <f>IF(ISERROR(VLOOKUP(D66,'Base de Datos'!$C$7:$AR$400,13,0))=TRUE," ",(VLOOKUP(D66,'Base de Datos'!$C$7:$AR$400,13,0)))</f>
        <v>0</v>
      </c>
      <c r="AT66" s="463">
        <f>IF(ISERROR(VLOOKUP(D66,'Base de Datos'!$C$7:$AR$400,14,0))=TRUE," ",(VLOOKUP(D66,'Base de Datos'!$C$7:$AR$400,14,0)))</f>
        <v>0</v>
      </c>
      <c r="AU66" s="461" t="str">
        <f>IF(ISERROR(VLOOKUP(D66,'Base de Datos'!$C$7:$AR$400,16,0))=TRUE," ",(VLOOKUP(D66,'Base de Datos'!$C$7:$AR$400,16,0)))</f>
        <v/>
      </c>
      <c r="AV66" s="465" t="str">
        <f>IF(ISERROR(VLOOKUP(D66,'Base de Datos'!$C$7:$AR$400,17,0))=TRUE," ",(VLOOKUP(D66,'Base de Datos'!$C$7:$AR$400,17,0)))</f>
        <v/>
      </c>
      <c r="AW66" s="465">
        <f>IF(ISERROR(VLOOKUP(D66,'Base de Datos'!$C$7:$AR$400,18,0))=TRUE," ",(VLOOKUP(D66,'Base de Datos'!$C$7:$AR$400,18,0)))</f>
        <v>42816</v>
      </c>
      <c r="AX66" s="465">
        <f>IF(ISERROR(VLOOKUP(D66,'Base de Datos'!$C$7:$AR$400,19,0))=TRUE," ",(VLOOKUP(D66,'Base de Datos'!$C$7:$AR$400,19,0)))</f>
        <v>61800000</v>
      </c>
      <c r="AY66" s="468">
        <f>IF(ISERROR(VLOOKUP(D66,'Base de Datos'!$C$7:$AR$400,21,0))=TRUE," ",(VLOOKUP(D66,'Base de Datos'!$C$7:$AR$400,21,0)))</f>
        <v>0</v>
      </c>
      <c r="AZ66" s="468" t="str">
        <f>IF(ISERROR(VLOOKUP(D66,'Base de Datos'!$C$7:$AR$400,22,0))=TRUE," ",(VLOOKUP(D66,'Base de Datos'!$C$7:$AR$400,22,0)))</f>
        <v>Mensual</v>
      </c>
      <c r="BA66" s="475"/>
      <c r="BB66" s="485"/>
    </row>
    <row r="67" spans="2:54" ht="55.5" hidden="1" customHeight="1" x14ac:dyDescent="0.25">
      <c r="B67" s="438">
        <v>60</v>
      </c>
      <c r="C67" s="446" t="s">
        <v>1645</v>
      </c>
      <c r="D67" s="438">
        <v>154</v>
      </c>
      <c r="E67" s="446" t="s">
        <v>1658</v>
      </c>
      <c r="F67" s="447">
        <f>VLOOKUP(D67,'Presupuesto - PAA 2015'!$B$10:$E$265,4,0)</f>
        <v>28000000</v>
      </c>
      <c r="G67" s="439" t="str">
        <f>VLOOKUP(D67,'[3]Seguimiento Plan'!$C$2:$R$101,16,0)</f>
        <v>Prestar los servicios de mantenimiento correctivo con suministro de repuestos para los vehículos marca Mitsubishi al servicio del Concejo de Bogotá.</v>
      </c>
      <c r="H67" s="439" t="s">
        <v>1779</v>
      </c>
      <c r="I67" s="439" t="s">
        <v>1713</v>
      </c>
      <c r="J67" s="448" t="s">
        <v>909</v>
      </c>
      <c r="K67" s="449" t="s">
        <v>390</v>
      </c>
      <c r="L67" s="449" t="str">
        <f>VLOOKUP(D67,'[3]Seguimiento Plan'!$C$2:$AJ$101,30,0)</f>
        <v>SI</v>
      </c>
      <c r="M67" s="450">
        <f>VLOOKUP(D67,'[3]Seguimiento Plan'!$C$2:$AJ$101,31,0)</f>
        <v>42065</v>
      </c>
      <c r="N67" s="449" t="s">
        <v>1810</v>
      </c>
      <c r="O67" s="451"/>
      <c r="P67" s="451"/>
      <c r="Q67" s="451"/>
      <c r="R67" s="452"/>
      <c r="S67" s="452" t="s">
        <v>1908</v>
      </c>
      <c r="T67" s="139" t="s">
        <v>1106</v>
      </c>
      <c r="U67" s="455" t="str">
        <f>IF(ISERROR(VLOOKUP(T67,'Base de Datos'!$E$7:$AR$302,3,0))=TRUE," ",(VLOOKUP(T67,'Base de Datos'!$E$7:$AR$302,2,0)))</f>
        <v>MOTORES Y MAQUINAS MOTORYSA</v>
      </c>
      <c r="V67" s="458">
        <f>IF(ISERROR(VLOOKUP(T67,'Base de Datos'!$E$7:$AR$302,5,0))=TRUE," ",(VLOOKUP(T67,'Base de Datos'!$E$7:$AR$302,5,0)))</f>
        <v>30000000</v>
      </c>
      <c r="W67" s="455">
        <f>IF(ISERROR(VLOOKUP(T67,'Base de Datos'!$E$7:$AR$302,19,0))=TRUE," ",(VLOOKUP(T67,'Base de Datos'!$E$7:$AR$302,19,0)))</f>
        <v>1669890</v>
      </c>
      <c r="X67" s="460" t="str">
        <f>IF(ISERROR(VLOOKUP(T67,'Base de Datos'!$E$7:$AR$302,8,0))=TRUE," ",(VLOOKUP(T67,'Base de Datos'!$E$7:$AR$302,8,0)))</f>
        <v xml:space="preserve"> </v>
      </c>
      <c r="Y67" s="460">
        <f>IF(ISERROR(VLOOKUP(T67,'Base de Datos'!$E$7:$AR$302,9,0))=TRUE," ",(VLOOKUP(T67,'Base de Datos'!$E$7:$AR$302,9,0)))</f>
        <v>41703</v>
      </c>
      <c r="Z67" s="454">
        <f>IF(ISERROR(VLOOKUP(T67,'Base de Datos'!$E$7:$AR$302,10,0))=TRUE," ",(VLOOKUP(T67,'Base de Datos'!$E$7:$AR$302,10,0)))</f>
        <v>42067</v>
      </c>
      <c r="AA67" s="457">
        <f>IF(ISERROR(VLOOKUP(T67,'Base de Datos'!$E$7:$AR$302,11,0))=TRUE," ",(VLOOKUP(T67,'Base de Datos'!$E$7:$AR$302,11,0)))</f>
        <v>0</v>
      </c>
      <c r="AB67" s="454">
        <f>IF(ISERROR(VLOOKUP(T67,'Base de Datos'!$E$7:$AR$302,12,0))=TRUE," ",(VLOOKUP(T67,'Base de Datos'!$E$7:$AR$302,12,0)))</f>
        <v>0</v>
      </c>
      <c r="AC67" s="454">
        <f>IF(ISERROR(VLOOKUP(T67,'Base de Datos'!$E$7:$AR$302,12,0))=TRUE," ",(VLOOKUP(T67,'Base de Datos'!$E$7:$AR$302,12,0)))</f>
        <v>0</v>
      </c>
      <c r="AD67" s="460">
        <f>IF(ISERROR(VLOOKUP(T67,'Base de Datos'!$E$7:$AR$302,15,0))=TRUE," ",(VLOOKUP(T67,'Base de Datos'!$E$7:$AR$302,15,0)))</f>
        <v>42129</v>
      </c>
      <c r="AE67" s="465">
        <f>IF(ISERROR(VLOOKUP(T67,'Base de Datos'!$E$7:$AR$302,16,0))=TRUE," ",(VLOOKUP(T67,'Base de Datos'!$E$7:$AR$302,16,0)))</f>
        <v>42129</v>
      </c>
      <c r="AF67" s="465">
        <f>IF(ISERROR(VLOOKUP(T67,'Base de Datos'!$E$7:$AR$302,17,0))=TRUE," ",(VLOOKUP(T67,'Base de Datos'!$E$7:$AR$302,17,0)))</f>
        <v>30000000</v>
      </c>
      <c r="AG67" s="465">
        <f>IF(ISERROR(VLOOKUP(T67,'Base de Datos'!$E$7:$AR$302,18,0))=TRUE," ",(VLOOKUP(T67,'Base de Datos'!$E$7:$AR$302,18,0)))</f>
        <v>28330110</v>
      </c>
      <c r="AH67" s="466" t="str">
        <f>IF(ISERROR(VLOOKUP(T67,'Base de Datos'!$E$7:$AR$302,20,0))=TRUE," ",(VLOOKUP(T67,'Base de Datos'!$E$7:$AR$302,20,0)))</f>
        <v xml:space="preserve">Los mantenimientos correctivos y el suministro de repuestos se cancelarán mensualmente de acuerdo con los servicios efectivamente prestados.
</v>
      </c>
      <c r="AI67" s="466">
        <f>IF(ISERROR(VLOOKUP(T67,'Base de Datos'!$E$7:$AR$302,21,0))=TRUE," ",(VLOOKUP(T67,'Base de Datos'!$E$7:$AR$302,21,0)))</f>
        <v>0.94433699999999998</v>
      </c>
      <c r="AJ67" s="469">
        <v>42144</v>
      </c>
      <c r="AK67" s="455" t="str">
        <f>IF(ISERROR(VLOOKUP(D67,'Base de Datos'!$C$7:$AR$400,2,0))=TRUE," ",(VLOOKUP(D67,'Base de Datos'!$C$7:$AR$400,2,0)))</f>
        <v>2015154</v>
      </c>
      <c r="AL67" s="455" t="str">
        <f>IF(ISERROR(VLOOKUP(D67,'Base de Datos'!$C$7:$AR$400,3,0))=TRUE," ",(VLOOKUP(D67,'Base de Datos'!$C$7:$AR$400,3,0)))</f>
        <v>150229-0-2015</v>
      </c>
      <c r="AM67" s="458" t="str">
        <f>IF(ISERROR(VLOOKUP(D67,'Base de Datos'!$C$7:$AR$4014,6,0))=TRUE," ",(VLOOKUP(D67,'Base de Datos'!$C$7:$AR$400,6,0)))</f>
        <v>PRESTAR EL SERVICIO DE MANTENIMIENTO CORRECTIVO CON SUMINISTRO DE REPUESTOS DE LOS AUTOMOTORES MARCA MITSUBISHI AL SERVICIO DEL CONCEJO DE BOGOTA</v>
      </c>
      <c r="AN67" s="458">
        <f>IF(ISERROR(VLOOKUP(D67,'Base de Datos'!$C$7:$AR$400,20,0))=TRUE," ",(VLOOKUP(D67,'Base de Datos'!$C$7:$AR$400,19,0)))</f>
        <v>28000000</v>
      </c>
      <c r="AO67" s="461">
        <f>IF(ISERROR(VLOOKUP(D67,'Base de Datos'!$C$7:$AR$400,9,0))=TRUE," ",(VLOOKUP(D67,'Base de Datos'!$C$7:$AR$400,9,0)))</f>
        <v>2015</v>
      </c>
      <c r="AP67" s="461">
        <f>IF(ISERROR(VLOOKUP(D67,'Base de Datos'!$C$7:$AR$400,10,0))=TRUE," ",(VLOOKUP(D67,'Base de Datos'!$C$7:$AR$400,10,0)))</f>
        <v>42144</v>
      </c>
      <c r="AQ67" s="463">
        <f>IF(ISERROR(VLOOKUP(D67,'Base de Datos'!$C$7:$AR$400,11,0))=TRUE," ",(VLOOKUP(D67,'Base de Datos'!$C$7:$AR$400,11,0)))</f>
        <v>42180</v>
      </c>
      <c r="AR67" s="464">
        <f>IF(ISERROR(VLOOKUP(D67,'Base de Datos'!$C$7:$AR$400,12,0))=TRUE," ",(VLOOKUP(D67,'Base de Datos'!$C$7:$AR$400,12,0)))</f>
        <v>42546</v>
      </c>
      <c r="AS67" s="463">
        <f>IF(ISERROR(VLOOKUP(D67,'Base de Datos'!$C$7:$AR$400,13,0))=TRUE," ",(VLOOKUP(D67,'Base de Datos'!$C$7:$AR$400,13,0)))</f>
        <v>0</v>
      </c>
      <c r="AT67" s="463">
        <f>IF(ISERROR(VLOOKUP(D67,'Base de Datos'!$C$7:$AR$400,14,0))=TRUE," ",(VLOOKUP(D67,'Base de Datos'!$C$7:$AR$400,14,0)))</f>
        <v>0</v>
      </c>
      <c r="AU67" s="461" t="str">
        <f>IF(ISERROR(VLOOKUP(D67,'Base de Datos'!$C$7:$AR$400,16,0))=TRUE," ",(VLOOKUP(D67,'Base de Datos'!$C$7:$AR$400,16,0)))</f>
        <v/>
      </c>
      <c r="AV67" s="465" t="str">
        <f>IF(ISERROR(VLOOKUP(D67,'Base de Datos'!$C$7:$AR$400,17,0))=TRUE," ",(VLOOKUP(D67,'Base de Datos'!$C$7:$AR$400,17,0)))</f>
        <v/>
      </c>
      <c r="AW67" s="465">
        <f>IF(ISERROR(VLOOKUP(D67,'Base de Datos'!$C$7:$AR$400,18,0))=TRUE," ",(VLOOKUP(D67,'Base de Datos'!$C$7:$AR$400,18,0)))</f>
        <v>42546</v>
      </c>
      <c r="AX67" s="465">
        <f>IF(ISERROR(VLOOKUP(D67,'Base de Datos'!$C$7:$AR$400,19,0))=TRUE," ",(VLOOKUP(D67,'Base de Datos'!$C$7:$AR$400,19,0)))</f>
        <v>28000000</v>
      </c>
      <c r="AY67" s="468">
        <f>IF(ISERROR(VLOOKUP(D67,'Base de Datos'!$C$7:$AR$400,21,0))=TRUE," ",(VLOOKUP(D67,'Base de Datos'!$C$7:$AR$400,21,0)))</f>
        <v>1403223</v>
      </c>
      <c r="AZ67" s="468" t="str">
        <f>IF(ISERROR(VLOOKUP(D67,'Base de Datos'!$C$7:$AR$400,22,0))=TRUE," ",(VLOOKUP(D67,'Base de Datos'!$C$7:$AR$400,22,0)))</f>
        <v>Mensualmente de acuerdo a los servicios efectivamente prestados.</v>
      </c>
      <c r="BA67" s="475"/>
      <c r="BB67" s="485"/>
    </row>
    <row r="68" spans="2:54" ht="55.5" hidden="1" customHeight="1" x14ac:dyDescent="0.25">
      <c r="B68" s="438">
        <v>61</v>
      </c>
      <c r="C68" s="446" t="s">
        <v>1645</v>
      </c>
      <c r="D68" s="438">
        <v>155</v>
      </c>
      <c r="E68" s="446" t="s">
        <v>1658</v>
      </c>
      <c r="F68" s="447">
        <f>VLOOKUP(D68,'Presupuesto - PAA 2015'!$B$10:$E$265,4,0)</f>
        <v>5000000</v>
      </c>
      <c r="G68" s="439" t="str">
        <f>VLOOKUP(D68,'[3]Seguimiento Plan'!$C$2:$R$101,16,0)</f>
        <v>Prestar el servicio de mantenimiento preventivo y correctivo para los tanques de almacenamiento y equipos de bombeo hidráulicos de agua potable, residual y aguas negras del Concejo de Bogotá.</v>
      </c>
      <c r="H68" s="439" t="s">
        <v>1779</v>
      </c>
      <c r="I68" s="439" t="s">
        <v>1713</v>
      </c>
      <c r="J68" s="448" t="s">
        <v>909</v>
      </c>
      <c r="K68" s="449"/>
      <c r="L68" s="449" t="s">
        <v>390</v>
      </c>
      <c r="M68" s="450"/>
      <c r="N68" s="449"/>
      <c r="O68" s="451"/>
      <c r="P68" s="451"/>
      <c r="Q68" s="451"/>
      <c r="R68" s="452"/>
      <c r="S68" s="709" t="s">
        <v>2110</v>
      </c>
      <c r="T68" s="139" t="s">
        <v>1101</v>
      </c>
      <c r="U68" s="455" t="str">
        <f>IF(ISERROR(VLOOKUP(T68,'Base de Datos'!$E$7:$AR$302,3,0))=TRUE," ",(VLOOKUP(T68,'Base de Datos'!$E$7:$AR$302,2,0)))</f>
        <v>INGENIERÍA DE BOMBAS Y PLANTAS LIMITADA</v>
      </c>
      <c r="V68" s="458">
        <f>IF(ISERROR(VLOOKUP(T68,'Base de Datos'!$E$7:$AR$302,5,0))=TRUE," ",(VLOOKUP(T68,'Base de Datos'!$E$7:$AR$302,5,0)))</f>
        <v>6252000</v>
      </c>
      <c r="W68" s="455">
        <f>IF(ISERROR(VLOOKUP(T68,'Base de Datos'!$E$7:$AR$302,19,0))=TRUE," ",(VLOOKUP(T68,'Base de Datos'!$E$7:$AR$302,19,0)))</f>
        <v>586811</v>
      </c>
      <c r="X68" s="460" t="str">
        <f>IF(ISERROR(VLOOKUP(T68,'Base de Datos'!$E$7:$AR$302,8,0))=TRUE," ",(VLOOKUP(T68,'Base de Datos'!$E$7:$AR$302,8,0)))</f>
        <v xml:space="preserve"> </v>
      </c>
      <c r="Y68" s="460">
        <f>IF(ISERROR(VLOOKUP(T68,'Base de Datos'!$E$7:$AR$302,9,0))=TRUE," ",(VLOOKUP(T68,'Base de Datos'!$E$7:$AR$302,9,0)))</f>
        <v>41842</v>
      </c>
      <c r="Z68" s="454">
        <f>IF(ISERROR(VLOOKUP(T68,'Base de Datos'!$E$7:$AR$302,10,0))=TRUE," ",(VLOOKUP(T68,'Base de Datos'!$E$7:$AR$302,10,0)))</f>
        <v>42207</v>
      </c>
      <c r="AA68" s="457">
        <f>IF(ISERROR(VLOOKUP(T68,'Base de Datos'!$E$7:$AR$302,11,0))=TRUE," ",(VLOOKUP(T68,'Base de Datos'!$E$7:$AR$302,11,0)))</f>
        <v>0</v>
      </c>
      <c r="AB68" s="454">
        <f>IF(ISERROR(VLOOKUP(T68,'Base de Datos'!$E$7:$AR$302,12,0))=TRUE," ",(VLOOKUP(T68,'Base de Datos'!$E$7:$AR$302,12,0)))</f>
        <v>0</v>
      </c>
      <c r="AC68" s="454">
        <f>IF(ISERROR(VLOOKUP(T68,'Base de Datos'!$E$7:$AR$302,12,0))=TRUE," ",(VLOOKUP(T68,'Base de Datos'!$E$7:$AR$302,12,0)))</f>
        <v>0</v>
      </c>
      <c r="AD68" s="460" t="str">
        <f>IF(ISERROR(VLOOKUP(T68,'Base de Datos'!$E$7:$AR$302,15,0))=TRUE," ",(VLOOKUP(T68,'Base de Datos'!$E$7:$AR$302,15,0)))</f>
        <v/>
      </c>
      <c r="AE68" s="465">
        <f>IF(ISERROR(VLOOKUP(T68,'Base de Datos'!$E$7:$AR$302,16,0))=TRUE," ",(VLOOKUP(T68,'Base de Datos'!$E$7:$AR$302,16,0)))</f>
        <v>42207</v>
      </c>
      <c r="AF68" s="465">
        <f>IF(ISERROR(VLOOKUP(T68,'Base de Datos'!$E$7:$AR$302,17,0))=TRUE," ",(VLOOKUP(T68,'Base de Datos'!$E$7:$AR$302,17,0)))</f>
        <v>6252000</v>
      </c>
      <c r="AG68" s="465">
        <f>IF(ISERROR(VLOOKUP(T68,'Base de Datos'!$E$7:$AR$302,18,0))=TRUE," ",(VLOOKUP(T68,'Base de Datos'!$E$7:$AR$302,18,0)))</f>
        <v>5665189</v>
      </c>
      <c r="AH68" s="466"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6">
        <f>IF(ISERROR(VLOOKUP(T68,'Base de Datos'!$E$7:$AR$302,21,0))=TRUE," ",(VLOOKUP(T68,'Base de Datos'!$E$7:$AR$302,21,0)))</f>
        <v>0.90614027511196416</v>
      </c>
      <c r="AJ68" s="455"/>
      <c r="AK68" s="455" t="str">
        <f>IF(ISERROR(VLOOKUP(D68,'Base de Datos'!$C$7:$AR$400,2,0))=TRUE," ",(VLOOKUP(D68,'Base de Datos'!$C$7:$AR$400,2,0)))</f>
        <v>2015155</v>
      </c>
      <c r="AL68" s="455" t="str">
        <f>IF(ISERROR(VLOOKUP(D68,'Base de Datos'!$C$7:$AR$400,3,0))=TRUE," ",(VLOOKUP(D68,'Base de Datos'!$C$7:$AR$400,3,0)))</f>
        <v>150341-0-2015</v>
      </c>
      <c r="AM68" s="458"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8">
        <f>IF(ISERROR(VLOOKUP(D68,'Base de Datos'!$C$7:$AR$400,20,0))=TRUE," ",(VLOOKUP(D68,'Base de Datos'!$C$7:$AR$400,19,0)))</f>
        <v>5000000</v>
      </c>
      <c r="AO68" s="461">
        <f>IF(ISERROR(VLOOKUP(D68,'Base de Datos'!$C$7:$AR$400,9,0))=TRUE," ",(VLOOKUP(D68,'Base de Datos'!$C$7:$AR$400,9,0)))</f>
        <v>2015</v>
      </c>
      <c r="AP68" s="461">
        <f>IF(ISERROR(VLOOKUP(D68,'Base de Datos'!$C$7:$AR$400,10,0))=TRUE," ",(VLOOKUP(D68,'Base de Datos'!$C$7:$AR$400,10,0)))</f>
        <v>42236</v>
      </c>
      <c r="AQ68" s="463">
        <f>IF(ISERROR(VLOOKUP(D68,'Base de Datos'!$C$7:$AR$400,11,0))=TRUE," ",(VLOOKUP(D68,'Base de Datos'!$C$7:$AR$400,11,0)))</f>
        <v>42244</v>
      </c>
      <c r="AR68" s="464">
        <f>IF(ISERROR(VLOOKUP(D68,'Base de Datos'!$C$7:$AR$400,12,0))=TRUE," ",(VLOOKUP(D68,'Base de Datos'!$C$7:$AR$400,12,0)))</f>
        <v>42549</v>
      </c>
      <c r="AS68" s="463">
        <f>IF(ISERROR(VLOOKUP(D68,'Base de Datos'!$C$7:$AR$400,13,0))=TRUE," ",(VLOOKUP(D68,'Base de Datos'!$C$7:$AR$400,13,0)))</f>
        <v>0</v>
      </c>
      <c r="AT68" s="463">
        <f>IF(ISERROR(VLOOKUP(D68,'Base de Datos'!$C$7:$AR$400,14,0))=TRUE," ",(VLOOKUP(D68,'Base de Datos'!$C$7:$AR$400,14,0)))</f>
        <v>0</v>
      </c>
      <c r="AU68" s="461" t="str">
        <f>IF(ISERROR(VLOOKUP(D68,'Base de Datos'!$C$7:$AR$400,16,0))=TRUE," ",(VLOOKUP(D68,'Base de Datos'!$C$7:$AR$400,16,0)))</f>
        <v>2 meses</v>
      </c>
      <c r="AV68" s="465">
        <f>IF(ISERROR(VLOOKUP(D68,'Base de Datos'!$C$7:$AR$400,17,0))=TRUE," ",(VLOOKUP(D68,'Base de Datos'!$C$7:$AR$400,17,0)))</f>
        <v>42610</v>
      </c>
      <c r="AW68" s="465">
        <f>IF(ISERROR(VLOOKUP(D68,'Base de Datos'!$C$7:$AR$400,18,0))=TRUE," ",(VLOOKUP(D68,'Base de Datos'!$C$7:$AR$400,18,0)))</f>
        <v>42610</v>
      </c>
      <c r="AX68" s="465">
        <f>IF(ISERROR(VLOOKUP(D68,'Base de Datos'!$C$7:$AR$400,19,0))=TRUE," ",(VLOOKUP(D68,'Base de Datos'!$C$7:$AR$400,19,0)))</f>
        <v>5000000</v>
      </c>
      <c r="AY68" s="468">
        <f>IF(ISERROR(VLOOKUP(D68,'Base de Datos'!$C$7:$AR$400,21,0))=TRUE," ",(VLOOKUP(D68,'Base de Datos'!$C$7:$AR$400,21,0)))</f>
        <v>1551601</v>
      </c>
      <c r="AZ68" s="468" t="str">
        <f>IF(ISERROR(VLOOKUP(D68,'Base de Datos'!$C$7:$AR$400,22,0))=TRUE," ",(VLOOKUP(D68,'Base de Datos'!$C$7:$AR$400,22,0)))</f>
        <v>Mantenimiento preventivo pagos bimestrales, mantenimiento correctivo de acuerdo a demanda.</v>
      </c>
      <c r="BA68" s="475"/>
      <c r="BB68" s="485"/>
    </row>
    <row r="69" spans="2:54" ht="55.5" hidden="1" customHeight="1" x14ac:dyDescent="0.25">
      <c r="B69" s="438">
        <v>62</v>
      </c>
      <c r="C69" s="446" t="s">
        <v>1645</v>
      </c>
      <c r="D69" s="438">
        <v>164</v>
      </c>
      <c r="E69" s="446" t="s">
        <v>1658</v>
      </c>
      <c r="F69" s="447">
        <f>VLOOKUP(D69,'Presupuesto - PAA 2015'!$B$10:$E$265,4,0)</f>
        <v>3415000</v>
      </c>
      <c r="G69" s="439" t="str">
        <f>VLOOKUP(D69,'[3]Seguimiento Plan'!$C$2:$R$101,16,0)</f>
        <v>Prestar los servicios de mantenimiento preventivo para los vehículos de la Secretaría de Hacienda y del Concejo de Bogotá.-</v>
      </c>
      <c r="H69" s="439" t="s">
        <v>1779</v>
      </c>
      <c r="I69" s="439" t="s">
        <v>1713</v>
      </c>
      <c r="J69" s="448" t="s">
        <v>909</v>
      </c>
      <c r="K69" s="449" t="s">
        <v>390</v>
      </c>
      <c r="L69" s="449" t="str">
        <f>VLOOKUP(D69,'[3]Seguimiento Plan'!$C$2:$AJ$101,30,0)</f>
        <v>SI</v>
      </c>
      <c r="M69" s="450">
        <f>VLOOKUP(D69,'[3]Seguimiento Plan'!$C$2:$AJ$101,31,0)</f>
        <v>42025</v>
      </c>
      <c r="N69" s="449"/>
      <c r="O69" s="451"/>
      <c r="P69" s="451"/>
      <c r="Q69" s="451"/>
      <c r="R69" s="452" t="s">
        <v>1948</v>
      </c>
      <c r="S69" s="470" t="s">
        <v>1947</v>
      </c>
      <c r="T69" s="453"/>
      <c r="U69" s="455" t="str">
        <f>IF(ISERROR(VLOOKUP(T69,'Base de Datos'!$E$7:$AR$302,3,0))=TRUE," ",(VLOOKUP(T69,'Base de Datos'!$E$7:$AR$302,2,0)))</f>
        <v xml:space="preserve"> </v>
      </c>
      <c r="V69" s="458" t="str">
        <f>IF(ISERROR(VLOOKUP(T69,'Base de Datos'!$E$7:$AR$302,5,0))=TRUE," ",(VLOOKUP(T69,'Base de Datos'!$E$7:$AR$302,5,0)))</f>
        <v xml:space="preserve"> </v>
      </c>
      <c r="W69" s="455" t="str">
        <f>IF(ISERROR(VLOOKUP(T69,'Base de Datos'!$E$7:$AR$302,19,0))=TRUE," ",(VLOOKUP(T69,'Base de Datos'!$E$7:$AR$302,19,0)))</f>
        <v xml:space="preserve"> </v>
      </c>
      <c r="X69" s="460" t="str">
        <f>IF(ISERROR(VLOOKUP(T69,'Base de Datos'!$E$7:$AR$302,8,0))=TRUE," ",(VLOOKUP(T69,'Base de Datos'!$E$7:$AR$302,8,0)))</f>
        <v xml:space="preserve"> </v>
      </c>
      <c r="Y69" s="460" t="str">
        <f>IF(ISERROR(VLOOKUP(T69,'Base de Datos'!$E$7:$AR$302,9,0))=TRUE," ",(VLOOKUP(T69,'Base de Datos'!$E$7:$AR$302,9,0)))</f>
        <v xml:space="preserve"> </v>
      </c>
      <c r="Z69" s="454" t="str">
        <f>IF(ISERROR(VLOOKUP(T69,'Base de Datos'!$E$7:$AR$302,10,0))=TRUE," ",(VLOOKUP(T69,'Base de Datos'!$E$7:$AR$302,10,0)))</f>
        <v xml:space="preserve"> </v>
      </c>
      <c r="AA69" s="457" t="str">
        <f>IF(ISERROR(VLOOKUP(T69,'Base de Datos'!$E$7:$AR$302,11,0))=TRUE," ",(VLOOKUP(T69,'Base de Datos'!$E$7:$AR$302,11,0)))</f>
        <v xml:space="preserve"> </v>
      </c>
      <c r="AB69" s="454" t="str">
        <f>IF(ISERROR(VLOOKUP(T69,'Base de Datos'!$E$7:$AR$302,12,0))=TRUE," ",(VLOOKUP(T69,'Base de Datos'!$E$7:$AR$302,12,0)))</f>
        <v xml:space="preserve"> </v>
      </c>
      <c r="AC69" s="454" t="str">
        <f>IF(ISERROR(VLOOKUP(T69,'Base de Datos'!$E$7:$AR$302,12,0))=TRUE," ",(VLOOKUP(T69,'Base de Datos'!$E$7:$AR$302,12,0)))</f>
        <v xml:space="preserve"> </v>
      </c>
      <c r="AD69" s="460" t="str">
        <f>IF(ISERROR(VLOOKUP(T69,'Base de Datos'!$E$7:$AR$302,15,0))=TRUE," ",(VLOOKUP(T69,'Base de Datos'!$E$7:$AR$302,15,0)))</f>
        <v xml:space="preserve"> </v>
      </c>
      <c r="AE69" s="465" t="str">
        <f>IF(ISERROR(VLOOKUP(T69,'Base de Datos'!$E$7:$AR$302,16,0))=TRUE," ",(VLOOKUP(T69,'Base de Datos'!$E$7:$AR$302,16,0)))</f>
        <v xml:space="preserve"> </v>
      </c>
      <c r="AF69" s="465" t="str">
        <f>IF(ISERROR(VLOOKUP(T69,'Base de Datos'!$E$7:$AR$302,17,0))=TRUE," ",(VLOOKUP(T69,'Base de Datos'!$E$7:$AR$302,17,0)))</f>
        <v xml:space="preserve"> </v>
      </c>
      <c r="AG69" s="465" t="str">
        <f>IF(ISERROR(VLOOKUP(T69,'Base de Datos'!$E$7:$AR$302,18,0))=TRUE," ",(VLOOKUP(T69,'Base de Datos'!$E$7:$AR$302,18,0)))</f>
        <v xml:space="preserve"> </v>
      </c>
      <c r="AH69" s="466" t="str">
        <f>IF(ISERROR(VLOOKUP(T69,'Base de Datos'!$E$7:$AR$302,20,0))=TRUE," ",(VLOOKUP(T69,'Base de Datos'!$E$7:$AR$302,20,0)))</f>
        <v xml:space="preserve"> </v>
      </c>
      <c r="AI69" s="466" t="str">
        <f>IF(ISERROR(VLOOKUP(T69,'Base de Datos'!$E$7:$AR$302,21,0))=TRUE," ",(VLOOKUP(T69,'Base de Datos'!$E$7:$AR$302,21,0)))</f>
        <v xml:space="preserve"> </v>
      </c>
      <c r="AJ69" s="455"/>
      <c r="AK69" s="455" t="str">
        <f>IF(ISERROR(VLOOKUP(D69,'Base de Datos'!$C$7:$AR$400,2,0))=TRUE," ",(VLOOKUP(D69,'Base de Datos'!$C$7:$AR$400,2,0)))</f>
        <v>2015164</v>
      </c>
      <c r="AL69" s="455" t="str">
        <f>IF(ISERROR(VLOOKUP(D69,'Base de Datos'!$C$7:$AR$400,3,0))=TRUE," ",(VLOOKUP(D69,'Base de Datos'!$C$7:$AR$400,3,0)))</f>
        <v>150358-0-2015</v>
      </c>
      <c r="AM69" s="458"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8">
        <f>IF(ISERROR(VLOOKUP(D69,'Base de Datos'!$C$7:$AR$400,20,0))=TRUE," ",(VLOOKUP(D69,'Base de Datos'!$C$7:$AR$400,19,0)))</f>
        <v>28805000</v>
      </c>
      <c r="AO69" s="461">
        <f>IF(ISERROR(VLOOKUP(D69,'Base de Datos'!$C$7:$AR$400,9,0))=TRUE," ",(VLOOKUP(D69,'Base de Datos'!$C$7:$AR$400,9,0)))</f>
        <v>2015</v>
      </c>
      <c r="AP69" s="461">
        <f>IF(ISERROR(VLOOKUP(D69,'Base de Datos'!$C$7:$AR$400,10,0))=TRUE," ",(VLOOKUP(D69,'Base de Datos'!$C$7:$AR$400,10,0)))</f>
        <v>42268</v>
      </c>
      <c r="AQ69" s="463">
        <f>IF(ISERROR(VLOOKUP(D69,'Base de Datos'!$C$7:$AR$400,11,0))=TRUE," ",(VLOOKUP(D69,'Base de Datos'!$C$7:$AR$400,11,0)))</f>
        <v>42296</v>
      </c>
      <c r="AR69" s="464">
        <f>IF(ISERROR(VLOOKUP(D69,'Base de Datos'!$C$7:$AR$400,12,0))=TRUE," ",(VLOOKUP(D69,'Base de Datos'!$C$7:$AR$400,12,0)))</f>
        <v>42662</v>
      </c>
      <c r="AS69" s="463">
        <f>IF(ISERROR(VLOOKUP(D69,'Base de Datos'!$C$7:$AR$400,13,0))=TRUE," ",(VLOOKUP(D69,'Base de Datos'!$C$7:$AR$400,13,0)))</f>
        <v>0</v>
      </c>
      <c r="AT69" s="463">
        <f>IF(ISERROR(VLOOKUP(D69,'Base de Datos'!$C$7:$AR$400,14,0))=TRUE," ",(VLOOKUP(D69,'Base de Datos'!$C$7:$AR$400,14,0)))</f>
        <v>0</v>
      </c>
      <c r="AU69" s="461" t="str">
        <f>IF(ISERROR(VLOOKUP(D69,'Base de Datos'!$C$7:$AR$400,16,0))=TRUE," ",(VLOOKUP(D69,'Base de Datos'!$C$7:$AR$400,16,0)))</f>
        <v>2 meses     12 días calendario</v>
      </c>
      <c r="AV69" s="465">
        <f>IF(ISERROR(VLOOKUP(D69,'Base de Datos'!$C$7:$AR$400,17,0))=TRUE," ",(VLOOKUP(D69,'Base de Datos'!$C$7:$AR$400,17,0)))</f>
        <v>42735</v>
      </c>
      <c r="AW69" s="465">
        <f>IF(ISERROR(VLOOKUP(D69,'Base de Datos'!$C$7:$AR$400,18,0))=TRUE," ",(VLOOKUP(D69,'Base de Datos'!$C$7:$AR$400,18,0)))</f>
        <v>42735</v>
      </c>
      <c r="AX69" s="465">
        <f>IF(ISERROR(VLOOKUP(D69,'Base de Datos'!$C$7:$AR$400,19,0))=TRUE," ",(VLOOKUP(D69,'Base de Datos'!$C$7:$AR$400,19,0)))</f>
        <v>28805000</v>
      </c>
      <c r="AY69" s="468">
        <f>IF(ISERROR(VLOOKUP(D69,'Base de Datos'!$C$7:$AR$400,21,0))=TRUE," ",(VLOOKUP(D69,'Base de Datos'!$C$7:$AR$400,21,0)))</f>
        <v>16510250</v>
      </c>
      <c r="AZ69" s="468" t="str">
        <f>IF(ISERROR(VLOOKUP(D69,'Base de Datos'!$C$7:$AR$400,22,0))=TRUE," ",(VLOOKUP(D69,'Base de Datos'!$C$7:$AR$400,22,0)))</f>
        <v>Pagos mensuales de acuerdo a los servicios e insumos efectivamente prestados</v>
      </c>
      <c r="BA69" s="475"/>
      <c r="BB69" s="485"/>
    </row>
    <row r="70" spans="2:54" ht="55.5" hidden="1" customHeight="1" x14ac:dyDescent="0.25">
      <c r="B70" s="438">
        <v>63</v>
      </c>
      <c r="C70" s="446" t="s">
        <v>1645</v>
      </c>
      <c r="D70" s="438">
        <v>165</v>
      </c>
      <c r="E70" s="446" t="s">
        <v>1658</v>
      </c>
      <c r="F70" s="447">
        <f>VLOOKUP(D70,'Presupuesto - PAA 2015'!$B$10:$E$265,4,0)</f>
        <v>133000000</v>
      </c>
      <c r="G70" s="439"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9" t="s">
        <v>1779</v>
      </c>
      <c r="I70" s="439" t="s">
        <v>1713</v>
      </c>
      <c r="J70" s="448" t="s">
        <v>1737</v>
      </c>
      <c r="K70" s="449" t="s">
        <v>390</v>
      </c>
      <c r="L70" s="449" t="str">
        <f>VLOOKUP(D70,'[3]Seguimiento Plan'!$C$2:$AJ$101,30,0)</f>
        <v>SI</v>
      </c>
      <c r="M70" s="450">
        <f>VLOOKUP(D70,'[3]Seguimiento Plan'!$C$2:$AJ$101,31,0)</f>
        <v>42009</v>
      </c>
      <c r="N70" s="449"/>
      <c r="O70" s="451"/>
      <c r="P70" s="451"/>
      <c r="Q70" s="471">
        <v>42079</v>
      </c>
      <c r="R70" s="530"/>
      <c r="S70" s="470" t="s">
        <v>1762</v>
      </c>
      <c r="T70" s="347" t="s">
        <v>287</v>
      </c>
      <c r="U70" s="455" t="str">
        <f>IF(ISERROR(VLOOKUP(T70,'Base de Datos'!$E$7:$AR$302,3,0))=TRUE," ",(VLOOKUP(T70,'Base de Datos'!$E$7:$AR$302,2,0)))</f>
        <v xml:space="preserve">UNIÓN TEMPORAL EMINSER-SOLOASEO </v>
      </c>
      <c r="V70" s="458">
        <f>IF(ISERROR(VLOOKUP(T70,'Base de Datos'!$E$7:$AR$302,5,0))=TRUE," ",(VLOOKUP(T70,'Base de Datos'!$E$7:$AR$302,5,0)))</f>
        <v>337487000</v>
      </c>
      <c r="W70" s="455">
        <f>IF(ISERROR(VLOOKUP(T70,'Base de Datos'!$E$7:$AR$302,19,0))=TRUE," ",(VLOOKUP(T70,'Base de Datos'!$E$7:$AR$302,19,0)))</f>
        <v>2</v>
      </c>
      <c r="X70" s="460" t="str">
        <f>IF(ISERROR(VLOOKUP(T70,'Base de Datos'!$E$7:$AR$302,8,0))=TRUE," ",(VLOOKUP(T70,'Base de Datos'!$E$7:$AR$302,8,0)))</f>
        <v xml:space="preserve"> </v>
      </c>
      <c r="Y70" s="460">
        <f>IF(ISERROR(VLOOKUP(T70,'Base de Datos'!$E$7:$AR$302,9,0))=TRUE," ",(VLOOKUP(T70,'Base de Datos'!$E$7:$AR$302,9,0)))</f>
        <v>41811</v>
      </c>
      <c r="Z70" s="454">
        <f>IF(ISERROR(VLOOKUP(T70,'Base de Datos'!$E$7:$AR$302,10,0))=TRUE," ",(VLOOKUP(T70,'Base de Datos'!$E$7:$AR$302,10,0)))</f>
        <v>42130</v>
      </c>
      <c r="AA70" s="457">
        <f>IF(ISERROR(VLOOKUP(T70,'Base de Datos'!$E$7:$AR$302,11,0))=TRUE," ",(VLOOKUP(T70,'Base de Datos'!$E$7:$AR$302,11,0)))</f>
        <v>0</v>
      </c>
      <c r="AB70" s="454">
        <f>IF(ISERROR(VLOOKUP(T70,'Base de Datos'!$E$7:$AR$302,12,0))=TRUE," ",(VLOOKUP(T70,'Base de Datos'!$E$7:$AR$302,12,0)))</f>
        <v>0</v>
      </c>
      <c r="AC70" s="454">
        <f>IF(ISERROR(VLOOKUP(T70,'Base de Datos'!$E$7:$AR$302,12,0))=TRUE," ",(VLOOKUP(T70,'Base de Datos'!$E$7:$AR$302,12,0)))</f>
        <v>0</v>
      </c>
      <c r="AD70" s="460">
        <f>IF(ISERROR(VLOOKUP(T70,'Base de Datos'!$E$7:$AR$302,15,0))=TRUE," ",(VLOOKUP(T70,'Base de Datos'!$E$7:$AR$302,15,0)))</f>
        <v>42186</v>
      </c>
      <c r="AE70" s="465">
        <f>IF(ISERROR(VLOOKUP(T70,'Base de Datos'!$E$7:$AR$302,16,0))=TRUE," ",(VLOOKUP(T70,'Base de Datos'!$E$7:$AR$302,16,0)))</f>
        <v>42186</v>
      </c>
      <c r="AF70" s="465">
        <f>IF(ISERROR(VLOOKUP(T70,'Base de Datos'!$E$7:$AR$302,17,0))=TRUE," ",(VLOOKUP(T70,'Base de Datos'!$E$7:$AR$302,17,0)))</f>
        <v>337487000</v>
      </c>
      <c r="AG70" s="465">
        <f>IF(ISERROR(VLOOKUP(T70,'Base de Datos'!$E$7:$AR$302,18,0))=TRUE," ",(VLOOKUP(T70,'Base de Datos'!$E$7:$AR$302,18,0)))</f>
        <v>337486998</v>
      </c>
      <c r="AH70" s="466"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6">
        <f>IF(ISERROR(VLOOKUP(T70,'Base de Datos'!$E$7:$AR$302,21,0))=TRUE," ",(VLOOKUP(T70,'Base de Datos'!$E$7:$AR$302,21,0)))</f>
        <v>0.99999999407384577</v>
      </c>
      <c r="AJ70" s="469">
        <v>42174</v>
      </c>
      <c r="AK70" s="455" t="str">
        <f>IF(ISERROR(VLOOKUP(D70,'Base de Datos'!$C$7:$AR$400,2,0))=TRUE," ",(VLOOKUP(D70,'Base de Datos'!$C$7:$AR$400,2,0)))</f>
        <v>2015165</v>
      </c>
      <c r="AL70" s="455" t="str">
        <f>IF(ISERROR(VLOOKUP(D70,'Base de Datos'!$C$7:$AR$400,3,0))=TRUE," ",(VLOOKUP(D70,'Base de Datos'!$C$7:$AR$400,3,0)))</f>
        <v>150265-0-2015</v>
      </c>
      <c r="AM70" s="458"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8">
        <f>IF(ISERROR(VLOOKUP(D70,'Base de Datos'!$C$7:$AR$400,20,0))=TRUE," ",(VLOOKUP(D70,'Base de Datos'!$C$7:$AR$400,19,0)))</f>
        <v>434000000</v>
      </c>
      <c r="AO70" s="461">
        <f>IF(ISERROR(VLOOKUP(D70,'Base de Datos'!$C$7:$AR$400,9,0))=TRUE," ",(VLOOKUP(D70,'Base de Datos'!$C$7:$AR$400,9,0)))</f>
        <v>2015</v>
      </c>
      <c r="AP70" s="461">
        <f>IF(ISERROR(VLOOKUP(D70,'Base de Datos'!$C$7:$AR$400,10,0))=TRUE," ",(VLOOKUP(D70,'Base de Datos'!$C$7:$AR$400,10,0)))</f>
        <v>42174</v>
      </c>
      <c r="AQ70" s="463">
        <f>IF(ISERROR(VLOOKUP(D70,'Base de Datos'!$C$7:$AR$400,11,0))=TRUE," ",(VLOOKUP(D70,'Base de Datos'!$C$7:$AR$400,11,0)))</f>
        <v>42187</v>
      </c>
      <c r="AR70" s="464">
        <f>IF(ISERROR(VLOOKUP(D70,'Base de Datos'!$C$7:$AR$400,12,0))=TRUE," ",(VLOOKUP(D70,'Base de Datos'!$C$7:$AR$400,12,0)))</f>
        <v>42492</v>
      </c>
      <c r="AS70" s="463">
        <f>IF(ISERROR(VLOOKUP(D70,'Base de Datos'!$C$7:$AR$400,13,0))=TRUE," ",(VLOOKUP(D70,'Base de Datos'!$C$7:$AR$400,13,0)))</f>
        <v>2</v>
      </c>
      <c r="AT70" s="463">
        <f>IF(ISERROR(VLOOKUP(D70,'Base de Datos'!$C$7:$AR$400,14,0))=TRUE," ",(VLOOKUP(D70,'Base de Datos'!$C$7:$AR$400,14,0)))</f>
        <v>92000000</v>
      </c>
      <c r="AU70" s="461" t="str">
        <f>IF(ISERROR(VLOOKUP(D70,'Base de Datos'!$C$7:$AR$400,16,0))=TRUE," ",(VLOOKUP(D70,'Base de Datos'!$C$7:$AR$400,16,0)))</f>
        <v>7 meses          23 días</v>
      </c>
      <c r="AV70" s="465">
        <f>IF(ISERROR(VLOOKUP(D70,'Base de Datos'!$C$7:$AR$400,17,0))=TRUE," ",(VLOOKUP(D70,'Base de Datos'!$C$7:$AR$400,17,0)))</f>
        <v>42728</v>
      </c>
      <c r="AW70" s="465">
        <f>IF(ISERROR(VLOOKUP(D70,'Base de Datos'!$C$7:$AR$400,18,0))=TRUE," ",(VLOOKUP(D70,'Base de Datos'!$C$7:$AR$400,18,0)))</f>
        <v>42728</v>
      </c>
      <c r="AX70" s="465">
        <f>IF(ISERROR(VLOOKUP(D70,'Base de Datos'!$C$7:$AR$400,19,0))=TRUE," ",(VLOOKUP(D70,'Base de Datos'!$C$7:$AR$400,19,0)))</f>
        <v>434000000</v>
      </c>
      <c r="AY70" s="468">
        <f>IF(ISERROR(VLOOKUP(D70,'Base de Datos'!$C$7:$AR$400,21,0))=TRUE," ",(VLOOKUP(D70,'Base de Datos'!$C$7:$AR$400,21,0)))</f>
        <v>59275152</v>
      </c>
      <c r="AZ70" s="468">
        <f>IF(ISERROR(VLOOKUP(D70,'Base de Datos'!$C$7:$AR$400,22,0))=TRUE," ",(VLOOKUP(D70,'Base de Datos'!$C$7:$AR$400,22,0)))</f>
        <v>0</v>
      </c>
      <c r="BA70" s="475"/>
      <c r="BB70" s="485"/>
    </row>
    <row r="71" spans="2:54" ht="55.5" hidden="1" customHeight="1" x14ac:dyDescent="0.25">
      <c r="B71" s="438">
        <v>64</v>
      </c>
      <c r="C71" s="446" t="s">
        <v>1645</v>
      </c>
      <c r="D71" s="438">
        <v>171</v>
      </c>
      <c r="E71" s="446" t="s">
        <v>1658</v>
      </c>
      <c r="F71" s="447">
        <f>VLOOKUP(D71,'Presupuesto - PAA 2015'!$B$10:$E$265,4,0)</f>
        <v>14210000</v>
      </c>
      <c r="G71" s="439" t="str">
        <f>VLOOKUP(D71,'[3]Seguimiento Plan'!$C$2:$R$101,16,0)</f>
        <v>Prestar los servicios de mantenimiento preventivo y correctivo a los ascensores marca Mitsubishi del CAD y del Concejo de Bogotá y de la Plataforma para discapacitados ubicada en el CAD.-</v>
      </c>
      <c r="H71" s="439" t="s">
        <v>1779</v>
      </c>
      <c r="I71" s="439" t="s">
        <v>1713</v>
      </c>
      <c r="J71" s="448" t="s">
        <v>908</v>
      </c>
      <c r="K71" s="449" t="s">
        <v>390</v>
      </c>
      <c r="L71" s="449" t="str">
        <f>VLOOKUP(D71,'[3]Seguimiento Plan'!$C$2:$AJ$101,30,0)</f>
        <v>SI</v>
      </c>
      <c r="M71" s="450">
        <f>VLOOKUP(D71,'[3]Seguimiento Plan'!$C$2:$AJ$101,31,0)</f>
        <v>42061</v>
      </c>
      <c r="N71" s="449"/>
      <c r="O71" s="451"/>
      <c r="P71" s="451"/>
      <c r="Q71" s="451"/>
      <c r="R71" s="452"/>
      <c r="S71" s="470" t="s">
        <v>1859</v>
      </c>
      <c r="T71" s="139" t="s">
        <v>268</v>
      </c>
      <c r="U71" s="455" t="str">
        <f>IF(ISERROR(VLOOKUP(T71,'Base de Datos'!$E$7:$AR$302,3,0))=TRUE," ",(VLOOKUP(T71,'Base de Datos'!$E$7:$AR$302,2,0)))</f>
        <v>MITSUBISHIS ELECTRIC DE COLOMBIA LTDA</v>
      </c>
      <c r="V71" s="458">
        <f>IF(ISERROR(VLOOKUP(T71,'Base de Datos'!$E$7:$AR$302,5,0))=TRUE," ",(VLOOKUP(T71,'Base de Datos'!$E$7:$AR$302,5,0)))</f>
        <v>16555000</v>
      </c>
      <c r="W71" s="455">
        <f>IF(ISERROR(VLOOKUP(T71,'Base de Datos'!$E$7:$AR$302,19,0))=TRUE," ",(VLOOKUP(T71,'Base de Datos'!$E$7:$AR$302,19,0)))</f>
        <v>792331</v>
      </c>
      <c r="X71" s="460" t="str">
        <f>IF(ISERROR(VLOOKUP(T71,'Base de Datos'!$E$7:$AR$302,8,0))=TRUE," ",(VLOOKUP(T71,'Base de Datos'!$E$7:$AR$302,8,0)))</f>
        <v xml:space="preserve"> </v>
      </c>
      <c r="Y71" s="460">
        <f>IF(ISERROR(VLOOKUP(T71,'Base de Datos'!$E$7:$AR$302,9,0))=TRUE," ",(VLOOKUP(T71,'Base de Datos'!$E$7:$AR$302,9,0)))</f>
        <v>41732</v>
      </c>
      <c r="Z71" s="454">
        <f>IF(ISERROR(VLOOKUP(T71,'Base de Datos'!$E$7:$AR$302,10,0))=TRUE," ",(VLOOKUP(T71,'Base de Datos'!$E$7:$AR$302,10,0)))</f>
        <v>42096</v>
      </c>
      <c r="AA71" s="457">
        <f>IF(ISERROR(VLOOKUP(T71,'Base de Datos'!$E$7:$AR$302,11,0))=TRUE," ",(VLOOKUP(T71,'Base de Datos'!$E$7:$AR$302,11,0)))</f>
        <v>0</v>
      </c>
      <c r="AB71" s="454">
        <f>IF(ISERROR(VLOOKUP(T71,'Base de Datos'!$E$7:$AR$302,12,0))=TRUE," ",(VLOOKUP(T71,'Base de Datos'!$E$7:$AR$302,12,0)))</f>
        <v>0</v>
      </c>
      <c r="AC71" s="454">
        <f>IF(ISERROR(VLOOKUP(T71,'Base de Datos'!$E$7:$AR$302,12,0))=TRUE," ",(VLOOKUP(T71,'Base de Datos'!$E$7:$AR$302,12,0)))</f>
        <v>0</v>
      </c>
      <c r="AD71" s="460" t="str">
        <f>IF(ISERROR(VLOOKUP(T71,'Base de Datos'!$E$7:$AR$302,15,0))=TRUE," ",(VLOOKUP(T71,'Base de Datos'!$E$7:$AR$302,15,0)))</f>
        <v/>
      </c>
      <c r="AE71" s="465">
        <f>IF(ISERROR(VLOOKUP(T71,'Base de Datos'!$E$7:$AR$302,16,0))=TRUE," ",(VLOOKUP(T71,'Base de Datos'!$E$7:$AR$302,16,0)))</f>
        <v>42096</v>
      </c>
      <c r="AF71" s="465">
        <f>IF(ISERROR(VLOOKUP(T71,'Base de Datos'!$E$7:$AR$302,17,0))=TRUE," ",(VLOOKUP(T71,'Base de Datos'!$E$7:$AR$302,17,0)))</f>
        <v>16555000</v>
      </c>
      <c r="AG71" s="465">
        <f>IF(ISERROR(VLOOKUP(T71,'Base de Datos'!$E$7:$AR$302,18,0))=TRUE," ",(VLOOKUP(T71,'Base de Datos'!$E$7:$AR$302,18,0)))</f>
        <v>15762669</v>
      </c>
      <c r="AH71" s="466"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6">
        <f>IF(ISERROR(VLOOKUP(T71,'Base de Datos'!$E$7:$AR$302,21,0))=TRUE," ",(VLOOKUP(T71,'Base de Datos'!$E$7:$AR$302,21,0)))</f>
        <v>0.95213947447900937</v>
      </c>
      <c r="AJ71" s="469">
        <v>42132</v>
      </c>
      <c r="AK71" s="455" t="str">
        <f>IF(ISERROR(VLOOKUP(D71,'Base de Datos'!$C$7:$AR$400,2,0))=TRUE," ",(VLOOKUP(D71,'Base de Datos'!$C$7:$AR$400,2,0)))</f>
        <v>2015171</v>
      </c>
      <c r="AL71" s="455" t="str">
        <f>IF(ISERROR(VLOOKUP(D71,'Base de Datos'!$C$7:$AR$400,3,0))=TRUE," ",(VLOOKUP(D71,'Base de Datos'!$C$7:$AR$400,3,0)))</f>
        <v>150219-0-2015</v>
      </c>
      <c r="AM71" s="458" t="str">
        <f>IF(ISERROR(VLOOKUP(D71,'Base de Datos'!$C$7:$AR$4014,6,0))=TRUE," ",(VLOOKUP(D71,'Base de Datos'!$C$7:$AR$400,6,0)))</f>
        <v>PRESTAR LOS SERVICIOS DE MANTENIMIENTO PREVENTIVO Y CORRECTIVO A LOS ASCENSORES MARCA MITSUBISHI UBICADOS EN EL CONCEJO DE BOGOTA.</v>
      </c>
      <c r="AN71" s="458">
        <f>IF(ISERROR(VLOOKUP(D71,'Base de Datos'!$C$7:$AR$400,20,0))=TRUE," ",(VLOOKUP(D71,'Base de Datos'!$C$7:$AR$400,19,0)))</f>
        <v>18836508</v>
      </c>
      <c r="AO71" s="461">
        <f>IF(ISERROR(VLOOKUP(D71,'Base de Datos'!$C$7:$AR$400,9,0))=TRUE," ",(VLOOKUP(D71,'Base de Datos'!$C$7:$AR$400,9,0)))</f>
        <v>2015</v>
      </c>
      <c r="AP71" s="461">
        <f>IF(ISERROR(VLOOKUP(D71,'Base de Datos'!$C$7:$AR$400,10,0))=TRUE," ",(VLOOKUP(D71,'Base de Datos'!$C$7:$AR$400,10,0)))</f>
        <v>42132</v>
      </c>
      <c r="AQ71" s="463">
        <f>IF(ISERROR(VLOOKUP(D71,'Base de Datos'!$C$7:$AR$400,11,0))=TRUE," ",(VLOOKUP(D71,'Base de Datos'!$C$7:$AR$400,11,0)))</f>
        <v>42149</v>
      </c>
      <c r="AR71" s="464">
        <f>IF(ISERROR(VLOOKUP(D71,'Base de Datos'!$C$7:$AR$400,12,0))=TRUE," ",(VLOOKUP(D71,'Base de Datos'!$C$7:$AR$400,12,0)))</f>
        <v>42454</v>
      </c>
      <c r="AS71" s="463">
        <f>IF(ISERROR(VLOOKUP(D71,'Base de Datos'!$C$7:$AR$400,13,0))=TRUE," ",(VLOOKUP(D71,'Base de Datos'!$C$7:$AR$400,13,0)))</f>
        <v>1</v>
      </c>
      <c r="AT71" s="463">
        <f>IF(ISERROR(VLOOKUP(D71,'Base de Datos'!$C$7:$AR$400,14,0))=TRUE," ",(VLOOKUP(D71,'Base de Datos'!$C$7:$AR$400,14,0)))</f>
        <v>4626508</v>
      </c>
      <c r="AU71" s="461" t="str">
        <f>IF(ISERROR(VLOOKUP(D71,'Base de Datos'!$C$7:$AR$400,16,0))=TRUE," ",(VLOOKUP(D71,'Base de Datos'!$C$7:$AR$400,16,0)))</f>
        <v/>
      </c>
      <c r="AV71" s="465" t="str">
        <f>IF(ISERROR(VLOOKUP(D71,'Base de Datos'!$C$7:$AR$400,17,0))=TRUE," ",(VLOOKUP(D71,'Base de Datos'!$C$7:$AR$400,17,0)))</f>
        <v/>
      </c>
      <c r="AW71" s="465">
        <f>IF(ISERROR(VLOOKUP(D71,'Base de Datos'!$C$7:$AR$400,18,0))=TRUE," ",(VLOOKUP(D71,'Base de Datos'!$C$7:$AR$400,18,0)))</f>
        <v>42454</v>
      </c>
      <c r="AX71" s="465">
        <f>IF(ISERROR(VLOOKUP(D71,'Base de Datos'!$C$7:$AR$400,19,0))=TRUE," ",(VLOOKUP(D71,'Base de Datos'!$C$7:$AR$400,19,0)))</f>
        <v>18836508</v>
      </c>
      <c r="AY71" s="468">
        <f>IF(ISERROR(VLOOKUP(D71,'Base de Datos'!$C$7:$AR$400,21,0))=TRUE," ",(VLOOKUP(D71,'Base de Datos'!$C$7:$AR$400,21,0)))</f>
        <v>544875</v>
      </c>
      <c r="AZ71" s="468" t="str">
        <f>IF(ISERROR(VLOOKUP(D71,'Base de Datos'!$C$7:$AR$400,22,0))=TRUE," ",(VLOOKUP(D71,'Base de Datos'!$C$7:$AR$400,22,0)))</f>
        <v>Pagos mensuales con los servicios efectivamente pretados.</v>
      </c>
      <c r="BA71" s="475"/>
      <c r="BB71" s="485"/>
    </row>
    <row r="72" spans="2:54" ht="55.5" hidden="1" customHeight="1" x14ac:dyDescent="0.25">
      <c r="B72" s="438">
        <v>65</v>
      </c>
      <c r="C72" s="446" t="s">
        <v>1645</v>
      </c>
      <c r="D72" s="438">
        <v>172</v>
      </c>
      <c r="E72" s="446" t="s">
        <v>1658</v>
      </c>
      <c r="F72" s="447">
        <f>VLOOKUP(D72,'Presupuesto - PAA 2015'!$B$10:$E$265,4,0)</f>
        <v>5874000</v>
      </c>
      <c r="G72" s="439" t="str">
        <f>VLOOKUP(D72,'[3]Seguimiento Plan'!$C$2:$R$101,16,0)</f>
        <v>Prestar los servicios de mantenimiento correctivo y suministro de repuestos para los sistemas de archivos rodantes de la Secretaría Distrital de Hacienda y del Concejo de Bogotá-</v>
      </c>
      <c r="H72" s="439" t="s">
        <v>1779</v>
      </c>
      <c r="I72" s="439" t="s">
        <v>1713</v>
      </c>
      <c r="J72" s="448" t="s">
        <v>909</v>
      </c>
      <c r="K72" s="449" t="s">
        <v>390</v>
      </c>
      <c r="L72" s="449" t="str">
        <f>VLOOKUP(D72,'[3]Seguimiento Plan'!$C$2:$AJ$101,30,0)</f>
        <v>SI</v>
      </c>
      <c r="M72" s="450">
        <f>VLOOKUP(D72,'[3]Seguimiento Plan'!$C$2:$AJ$101,31,0)</f>
        <v>42037</v>
      </c>
      <c r="N72" s="449"/>
      <c r="O72" s="451"/>
      <c r="P72" s="451"/>
      <c r="Q72" s="451"/>
      <c r="R72" s="452"/>
      <c r="S72" s="470" t="s">
        <v>1767</v>
      </c>
      <c r="T72" s="139" t="s">
        <v>302</v>
      </c>
      <c r="U72" s="455" t="str">
        <f>IF(ISERROR(VLOOKUP(T72,'Base de Datos'!$E$7:$AR$302,3,0))=TRUE," ",(VLOOKUP(T72,'Base de Datos'!$E$7:$AR$302,2,0)))</f>
        <v>DIVIEXPORT EU</v>
      </c>
      <c r="V72" s="458">
        <f>IF(ISERROR(VLOOKUP(T72,'Base de Datos'!$E$7:$AR$302,5,0))=TRUE," ",(VLOOKUP(T72,'Base de Datos'!$E$7:$AR$302,5,0)))</f>
        <v>4672000</v>
      </c>
      <c r="W72" s="455">
        <f>IF(ISERROR(VLOOKUP(T72,'Base de Datos'!$E$7:$AR$302,19,0))=TRUE," ",(VLOOKUP(T72,'Base de Datos'!$E$7:$AR$302,19,0)))</f>
        <v>2865800</v>
      </c>
      <c r="X72" s="460" t="str">
        <f>IF(ISERROR(VLOOKUP(T72,'Base de Datos'!$E$7:$AR$302,8,0))=TRUE," ",(VLOOKUP(T72,'Base de Datos'!$E$7:$AR$302,8,0)))</f>
        <v xml:space="preserve"> </v>
      </c>
      <c r="Y72" s="460">
        <f>IF(ISERROR(VLOOKUP(T72,'Base de Datos'!$E$7:$AR$302,9,0))=TRUE," ",(VLOOKUP(T72,'Base de Datos'!$E$7:$AR$302,9,0)))</f>
        <v>41835</v>
      </c>
      <c r="Z72" s="454">
        <f>IF(ISERROR(VLOOKUP(T72,'Base de Datos'!$E$7:$AR$302,10,0))=TRUE," ",(VLOOKUP(T72,'Base de Datos'!$E$7:$AR$302,10,0)))</f>
        <v>42050</v>
      </c>
      <c r="AA72" s="457">
        <f>IF(ISERROR(VLOOKUP(T72,'Base de Datos'!$E$7:$AR$302,11,0))=TRUE," ",(VLOOKUP(T72,'Base de Datos'!$E$7:$AR$302,11,0)))</f>
        <v>0</v>
      </c>
      <c r="AB72" s="454">
        <f>IF(ISERROR(VLOOKUP(T72,'Base de Datos'!$E$7:$AR$302,12,0))=TRUE," ",(VLOOKUP(T72,'Base de Datos'!$E$7:$AR$302,12,0)))</f>
        <v>0</v>
      </c>
      <c r="AC72" s="454">
        <f>IF(ISERROR(VLOOKUP(T72,'Base de Datos'!$E$7:$AR$302,12,0))=TRUE," ",(VLOOKUP(T72,'Base de Datos'!$E$7:$AR$302,12,0)))</f>
        <v>0</v>
      </c>
      <c r="AD72" s="460" t="str">
        <f>IF(ISERROR(VLOOKUP(T72,'Base de Datos'!$E$7:$AR$302,15,0))=TRUE," ",(VLOOKUP(T72,'Base de Datos'!$E$7:$AR$302,15,0)))</f>
        <v/>
      </c>
      <c r="AE72" s="465">
        <f>IF(ISERROR(VLOOKUP(T72,'Base de Datos'!$E$7:$AR$302,16,0))=TRUE," ",(VLOOKUP(T72,'Base de Datos'!$E$7:$AR$302,16,0)))</f>
        <v>42050</v>
      </c>
      <c r="AF72" s="465">
        <f>IF(ISERROR(VLOOKUP(T72,'Base de Datos'!$E$7:$AR$302,17,0))=TRUE," ",(VLOOKUP(T72,'Base de Datos'!$E$7:$AR$302,17,0)))</f>
        <v>4672000</v>
      </c>
      <c r="AG72" s="465">
        <f>IF(ISERROR(VLOOKUP(T72,'Base de Datos'!$E$7:$AR$302,18,0))=TRUE," ",(VLOOKUP(T72,'Base de Datos'!$E$7:$AR$302,18,0)))</f>
        <v>1806200</v>
      </c>
      <c r="AH72" s="466"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6">
        <f>IF(ISERROR(VLOOKUP(T72,'Base de Datos'!$E$7:$AR$302,21,0))=TRUE," ",(VLOOKUP(T72,'Base de Datos'!$E$7:$AR$302,21,0)))</f>
        <v>0.38660102739726027</v>
      </c>
      <c r="AJ72" s="469">
        <v>42130</v>
      </c>
      <c r="AK72" s="455" t="str">
        <f>IF(ISERROR(VLOOKUP(D72,'Base de Datos'!$C$7:$AR$400,2,0))=TRUE," ",(VLOOKUP(D72,'Base de Datos'!$C$7:$AR$400,2,0)))</f>
        <v>2015172</v>
      </c>
      <c r="AL72" s="455" t="str">
        <f>IF(ISERROR(VLOOKUP(D72,'Base de Datos'!$C$7:$AR$400,3,0))=TRUE," ",(VLOOKUP(D72,'Base de Datos'!$C$7:$AR$400,3,0)))</f>
        <v>150215-0-2015</v>
      </c>
      <c r="AM72" s="458"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8">
        <f>IF(ISERROR(VLOOKUP(D72,'Base de Datos'!$C$7:$AR$400,20,0))=TRUE," ",(VLOOKUP(D72,'Base de Datos'!$C$7:$AR$400,19,0)))</f>
        <v>5874000</v>
      </c>
      <c r="AO72" s="461">
        <f>IF(ISERROR(VLOOKUP(D72,'Base de Datos'!$C$7:$AR$400,9,0))=TRUE," ",(VLOOKUP(D72,'Base de Datos'!$C$7:$AR$400,9,0)))</f>
        <v>2015</v>
      </c>
      <c r="AP72" s="461">
        <f>IF(ISERROR(VLOOKUP(D72,'Base de Datos'!$C$7:$AR$400,10,0))=TRUE," ",(VLOOKUP(D72,'Base de Datos'!$C$7:$AR$400,10,0)))</f>
        <v>42130</v>
      </c>
      <c r="AQ72" s="463">
        <f>IF(ISERROR(VLOOKUP(D72,'Base de Datos'!$C$7:$AR$400,11,0))=TRUE," ",(VLOOKUP(D72,'Base de Datos'!$C$7:$AR$400,11,0)))</f>
        <v>42149</v>
      </c>
      <c r="AR72" s="464">
        <f>IF(ISERROR(VLOOKUP(D72,'Base de Datos'!$C$7:$AR$400,12,0))=TRUE," ",(VLOOKUP(D72,'Base de Datos'!$C$7:$AR$400,12,0)))</f>
        <v>42515</v>
      </c>
      <c r="AS72" s="463">
        <f>IF(ISERROR(VLOOKUP(D72,'Base de Datos'!$C$7:$AR$400,13,0))=TRUE," ",(VLOOKUP(D72,'Base de Datos'!$C$7:$AR$400,13,0)))</f>
        <v>0</v>
      </c>
      <c r="AT72" s="463">
        <f>IF(ISERROR(VLOOKUP(D72,'Base de Datos'!$C$7:$AR$400,14,0))=TRUE," ",(VLOOKUP(D72,'Base de Datos'!$C$7:$AR$400,14,0)))</f>
        <v>0</v>
      </c>
      <c r="AU72" s="461" t="str">
        <f>IF(ISERROR(VLOOKUP(D72,'Base de Datos'!$C$7:$AR$400,16,0))=TRUE," ",(VLOOKUP(D72,'Base de Datos'!$C$7:$AR$400,16,0)))</f>
        <v/>
      </c>
      <c r="AV72" s="465" t="str">
        <f>IF(ISERROR(VLOOKUP(D72,'Base de Datos'!$C$7:$AR$400,17,0))=TRUE," ",(VLOOKUP(D72,'Base de Datos'!$C$7:$AR$400,17,0)))</f>
        <v/>
      </c>
      <c r="AW72" s="465">
        <f>IF(ISERROR(VLOOKUP(D72,'Base de Datos'!$C$7:$AR$400,18,0))=TRUE," ",(VLOOKUP(D72,'Base de Datos'!$C$7:$AR$400,18,0)))</f>
        <v>42515</v>
      </c>
      <c r="AX72" s="465">
        <f>IF(ISERROR(VLOOKUP(D72,'Base de Datos'!$C$7:$AR$400,19,0))=TRUE," ",(VLOOKUP(D72,'Base de Datos'!$C$7:$AR$400,19,0)))</f>
        <v>5874000</v>
      </c>
      <c r="AY72" s="468">
        <f>IF(ISERROR(VLOOKUP(D72,'Base de Datos'!$C$7:$AR$400,21,0))=TRUE," ",(VLOOKUP(D72,'Base de Datos'!$C$7:$AR$400,21,0)))</f>
        <v>933386</v>
      </c>
      <c r="AZ72" s="468" t="str">
        <f>IF(ISERROR(VLOOKUP(D72,'Base de Datos'!$C$7:$AR$400,22,0))=TRUE," ",(VLOOKUP(D72,'Base de Datos'!$C$7:$AR$400,22,0)))</f>
        <v>Pagos mensuales con los servicios efectivamente pretados.</v>
      </c>
      <c r="BA72" s="475"/>
      <c r="BB72" s="485"/>
    </row>
    <row r="73" spans="2:54" ht="55.5" hidden="1" customHeight="1" x14ac:dyDescent="0.25">
      <c r="B73" s="438">
        <v>66</v>
      </c>
      <c r="C73" s="446" t="s">
        <v>1645</v>
      </c>
      <c r="D73" s="438">
        <v>173</v>
      </c>
      <c r="E73" s="446" t="s">
        <v>1658</v>
      </c>
      <c r="F73" s="447">
        <f>VLOOKUP(D73,'Presupuesto - PAA 2015'!$B$10:$E$265,4,0)</f>
        <v>213921490</v>
      </c>
      <c r="G73" s="439" t="str">
        <f>VLOOKUP(D73,'[3]Seguimiento Plan'!$C$2:$R$101,16,0)</f>
        <v>Prestar los servicios de mantenimiento integral locativo con el suministro de personal, equipo y repuestos en las instalaciones físicas de la Secretaría Distrital de Hacienda y del Concejo de Bogotá.</v>
      </c>
      <c r="H73" s="439" t="s">
        <v>1779</v>
      </c>
      <c r="I73" s="439" t="s">
        <v>1720</v>
      </c>
      <c r="J73" s="448" t="s">
        <v>913</v>
      </c>
      <c r="K73" s="449" t="s">
        <v>390</v>
      </c>
      <c r="L73" s="449" t="str">
        <f>VLOOKUP(D73,'[3]Seguimiento Plan'!$C$2:$AJ$101,30,0)</f>
        <v>SI</v>
      </c>
      <c r="M73" s="450">
        <f>VLOOKUP(D73,'[3]Seguimiento Plan'!$C$2:$AJ$101,31,0)</f>
        <v>42069</v>
      </c>
      <c r="N73" s="449" t="s">
        <v>1811</v>
      </c>
      <c r="O73" s="451"/>
      <c r="P73" s="451"/>
      <c r="Q73" s="451"/>
      <c r="R73" s="452"/>
      <c r="S73" s="470" t="s">
        <v>1985</v>
      </c>
      <c r="T73" s="347" t="s">
        <v>401</v>
      </c>
      <c r="U73" s="455" t="str">
        <f>IF(ISERROR(VLOOKUP(T73,'Base de Datos'!$E$7:$AR$302,3,0))=TRUE," ",(VLOOKUP(T73,'Base de Datos'!$E$7:$AR$302,2,0)))</f>
        <v>H &amp; D OFIMAGEN</v>
      </c>
      <c r="V73" s="458">
        <f>IF(ISERROR(VLOOKUP(T73,'Base de Datos'!$E$7:$AR$302,5,0))=TRUE," ",(VLOOKUP(T73,'Base de Datos'!$E$7:$AR$302,5,0)))</f>
        <v>249991314</v>
      </c>
      <c r="W73" s="455">
        <f>IF(ISERROR(VLOOKUP(T73,'Base de Datos'!$E$7:$AR$302,19,0))=TRUE," ",(VLOOKUP(T73,'Base de Datos'!$E$7:$AR$302,19,0)))</f>
        <v>1715908</v>
      </c>
      <c r="X73" s="460" t="str">
        <f>IF(ISERROR(VLOOKUP(T73,'Base de Datos'!$E$7:$AR$302,8,0))=TRUE," ",(VLOOKUP(T73,'Base de Datos'!$E$7:$AR$302,8,0)))</f>
        <v xml:space="preserve"> </v>
      </c>
      <c r="Y73" s="460">
        <f>IF(ISERROR(VLOOKUP(T73,'Base de Datos'!$E$7:$AR$302,9,0))=TRUE," ",(VLOOKUP(T73,'Base de Datos'!$E$7:$AR$302,9,0)))</f>
        <v>41837</v>
      </c>
      <c r="Z73" s="454">
        <f>IF(ISERROR(VLOOKUP(T73,'Base de Datos'!$E$7:$AR$302,10,0))=TRUE," ",(VLOOKUP(T73,'Base de Datos'!$E$7:$AR$302,10,0)))</f>
        <v>42171</v>
      </c>
      <c r="AA73" s="457">
        <f>IF(ISERROR(VLOOKUP(T73,'Base de Datos'!$E$7:$AR$302,11,0))=TRUE," ",(VLOOKUP(T73,'Base de Datos'!$E$7:$AR$302,11,0)))</f>
        <v>0</v>
      </c>
      <c r="AB73" s="454">
        <f>IF(ISERROR(VLOOKUP(T73,'Base de Datos'!$E$7:$AR$302,12,0))=TRUE," ",(VLOOKUP(T73,'Base de Datos'!$E$7:$AR$302,12,0)))</f>
        <v>0</v>
      </c>
      <c r="AC73" s="454">
        <f>IF(ISERROR(VLOOKUP(T73,'Base de Datos'!$E$7:$AR$302,12,0))=TRUE," ",(VLOOKUP(T73,'Base de Datos'!$E$7:$AR$302,12,0)))</f>
        <v>0</v>
      </c>
      <c r="AD73" s="460">
        <f>IF(ISERROR(VLOOKUP(T73,'Base de Datos'!$E$7:$AR$302,15,0))=TRUE," ",(VLOOKUP(T73,'Base de Datos'!$E$7:$AR$302,15,0)))</f>
        <v>42216</v>
      </c>
      <c r="AE73" s="465">
        <f>IF(ISERROR(VLOOKUP(T73,'Base de Datos'!$E$7:$AR$302,16,0))=TRUE," ",(VLOOKUP(T73,'Base de Datos'!$E$7:$AR$302,16,0)))</f>
        <v>42216</v>
      </c>
      <c r="AF73" s="465">
        <f>IF(ISERROR(VLOOKUP(T73,'Base de Datos'!$E$7:$AR$302,17,0))=TRUE," ",(VLOOKUP(T73,'Base de Datos'!$E$7:$AR$302,17,0)))</f>
        <v>249991314</v>
      </c>
      <c r="AG73" s="465">
        <f>IF(ISERROR(VLOOKUP(T73,'Base de Datos'!$E$7:$AR$302,18,0))=TRUE," ",(VLOOKUP(T73,'Base de Datos'!$E$7:$AR$302,18,0)))</f>
        <v>248275406</v>
      </c>
      <c r="AH73" s="466"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6">
        <f>IF(ISERROR(VLOOKUP(T73,'Base de Datos'!$E$7:$AR$302,21,0))=TRUE," ",(VLOOKUP(T73,'Base de Datos'!$E$7:$AR$302,21,0)))</f>
        <v>0.99313612952168406</v>
      </c>
      <c r="AJ73" s="455"/>
      <c r="AK73" s="455" t="str">
        <f>IF(ISERROR(VLOOKUP(D73,'Base de Datos'!$C$7:$AR$400,2,0))=TRUE," ",(VLOOKUP(D73,'Base de Datos'!$C$7:$AR$400,2,0)))</f>
        <v>2015173</v>
      </c>
      <c r="AL73" s="455" t="str">
        <f>IF(ISERROR(VLOOKUP(D73,'Base de Datos'!$C$7:$AR$400,3,0))=TRUE," ",(VLOOKUP(D73,'Base de Datos'!$C$7:$AR$400,3,0)))</f>
        <v>150323-0-2015</v>
      </c>
      <c r="AM73" s="458"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8">
        <f>IF(ISERROR(VLOOKUP(D73,'Base de Datos'!$C$7:$AR$400,20,0))=TRUE," ",(VLOOKUP(D73,'Base de Datos'!$C$7:$AR$400,19,0)))</f>
        <v>255421490</v>
      </c>
      <c r="AO73" s="461">
        <f>IF(ISERROR(VLOOKUP(D73,'Base de Datos'!$C$7:$AR$400,9,0))=TRUE," ",(VLOOKUP(D73,'Base de Datos'!$C$7:$AR$400,9,0)))</f>
        <v>2015</v>
      </c>
      <c r="AP73" s="461">
        <f>IF(ISERROR(VLOOKUP(D73,'Base de Datos'!$C$7:$AR$400,10,0))=TRUE," ",(VLOOKUP(D73,'Base de Datos'!$C$7:$AR$400,10,0)))</f>
        <v>42213</v>
      </c>
      <c r="AQ73" s="463">
        <f>IF(ISERROR(VLOOKUP(D73,'Base de Datos'!$C$7:$AR$400,11,0))=TRUE," ",(VLOOKUP(D73,'Base de Datos'!$C$7:$AR$400,11,0)))</f>
        <v>42250</v>
      </c>
      <c r="AR73" s="464">
        <f>IF(ISERROR(VLOOKUP(D73,'Base de Datos'!$C$7:$AR$400,12,0))=TRUE," ",(VLOOKUP(D73,'Base de Datos'!$C$7:$AR$400,12,0)))</f>
        <v>42524</v>
      </c>
      <c r="AS73" s="463">
        <f>IF(ISERROR(VLOOKUP(D73,'Base de Datos'!$C$7:$AR$400,13,0))=TRUE," ",(VLOOKUP(D73,'Base de Datos'!$C$7:$AR$400,13,0)))</f>
        <v>1</v>
      </c>
      <c r="AT73" s="463">
        <f>IF(ISERROR(VLOOKUP(D73,'Base de Datos'!$C$7:$AR$400,14,0))=TRUE," ",(VLOOKUP(D73,'Base de Datos'!$C$7:$AR$400,14,0)))</f>
        <v>41500000</v>
      </c>
      <c r="AU73" s="461" t="str">
        <f>IF(ISERROR(VLOOKUP(D73,'Base de Datos'!$C$7:$AR$400,16,0))=TRUE," ",(VLOOKUP(D73,'Base de Datos'!$C$7:$AR$400,16,0)))</f>
        <v/>
      </c>
      <c r="AV73" s="465" t="str">
        <f>IF(ISERROR(VLOOKUP(D73,'Base de Datos'!$C$7:$AR$400,17,0))=TRUE," ",(VLOOKUP(D73,'Base de Datos'!$C$7:$AR$400,17,0)))</f>
        <v/>
      </c>
      <c r="AW73" s="465">
        <f>IF(ISERROR(VLOOKUP(D73,'Base de Datos'!$C$7:$AR$400,18,0))=TRUE," ",(VLOOKUP(D73,'Base de Datos'!$C$7:$AR$400,18,0)))</f>
        <v>42524</v>
      </c>
      <c r="AX73" s="465">
        <f>IF(ISERROR(VLOOKUP(D73,'Base de Datos'!$C$7:$AR$400,19,0))=TRUE," ",(VLOOKUP(D73,'Base de Datos'!$C$7:$AR$400,19,0)))</f>
        <v>255421490</v>
      </c>
      <c r="AY73" s="468">
        <f>IF(ISERROR(VLOOKUP(D73,'Base de Datos'!$C$7:$AR$400,21,0))=TRUE," ",(VLOOKUP(D73,'Base de Datos'!$C$7:$AR$400,21,0)))</f>
        <v>88978898</v>
      </c>
      <c r="AZ73" s="468" t="str">
        <f>IF(ISERROR(VLOOKUP(D73,'Base de Datos'!$C$7:$AR$400,22,0))=TRUE," ",(VLOOKUP(D73,'Base de Datos'!$C$7:$AR$400,22,0)))</f>
        <v>Pagos mensuales</v>
      </c>
      <c r="BA73" s="475"/>
      <c r="BB73" s="485"/>
    </row>
    <row r="74" spans="2:54" ht="55.5" hidden="1" customHeight="1" x14ac:dyDescent="0.25">
      <c r="B74" s="438">
        <v>67</v>
      </c>
      <c r="C74" s="446" t="s">
        <v>1645</v>
      </c>
      <c r="D74" s="438">
        <v>174</v>
      </c>
      <c r="E74" s="446" t="s">
        <v>1658</v>
      </c>
      <c r="F74" s="447">
        <f>VLOOKUP(D74,'Presupuesto - PAA 2015'!$B$10:$E$265,4,0)</f>
        <v>566000000</v>
      </c>
      <c r="G74" s="439"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9" t="s">
        <v>1779</v>
      </c>
      <c r="I74" s="439" t="s">
        <v>1713</v>
      </c>
      <c r="J74" s="448" t="s">
        <v>1737</v>
      </c>
      <c r="K74" s="449" t="s">
        <v>390</v>
      </c>
      <c r="L74" s="449" t="str">
        <f>VLOOKUP(D74,'[3]Seguimiento Plan'!$C$2:$AJ$101,30,0)</f>
        <v>SI</v>
      </c>
      <c r="M74" s="450">
        <f>VLOOKUP(D74,'[3]Seguimiento Plan'!$C$2:$AJ$101,31,0)</f>
        <v>42020</v>
      </c>
      <c r="N74" s="449"/>
      <c r="O74" s="451"/>
      <c r="P74" s="451"/>
      <c r="Q74" s="471">
        <v>42059</v>
      </c>
      <c r="R74" s="530"/>
      <c r="S74" s="470" t="s">
        <v>1769</v>
      </c>
      <c r="T74" s="309" t="s">
        <v>1492</v>
      </c>
      <c r="U74" s="455" t="str">
        <f>IF(ISERROR(VLOOKUP(T74,'Base de Datos'!$E$7:$AR$302,3,0))=TRUE," ",(VLOOKUP(T74,'Base de Datos'!$E$7:$AR$302,2,0)))</f>
        <v>VIGILANCIA ACOSTA LIMITADA</v>
      </c>
      <c r="V74" s="458">
        <f>IF(ISERROR(VLOOKUP(T74,'Base de Datos'!$E$7:$AR$302,5,0))=TRUE," ",(VLOOKUP(T74,'Base de Datos'!$E$7:$AR$302,5,0)))</f>
        <v>300000000</v>
      </c>
      <c r="W74" s="455">
        <f>IF(ISERROR(VLOOKUP(T74,'Base de Datos'!$E$7:$AR$302,19,0))=TRUE," ",(VLOOKUP(T74,'Base de Datos'!$E$7:$AR$302,19,0)))</f>
        <v>61373516</v>
      </c>
      <c r="X74" s="460" t="str">
        <f>IF(ISERROR(VLOOKUP(T74,'Base de Datos'!$E$7:$AR$302,8,0))=TRUE," ",(VLOOKUP(T74,'Base de Datos'!$E$7:$AR$302,8,0)))</f>
        <v xml:space="preserve"> </v>
      </c>
      <c r="Y74" s="460">
        <f>IF(ISERROR(VLOOKUP(T74,'Base de Datos'!$E$7:$AR$302,9,0))=TRUE," ",(VLOOKUP(T74,'Base de Datos'!$E$7:$AR$302,9,0)))</f>
        <v>41989</v>
      </c>
      <c r="Z74" s="454">
        <f>IF(ISERROR(VLOOKUP(T74,'Base de Datos'!$E$7:$AR$302,10,0))=TRUE," ",(VLOOKUP(T74,'Base de Datos'!$E$7:$AR$302,10,0)))</f>
        <v>42140</v>
      </c>
      <c r="AA74" s="457">
        <f>IF(ISERROR(VLOOKUP(T74,'Base de Datos'!$E$7:$AR$302,11,0))=TRUE," ",(VLOOKUP(T74,'Base de Datos'!$E$7:$AR$302,11,0)))</f>
        <v>0</v>
      </c>
      <c r="AB74" s="454">
        <f>IF(ISERROR(VLOOKUP(T74,'Base de Datos'!$E$7:$AR$302,12,0))=TRUE," ",(VLOOKUP(T74,'Base de Datos'!$E$7:$AR$302,12,0)))</f>
        <v>0</v>
      </c>
      <c r="AC74" s="454">
        <f>IF(ISERROR(VLOOKUP(T74,'Base de Datos'!$E$7:$AR$302,12,0))=TRUE," ",(VLOOKUP(T74,'Base de Datos'!$E$7:$AR$302,12,0)))</f>
        <v>0</v>
      </c>
      <c r="AD74" s="460" t="str">
        <f>IF(ISERROR(VLOOKUP(T74,'Base de Datos'!$E$7:$AR$302,15,0))=TRUE," ",(VLOOKUP(T74,'Base de Datos'!$E$7:$AR$302,15,0)))</f>
        <v/>
      </c>
      <c r="AE74" s="465">
        <f>IF(ISERROR(VLOOKUP(T74,'Base de Datos'!$E$7:$AR$302,16,0))=TRUE," ",(VLOOKUP(T74,'Base de Datos'!$E$7:$AR$302,16,0)))</f>
        <v>42140</v>
      </c>
      <c r="AF74" s="465">
        <f>IF(ISERROR(VLOOKUP(T74,'Base de Datos'!$E$7:$AR$302,17,0))=TRUE," ",(VLOOKUP(T74,'Base de Datos'!$E$7:$AR$302,17,0)))</f>
        <v>300000000</v>
      </c>
      <c r="AG74" s="465">
        <f>IF(ISERROR(VLOOKUP(T74,'Base de Datos'!$E$7:$AR$302,18,0))=TRUE," ",(VLOOKUP(T74,'Base de Datos'!$E$7:$AR$302,18,0)))</f>
        <v>238626484</v>
      </c>
      <c r="AH74" s="466" t="str">
        <f>IF(ISERROR(VLOOKUP(T74,'Base de Datos'!$E$7:$AR$302,20,0))=TRUE," ",(VLOOKUP(T74,'Base de Datos'!$E$7:$AR$302,20,0)))</f>
        <v>Mensual</v>
      </c>
      <c r="AI74" s="466">
        <f>IF(ISERROR(VLOOKUP(T74,'Base de Datos'!$E$7:$AR$302,21,0))=TRUE," ",(VLOOKUP(T74,'Base de Datos'!$E$7:$AR$302,21,0)))</f>
        <v>0.79542161333333339</v>
      </c>
      <c r="AJ74" s="469">
        <v>42136</v>
      </c>
      <c r="AK74" s="455" t="str">
        <f>IF(ISERROR(VLOOKUP(D74,'Base de Datos'!$C$7:$AR$400,2,0))=TRUE," ",(VLOOKUP(D74,'Base de Datos'!$C$7:$AR$400,2,0)))</f>
        <v>2015174</v>
      </c>
      <c r="AL74" s="455" t="str">
        <f>IF(ISERROR(VLOOKUP(D74,'Base de Datos'!$C$7:$AR$400,3,0))=TRUE," ",(VLOOKUP(D74,'Base de Datos'!$C$7:$AR$400,3,0)))</f>
        <v>150226-0-2015</v>
      </c>
      <c r="AM74" s="458"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8">
        <f>IF(ISERROR(VLOOKUP(D74,'Base de Datos'!$C$7:$AR$400,20,0))=TRUE," ",(VLOOKUP(D74,'Base de Datos'!$C$7:$AR$400,19,0)))</f>
        <v>566000000</v>
      </c>
      <c r="AO74" s="461">
        <f>IF(ISERROR(VLOOKUP(D74,'Base de Datos'!$C$7:$AR$400,9,0))=TRUE," ",(VLOOKUP(D74,'Base de Datos'!$C$7:$AR$400,9,0)))</f>
        <v>2015</v>
      </c>
      <c r="AP74" s="461">
        <f>IF(ISERROR(VLOOKUP(D74,'Base de Datos'!$C$7:$AR$400,10,0))=TRUE," ",(VLOOKUP(D74,'Base de Datos'!$C$7:$AR$400,10,0)))</f>
        <v>42136</v>
      </c>
      <c r="AQ74" s="463">
        <f>IF(ISERROR(VLOOKUP(D74,'Base de Datos'!$C$7:$AR$400,11,0))=TRUE," ",(VLOOKUP(D74,'Base de Datos'!$C$7:$AR$400,11,0)))</f>
        <v>42141</v>
      </c>
      <c r="AR74" s="464">
        <f>IF(ISERROR(VLOOKUP(D74,'Base de Datos'!$C$7:$AR$400,12,0))=TRUE," ",(VLOOKUP(D74,'Base de Datos'!$C$7:$AR$400,12,0)))</f>
        <v>42507</v>
      </c>
      <c r="AS74" s="463">
        <f>IF(ISERROR(VLOOKUP(D74,'Base de Datos'!$C$7:$AR$400,13,0))=TRUE," ",(VLOOKUP(D74,'Base de Datos'!$C$7:$AR$400,13,0)))</f>
        <v>0</v>
      </c>
      <c r="AT74" s="463">
        <f>IF(ISERROR(VLOOKUP(D74,'Base de Datos'!$C$7:$AR$400,14,0))=TRUE," ",(VLOOKUP(D74,'Base de Datos'!$C$7:$AR$400,14,0)))</f>
        <v>0</v>
      </c>
      <c r="AU74" s="461" t="str">
        <f>IF(ISERROR(VLOOKUP(D74,'Base de Datos'!$C$7:$AR$400,16,0))=TRUE," ",(VLOOKUP(D74,'Base de Datos'!$C$7:$AR$400,16,0)))</f>
        <v>2 meses y 14 días calendario</v>
      </c>
      <c r="AV74" s="465">
        <f>IF(ISERROR(VLOOKUP(D74,'Base de Datos'!$C$7:$AR$400,17,0))=TRUE," ",(VLOOKUP(D74,'Base de Datos'!$C$7:$AR$400,17,0)))</f>
        <v>42582</v>
      </c>
      <c r="AW74" s="465">
        <f>IF(ISERROR(VLOOKUP(D74,'Base de Datos'!$C$7:$AR$400,18,0))=TRUE," ",(VLOOKUP(D74,'Base de Datos'!$C$7:$AR$400,18,0)))</f>
        <v>42582</v>
      </c>
      <c r="AX74" s="465">
        <f>IF(ISERROR(VLOOKUP(D74,'Base de Datos'!$C$7:$AR$400,19,0))=TRUE," ",(VLOOKUP(D74,'Base de Datos'!$C$7:$AR$400,19,0)))</f>
        <v>566000000</v>
      </c>
      <c r="AY74" s="468">
        <f>IF(ISERROR(VLOOKUP(D74,'Base de Datos'!$C$7:$AR$400,21,0))=TRUE," ",(VLOOKUP(D74,'Base de Datos'!$C$7:$AR$400,21,0)))</f>
        <v>16286126</v>
      </c>
      <c r="AZ74" s="468" t="str">
        <f>IF(ISERROR(VLOOKUP(D74,'Base de Datos'!$C$7:$AR$400,22,0))=TRUE," ",(VLOOKUP(D74,'Base de Datos'!$C$7:$AR$400,22,0)))</f>
        <v>Mensualidades vencidas</v>
      </c>
      <c r="BA74" s="475"/>
      <c r="BB74" s="485"/>
    </row>
    <row r="75" spans="2:54" ht="55.5" hidden="1" customHeight="1" x14ac:dyDescent="0.25">
      <c r="B75" s="438">
        <v>68</v>
      </c>
      <c r="C75" s="446" t="s">
        <v>1645</v>
      </c>
      <c r="D75" s="438">
        <v>175</v>
      </c>
      <c r="E75" s="446" t="s">
        <v>1658</v>
      </c>
      <c r="F75" s="447">
        <f>VLOOKUP(D75,'Presupuesto - PAA 2015'!$B$10:$E$265,4,0)</f>
        <v>27620000</v>
      </c>
      <c r="G75" s="439" t="str">
        <f>VLOOKUP(D75,'[3]Seguimiento Plan'!$C$2:$R$101,16,0)</f>
        <v>Prestar los servicios de mantenimiento preventivo y correctivo con suministro de repuestos de los automotores marca Chevrolet al servicio de la Secretaría Distrital de Hacienda y del Concejo de Bogotá</v>
      </c>
      <c r="H75" s="439" t="s">
        <v>1779</v>
      </c>
      <c r="I75" s="439" t="s">
        <v>1713</v>
      </c>
      <c r="J75" s="448" t="s">
        <v>909</v>
      </c>
      <c r="K75" s="449" t="s">
        <v>390</v>
      </c>
      <c r="L75" s="449" t="str">
        <f>VLOOKUP(D75,'[3]Seguimiento Plan'!$C$2:$AJ$101,30,0)</f>
        <v>SI</v>
      </c>
      <c r="M75" s="450">
        <f>VLOOKUP(D75,'[3]Seguimiento Plan'!$C$2:$AJ$101,31,0)</f>
        <v>42010</v>
      </c>
      <c r="N75" s="449"/>
      <c r="O75" s="451"/>
      <c r="P75" s="451"/>
      <c r="Q75" s="451"/>
      <c r="R75" s="452"/>
      <c r="S75" s="470" t="s">
        <v>1756</v>
      </c>
      <c r="T75" s="347" t="s">
        <v>279</v>
      </c>
      <c r="U75" s="455" t="str">
        <f>IF(ISERROR(VLOOKUP(T75,'Base de Datos'!$E$7:$AR$302,3,0))=TRUE," ",(VLOOKUP(T75,'Base de Datos'!$E$7:$AR$302,2,0)))</f>
        <v>HERNANDO  BULLA ORJUELA</v>
      </c>
      <c r="V75" s="458">
        <f>IF(ISERROR(VLOOKUP(T75,'Base de Datos'!$E$7:$AR$302,5,0))=TRUE," ",(VLOOKUP(T75,'Base de Datos'!$E$7:$AR$302,5,0)))</f>
        <v>20872000</v>
      </c>
      <c r="W75" s="455">
        <f>IF(ISERROR(VLOOKUP(T75,'Base de Datos'!$E$7:$AR$302,19,0))=TRUE," ",(VLOOKUP(T75,'Base de Datos'!$E$7:$AR$302,19,0)))</f>
        <v>1646573</v>
      </c>
      <c r="X75" s="460" t="str">
        <f>IF(ISERROR(VLOOKUP(T75,'Base de Datos'!$E$7:$AR$302,8,0))=TRUE," ",(VLOOKUP(T75,'Base de Datos'!$E$7:$AR$302,8,0)))</f>
        <v xml:space="preserve"> </v>
      </c>
      <c r="Y75" s="460">
        <f>IF(ISERROR(VLOOKUP(T75,'Base de Datos'!$E$7:$AR$302,9,0))=TRUE," ",(VLOOKUP(T75,'Base de Datos'!$E$7:$AR$302,9,0)))</f>
        <v>41757</v>
      </c>
      <c r="Z75" s="454">
        <f>IF(ISERROR(VLOOKUP(T75,'Base de Datos'!$E$7:$AR$302,10,0))=TRUE," ",(VLOOKUP(T75,'Base de Datos'!$E$7:$AR$302,10,0)))</f>
        <v>42062</v>
      </c>
      <c r="AA75" s="457">
        <f>IF(ISERROR(VLOOKUP(T75,'Base de Datos'!$E$7:$AR$302,11,0))=TRUE," ",(VLOOKUP(T75,'Base de Datos'!$E$7:$AR$302,11,0)))</f>
        <v>1</v>
      </c>
      <c r="AB75" s="454">
        <f>IF(ISERROR(VLOOKUP(T75,'Base de Datos'!$E$7:$AR$302,12,0))=TRUE," ",(VLOOKUP(T75,'Base de Datos'!$E$7:$AR$302,12,0)))</f>
        <v>10346000</v>
      </c>
      <c r="AC75" s="454">
        <f>IF(ISERROR(VLOOKUP(T75,'Base de Datos'!$E$7:$AR$302,12,0))=TRUE," ",(VLOOKUP(T75,'Base de Datos'!$E$7:$AR$302,12,0)))</f>
        <v>10346000</v>
      </c>
      <c r="AD75" s="460">
        <f>IF(ISERROR(VLOOKUP(T75,'Base de Datos'!$E$7:$AR$302,15,0))=TRUE," ",(VLOOKUP(T75,'Base de Datos'!$E$7:$AR$302,15,0)))</f>
        <v>42091</v>
      </c>
      <c r="AE75" s="465">
        <f>IF(ISERROR(VLOOKUP(T75,'Base de Datos'!$E$7:$AR$302,16,0))=TRUE," ",(VLOOKUP(T75,'Base de Datos'!$E$7:$AR$302,16,0)))</f>
        <v>42091</v>
      </c>
      <c r="AF75" s="465">
        <f>IF(ISERROR(VLOOKUP(T75,'Base de Datos'!$E$7:$AR$302,17,0))=TRUE," ",(VLOOKUP(T75,'Base de Datos'!$E$7:$AR$302,17,0)))</f>
        <v>31218000</v>
      </c>
      <c r="AG75" s="465">
        <f>IF(ISERROR(VLOOKUP(T75,'Base de Datos'!$E$7:$AR$302,18,0))=TRUE," ",(VLOOKUP(T75,'Base de Datos'!$E$7:$AR$302,18,0)))</f>
        <v>29571427</v>
      </c>
      <c r="AH75" s="466"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6">
        <f>IF(ISERROR(VLOOKUP(T75,'Base de Datos'!$E$7:$AR$302,21,0))=TRUE," ",(VLOOKUP(T75,'Base de Datos'!$E$7:$AR$302,21,0)))</f>
        <v>0.9472556537894804</v>
      </c>
      <c r="AJ75" s="460">
        <v>42109</v>
      </c>
      <c r="AK75" s="455" t="str">
        <f>IF(ISERROR(VLOOKUP(D75,'Base de Datos'!$C$7:$AR$400,2,0))=TRUE," ",(VLOOKUP(D75,'Base de Datos'!$C$7:$AR$400,2,0)))</f>
        <v>2015175</v>
      </c>
      <c r="AL75" s="455" t="str">
        <f>IF(ISERROR(VLOOKUP(D75,'Base de Datos'!$C$7:$AR$400,3,0))=TRUE," ",(VLOOKUP(D75,'Base de Datos'!$C$7:$AR$400,3,0)))</f>
        <v>150191-0-2015</v>
      </c>
      <c r="AM75" s="458"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8">
        <f>IF(ISERROR(VLOOKUP(D75,'Base de Datos'!$C$7:$AR$400,20,0))=TRUE," ",(VLOOKUP(D75,'Base de Datos'!$C$7:$AR$400,19,0)))</f>
        <v>41620000</v>
      </c>
      <c r="AO75" s="461">
        <f>IF(ISERROR(VLOOKUP(D75,'Base de Datos'!$C$7:$AR$400,9,0))=TRUE," ",(VLOOKUP(D75,'Base de Datos'!$C$7:$AR$400,9,0)))</f>
        <v>2015</v>
      </c>
      <c r="AP75" s="461">
        <f>IF(ISERROR(VLOOKUP(D75,'Base de Datos'!$C$7:$AR$400,10,0))=TRUE," ",(VLOOKUP(D75,'Base de Datos'!$C$7:$AR$400,10,0)))</f>
        <v>42109</v>
      </c>
      <c r="AQ75" s="463">
        <f>IF(ISERROR(VLOOKUP(D75,'Base de Datos'!$C$7:$AR$400,11,0))=TRUE," ",(VLOOKUP(D75,'Base de Datos'!$C$7:$AR$400,11,0)))</f>
        <v>42137</v>
      </c>
      <c r="AR75" s="464">
        <f>IF(ISERROR(VLOOKUP(D75,'Base de Datos'!$C$7:$AR$400,12,0))=TRUE," ",(VLOOKUP(D75,'Base de Datos'!$C$7:$AR$400,12,0)))</f>
        <v>42503</v>
      </c>
      <c r="AS75" s="463">
        <f>IF(ISERROR(VLOOKUP(D75,'Base de Datos'!$C$7:$AR$400,13,0))=TRUE," ",(VLOOKUP(D75,'Base de Datos'!$C$7:$AR$400,13,0)))</f>
        <v>1</v>
      </c>
      <c r="AT75" s="463">
        <f>IF(ISERROR(VLOOKUP(D75,'Base de Datos'!$C$7:$AR$400,14,0))=TRUE," ",(VLOOKUP(D75,'Base de Datos'!$C$7:$AR$400,14,0)))</f>
        <v>14000000</v>
      </c>
      <c r="AU75" s="461" t="str">
        <f>IF(ISERROR(VLOOKUP(D75,'Base de Datos'!$C$7:$AR$400,16,0))=TRUE," ",(VLOOKUP(D75,'Base de Datos'!$C$7:$AR$400,16,0)))</f>
        <v>28 días calendario</v>
      </c>
      <c r="AV75" s="465">
        <f>IF(ISERROR(VLOOKUP(D75,'Base de Datos'!$C$7:$AR$400,17,0))=TRUE," ",(VLOOKUP(D75,'Base de Datos'!$C$7:$AR$400,17,0)))</f>
        <v>42531</v>
      </c>
      <c r="AW75" s="465">
        <f>IF(ISERROR(VLOOKUP(D75,'Base de Datos'!$C$7:$AR$400,18,0))=TRUE," ",(VLOOKUP(D75,'Base de Datos'!$C$7:$AR$400,18,0)))</f>
        <v>42531</v>
      </c>
      <c r="AX75" s="465">
        <f>IF(ISERROR(VLOOKUP(D75,'Base de Datos'!$C$7:$AR$400,19,0))=TRUE," ",(VLOOKUP(D75,'Base de Datos'!$C$7:$AR$400,19,0)))</f>
        <v>41620000</v>
      </c>
      <c r="AY75" s="468">
        <f>IF(ISERROR(VLOOKUP(D75,'Base de Datos'!$C$7:$AR$400,21,0))=TRUE," ",(VLOOKUP(D75,'Base de Datos'!$C$7:$AR$400,21,0)))</f>
        <v>1146201</v>
      </c>
      <c r="AZ75" s="468" t="str">
        <f>IF(ISERROR(VLOOKUP(D75,'Base de Datos'!$C$7:$AR$400,22,0))=TRUE," ",(VLOOKUP(D75,'Base de Datos'!$C$7:$AR$400,22,0)))</f>
        <v>Mensuales vencidas de acuerdo a los servicios y repuestos efectivamente prestados y suministrados.</v>
      </c>
      <c r="BA75" s="475"/>
      <c r="BB75" s="485"/>
    </row>
    <row r="76" spans="2:54" ht="55.5" hidden="1" customHeight="1" x14ac:dyDescent="0.25">
      <c r="B76" s="438">
        <v>69</v>
      </c>
      <c r="C76" s="446" t="s">
        <v>1645</v>
      </c>
      <c r="D76" s="438">
        <v>176</v>
      </c>
      <c r="E76" s="446" t="s">
        <v>1658</v>
      </c>
      <c r="F76" s="447">
        <f>VLOOKUP(D76,'Presupuesto - PAA 2015'!$B$10:$E$265,4,0)</f>
        <v>28000000</v>
      </c>
      <c r="G76" s="439"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9" t="s">
        <v>1779</v>
      </c>
      <c r="I76" s="439" t="s">
        <v>1713</v>
      </c>
      <c r="J76" s="448" t="s">
        <v>1737</v>
      </c>
      <c r="K76" s="449" t="s">
        <v>390</v>
      </c>
      <c r="L76" s="449" t="str">
        <f>VLOOKUP(D76,'[3]Seguimiento Plan'!$C$2:$AJ$101,30,0)</f>
        <v>SI</v>
      </c>
      <c r="M76" s="450">
        <f>VLOOKUP(D76,'[3]Seguimiento Plan'!$C$2:$AJ$101,31,0)</f>
        <v>42031</v>
      </c>
      <c r="N76" s="449"/>
      <c r="O76" s="451"/>
      <c r="P76" s="451"/>
      <c r="Q76" s="451"/>
      <c r="R76" s="529"/>
      <c r="S76" s="355" t="s">
        <v>1745</v>
      </c>
      <c r="T76" s="139" t="s">
        <v>271</v>
      </c>
      <c r="U76" s="455" t="str">
        <f>IF(ISERROR(VLOOKUP(T76,'Base de Datos'!$E$7:$AR$302,3,0))=TRUE," ",(VLOOKUP(T76,'Base de Datos'!$E$7:$AR$302,2,0)))</f>
        <v>MODULARES OFIMA LTDA</v>
      </c>
      <c r="V76" s="458">
        <f>IF(ISERROR(VLOOKUP(T76,'Base de Datos'!$E$7:$AR$302,5,0))=TRUE," ",(VLOOKUP(T76,'Base de Datos'!$E$7:$AR$302,5,0)))</f>
        <v>28000000</v>
      </c>
      <c r="W76" s="455">
        <f>IF(ISERROR(VLOOKUP(T76,'Base de Datos'!$E$7:$AR$302,19,0))=TRUE," ",(VLOOKUP(T76,'Base de Datos'!$E$7:$AR$302,19,0)))</f>
        <v>17021760</v>
      </c>
      <c r="X76" s="460" t="str">
        <f>IF(ISERROR(VLOOKUP(T76,'Base de Datos'!$E$7:$AR$302,8,0))=TRUE," ",(VLOOKUP(T76,'Base de Datos'!$E$7:$AR$302,8,0)))</f>
        <v xml:space="preserve"> </v>
      </c>
      <c r="Y76" s="460">
        <f>IF(ISERROR(VLOOKUP(T76,'Base de Datos'!$E$7:$AR$302,9,0))=TRUE," ",(VLOOKUP(T76,'Base de Datos'!$E$7:$AR$302,9,0)))</f>
        <v>41738</v>
      </c>
      <c r="Z76" s="454">
        <f>IF(ISERROR(VLOOKUP(T76,'Base de Datos'!$E$7:$AR$302,10,0))=TRUE," ",(VLOOKUP(T76,'Base de Datos'!$E$7:$AR$302,10,0)))</f>
        <v>41951</v>
      </c>
      <c r="AA76" s="457">
        <f>IF(ISERROR(VLOOKUP(T76,'Base de Datos'!$E$7:$AR$302,11,0))=TRUE," ",(VLOOKUP(T76,'Base de Datos'!$E$7:$AR$302,11,0)))</f>
        <v>0</v>
      </c>
      <c r="AB76" s="454">
        <f>IF(ISERROR(VLOOKUP(T76,'Base de Datos'!$E$7:$AR$302,12,0))=TRUE," ",(VLOOKUP(T76,'Base de Datos'!$E$7:$AR$302,12,0)))</f>
        <v>0</v>
      </c>
      <c r="AC76" s="454">
        <f>IF(ISERROR(VLOOKUP(T76,'Base de Datos'!$E$7:$AR$302,12,0))=TRUE," ",(VLOOKUP(T76,'Base de Datos'!$E$7:$AR$302,12,0)))</f>
        <v>0</v>
      </c>
      <c r="AD76" s="460" t="str">
        <f>IF(ISERROR(VLOOKUP(T76,'Base de Datos'!$E$7:$AR$302,15,0))=TRUE," ",(VLOOKUP(T76,'Base de Datos'!$E$7:$AR$302,15,0)))</f>
        <v/>
      </c>
      <c r="AE76" s="465">
        <f>IF(ISERROR(VLOOKUP(T76,'Base de Datos'!$E$7:$AR$302,16,0))=TRUE," ",(VLOOKUP(T76,'Base de Datos'!$E$7:$AR$302,16,0)))</f>
        <v>41951</v>
      </c>
      <c r="AF76" s="465">
        <f>IF(ISERROR(VLOOKUP(T76,'Base de Datos'!$E$7:$AR$302,17,0))=TRUE," ",(VLOOKUP(T76,'Base de Datos'!$E$7:$AR$302,17,0)))</f>
        <v>28000000</v>
      </c>
      <c r="AG76" s="465">
        <f>IF(ISERROR(VLOOKUP(T76,'Base de Datos'!$E$7:$AR$302,18,0))=TRUE," ",(VLOOKUP(T76,'Base de Datos'!$E$7:$AR$302,18,0)))</f>
        <v>10978240</v>
      </c>
      <c r="AH76" s="466" t="str">
        <f>IF(ISERROR(VLOOKUP(T76,'Base de Datos'!$E$7:$AR$302,20,0))=TRUE," ",(VLOOKUP(T76,'Base de Datos'!$E$7:$AR$302,20,0)))</f>
        <v>Los mantenimientos correctivos y el suministro de repuestos y/o elementos se cancelarán mensualmente de acuerdo con los servicios efectivamente prestados.</v>
      </c>
      <c r="AI76" s="466">
        <f>IF(ISERROR(VLOOKUP(T76,'Base de Datos'!$E$7:$AR$302,21,0))=TRUE," ",(VLOOKUP(T76,'Base de Datos'!$E$7:$AR$302,21,0)))</f>
        <v>0.39207999999999998</v>
      </c>
      <c r="AJ76" s="460">
        <v>42093</v>
      </c>
      <c r="AK76" s="455" t="str">
        <f>IF(ISERROR(VLOOKUP(D76,'Base de Datos'!$C$7:$AR$400,2,0))=TRUE," ",(VLOOKUP(D76,'Base de Datos'!$C$7:$AR$400,2,0)))</f>
        <v>2015176</v>
      </c>
      <c r="AL76" s="455" t="str">
        <f>IF(ISERROR(VLOOKUP(D76,'Base de Datos'!$C$7:$AR$400,3,0))=TRUE," ",(VLOOKUP(D76,'Base de Datos'!$C$7:$AR$400,3,0)))</f>
        <v>150141-0-2015</v>
      </c>
      <c r="AM76" s="458" t="str">
        <f>IF(ISERROR(VLOOKUP(D76,'Base de Datos'!$C$7:$AR$4014,6,0))=TRUE," ",(VLOOKUP(D76,'Base de Datos'!$C$7:$AR$400,6,0)))</f>
        <v>Prestar el servicio de mantenimiento correctivo incluyendo suministro de repuestos y/o elementos nuevos que requieran las sillas existentes en el Concejo de Bogotá, D.C.</v>
      </c>
      <c r="AN76" s="458">
        <f>IF(ISERROR(VLOOKUP(D76,'Base de Datos'!$C$7:$AR$400,20,0))=TRUE," ",(VLOOKUP(D76,'Base de Datos'!$C$7:$AR$400,19,0)))</f>
        <v>28000000</v>
      </c>
      <c r="AO76" s="461">
        <f>IF(ISERROR(VLOOKUP(D76,'Base de Datos'!$C$7:$AR$400,9,0))=TRUE," ",(VLOOKUP(D76,'Base de Datos'!$C$7:$AR$400,9,0)))</f>
        <v>2015</v>
      </c>
      <c r="AP76" s="461">
        <f>IF(ISERROR(VLOOKUP(D76,'Base de Datos'!$C$7:$AR$400,10,0))=TRUE," ",(VLOOKUP(D76,'Base de Datos'!$C$7:$AR$400,10,0)))</f>
        <v>42093</v>
      </c>
      <c r="AQ76" s="463">
        <f>IF(ISERROR(VLOOKUP(D76,'Base de Datos'!$C$7:$AR$400,11,0))=TRUE," ",(VLOOKUP(D76,'Base de Datos'!$C$7:$AR$400,11,0)))</f>
        <v>42116</v>
      </c>
      <c r="AR76" s="464">
        <f>IF(ISERROR(VLOOKUP(D76,'Base de Datos'!$C$7:$AR$400,12,0))=TRUE," ",(VLOOKUP(D76,'Base de Datos'!$C$7:$AR$400,12,0)))</f>
        <v>42482</v>
      </c>
      <c r="AS76" s="463">
        <f>IF(ISERROR(VLOOKUP(D76,'Base de Datos'!$C$7:$AR$400,13,0))=TRUE," ",(VLOOKUP(D76,'Base de Datos'!$C$7:$AR$400,13,0)))</f>
        <v>0</v>
      </c>
      <c r="AT76" s="463">
        <f>IF(ISERROR(VLOOKUP(D76,'Base de Datos'!$C$7:$AR$400,14,0))=TRUE," ",(VLOOKUP(D76,'Base de Datos'!$C$7:$AR$400,14,0)))</f>
        <v>0</v>
      </c>
      <c r="AU76" s="461" t="str">
        <f>IF(ISERROR(VLOOKUP(D76,'Base de Datos'!$C$7:$AR$400,16,0))=TRUE," ",(VLOOKUP(D76,'Base de Datos'!$C$7:$AR$400,16,0)))</f>
        <v/>
      </c>
      <c r="AV76" s="465" t="str">
        <f>IF(ISERROR(VLOOKUP(D76,'Base de Datos'!$C$7:$AR$400,17,0))=TRUE," ",(VLOOKUP(D76,'Base de Datos'!$C$7:$AR$400,17,0)))</f>
        <v/>
      </c>
      <c r="AW76" s="465">
        <f>IF(ISERROR(VLOOKUP(D76,'Base de Datos'!$C$7:$AR$400,18,0))=TRUE," ",(VLOOKUP(D76,'Base de Datos'!$C$7:$AR$400,18,0)))</f>
        <v>42482</v>
      </c>
      <c r="AX76" s="465">
        <f>IF(ISERROR(VLOOKUP(D76,'Base de Datos'!$C$7:$AR$400,19,0))=TRUE," ",(VLOOKUP(D76,'Base de Datos'!$C$7:$AR$400,19,0)))</f>
        <v>28000000</v>
      </c>
      <c r="AY76" s="468">
        <f>IF(ISERROR(VLOOKUP(D76,'Base de Datos'!$C$7:$AR$400,21,0))=TRUE," ",(VLOOKUP(D76,'Base de Datos'!$C$7:$AR$400,21,0)))</f>
        <v>342</v>
      </c>
      <c r="AZ76" s="468" t="str">
        <f>IF(ISERROR(VLOOKUP(D76,'Base de Datos'!$C$7:$AR$400,22,0))=TRUE," ",(VLOOKUP(D76,'Base de Datos'!$C$7:$AR$400,22,0)))</f>
        <v>Pagos mensuales con los servicios efectivamente pretados.</v>
      </c>
      <c r="BA76" s="475"/>
      <c r="BB76" s="485"/>
    </row>
    <row r="77" spans="2:54" ht="55.5" hidden="1" customHeight="1" x14ac:dyDescent="0.25">
      <c r="B77" s="438">
        <v>70</v>
      </c>
      <c r="C77" s="446" t="s">
        <v>1645</v>
      </c>
      <c r="D77" s="438">
        <v>177</v>
      </c>
      <c r="E77" s="446" t="s">
        <v>1658</v>
      </c>
      <c r="F77" s="447">
        <f>VLOOKUP(D77,'Presupuesto - PAA 2015'!$B$10:$E$265,4,0)</f>
        <v>11000000</v>
      </c>
      <c r="G77" s="439" t="str">
        <f>VLOOKUP(D77,'[3]Seguimiento Plan'!$C$2:$R$101,16,0)</f>
        <v>Prestar los servicios de mantenimiento preventivo y correctivo al sistema eléctrico del  Centro Administrativo Distrital CAD y al sistema de generación y transferencia eléctrica de emergencia  del Concejo de Bogotá, DC.</v>
      </c>
      <c r="H77" s="439" t="s">
        <v>1779</v>
      </c>
      <c r="I77" s="439" t="s">
        <v>1713</v>
      </c>
      <c r="J77" s="448" t="s">
        <v>913</v>
      </c>
      <c r="K77" s="449" t="s">
        <v>390</v>
      </c>
      <c r="L77" s="449" t="str">
        <f>VLOOKUP(D77,'[3]Seguimiento Plan'!$C$2:$AJ$101,30,0)</f>
        <v>SI</v>
      </c>
      <c r="M77" s="450">
        <f>VLOOKUP(D77,'[3]Seguimiento Plan'!$C$2:$AJ$101,31,0)</f>
        <v>42033</v>
      </c>
      <c r="N77" s="449"/>
      <c r="O77" s="451"/>
      <c r="P77" s="451"/>
      <c r="Q77" s="471">
        <v>42082</v>
      </c>
      <c r="R77" s="530"/>
      <c r="S77" s="470" t="s">
        <v>1757</v>
      </c>
      <c r="T77" s="347" t="s">
        <v>400</v>
      </c>
      <c r="U77" s="455" t="str">
        <f>IF(ISERROR(VLOOKUP(T77,'Base de Datos'!$E$7:$AR$302,3,0))=TRUE," ",(VLOOKUP(T77,'Base de Datos'!$E$7:$AR$302,2,0)))</f>
        <v>SODINLEC LTDA</v>
      </c>
      <c r="V77" s="458">
        <f>IF(ISERROR(VLOOKUP(T77,'Base de Datos'!$E$7:$AR$302,5,0))=TRUE," ",(VLOOKUP(T77,'Base de Datos'!$E$7:$AR$302,5,0)))</f>
        <v>10564000</v>
      </c>
      <c r="W77" s="455">
        <f>IF(ISERROR(VLOOKUP(T77,'Base de Datos'!$E$7:$AR$302,19,0))=TRUE," ",(VLOOKUP(T77,'Base de Datos'!$E$7:$AR$302,19,0)))</f>
        <v>508843</v>
      </c>
      <c r="X77" s="460" t="str">
        <f>IF(ISERROR(VLOOKUP(T77,'Base de Datos'!$E$7:$AR$302,8,0))=TRUE," ",(VLOOKUP(T77,'Base de Datos'!$E$7:$AR$302,8,0)))</f>
        <v xml:space="preserve"> </v>
      </c>
      <c r="Y77" s="460">
        <f>IF(ISERROR(VLOOKUP(T77,'Base de Datos'!$E$7:$AR$302,9,0))=TRUE," ",(VLOOKUP(T77,'Base de Datos'!$E$7:$AR$302,9,0)))</f>
        <v>41793</v>
      </c>
      <c r="Z77" s="454">
        <f>IF(ISERROR(VLOOKUP(T77,'Base de Datos'!$E$7:$AR$302,10,0))=TRUE," ",(VLOOKUP(T77,'Base de Datos'!$E$7:$AR$302,10,0)))</f>
        <v>42096</v>
      </c>
      <c r="AA77" s="457">
        <f>IF(ISERROR(VLOOKUP(T77,'Base de Datos'!$E$7:$AR$302,11,0))=TRUE," ",(VLOOKUP(T77,'Base de Datos'!$E$7:$AR$302,11,0)))</f>
        <v>0</v>
      </c>
      <c r="AB77" s="454">
        <f>IF(ISERROR(VLOOKUP(T77,'Base de Datos'!$E$7:$AR$302,12,0))=TRUE," ",(VLOOKUP(T77,'Base de Datos'!$E$7:$AR$302,12,0)))</f>
        <v>0</v>
      </c>
      <c r="AC77" s="454">
        <f>IF(ISERROR(VLOOKUP(T77,'Base de Datos'!$E$7:$AR$302,12,0))=TRUE," ",(VLOOKUP(T77,'Base de Datos'!$E$7:$AR$302,12,0)))</f>
        <v>0</v>
      </c>
      <c r="AD77" s="460" t="str">
        <f>IF(ISERROR(VLOOKUP(T77,'Base de Datos'!$E$7:$AR$302,15,0))=TRUE," ",(VLOOKUP(T77,'Base de Datos'!$E$7:$AR$302,15,0)))</f>
        <v/>
      </c>
      <c r="AE77" s="465">
        <f>IF(ISERROR(VLOOKUP(T77,'Base de Datos'!$E$7:$AR$302,16,0))=TRUE," ",(VLOOKUP(T77,'Base de Datos'!$E$7:$AR$302,16,0)))</f>
        <v>42096</v>
      </c>
      <c r="AF77" s="465">
        <f>IF(ISERROR(VLOOKUP(T77,'Base de Datos'!$E$7:$AR$302,17,0))=TRUE," ",(VLOOKUP(T77,'Base de Datos'!$E$7:$AR$302,17,0)))</f>
        <v>10564000</v>
      </c>
      <c r="AG77" s="465">
        <f>IF(ISERROR(VLOOKUP(T77,'Base de Datos'!$E$7:$AR$302,18,0))=TRUE," ",(VLOOKUP(T77,'Base de Datos'!$E$7:$AR$302,18,0)))</f>
        <v>10055157</v>
      </c>
      <c r="AH77" s="466"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6">
        <f>IF(ISERROR(VLOOKUP(T77,'Base de Datos'!$E$7:$AR$302,21,0))=TRUE," ",(VLOOKUP(T77,'Base de Datos'!$E$7:$AR$302,21,0)))</f>
        <v>0.95183235516849674</v>
      </c>
      <c r="AJ77" s="469">
        <v>42109</v>
      </c>
      <c r="AK77" s="455" t="str">
        <f>IF(ISERROR(VLOOKUP(D77,'Base de Datos'!$C$7:$AR$400,2,0))=TRUE," ",(VLOOKUP(D77,'Base de Datos'!$C$7:$AR$400,2,0)))</f>
        <v>2015177</v>
      </c>
      <c r="AL77" s="455" t="str">
        <f>IF(ISERROR(VLOOKUP(D77,'Base de Datos'!$C$7:$AR$400,3,0))=TRUE," ",(VLOOKUP(D77,'Base de Datos'!$C$7:$AR$400,3,0)))</f>
        <v>150193-0-2015</v>
      </c>
      <c r="AM77" s="458"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8">
        <f>IF(ISERROR(VLOOKUP(D77,'Base de Datos'!$C$7:$AR$400,20,0))=TRUE," ",(VLOOKUP(D77,'Base de Datos'!$C$7:$AR$400,19,0)))</f>
        <v>11000000</v>
      </c>
      <c r="AO77" s="461">
        <f>IF(ISERROR(VLOOKUP(D77,'Base de Datos'!$C$7:$AR$400,9,0))=TRUE," ",(VLOOKUP(D77,'Base de Datos'!$C$7:$AR$400,9,0)))</f>
        <v>2015</v>
      </c>
      <c r="AP77" s="461">
        <f>IF(ISERROR(VLOOKUP(D77,'Base de Datos'!$C$7:$AR$400,10,0))=TRUE," ",(VLOOKUP(D77,'Base de Datos'!$C$7:$AR$400,10,0)))</f>
        <v>42109</v>
      </c>
      <c r="AQ77" s="463">
        <f>IF(ISERROR(VLOOKUP(D77,'Base de Datos'!$C$7:$AR$400,11,0))=TRUE," ",(VLOOKUP(D77,'Base de Datos'!$C$7:$AR$400,11,0)))</f>
        <v>42135</v>
      </c>
      <c r="AR77" s="464">
        <f>IF(ISERROR(VLOOKUP(D77,'Base de Datos'!$C$7:$AR$400,12,0))=TRUE," ",(VLOOKUP(D77,'Base de Datos'!$C$7:$AR$400,12,0)))</f>
        <v>42501</v>
      </c>
      <c r="AS77" s="463">
        <f>IF(ISERROR(VLOOKUP(D77,'Base de Datos'!$C$7:$AR$400,13,0))=TRUE," ",(VLOOKUP(D77,'Base de Datos'!$C$7:$AR$400,13,0)))</f>
        <v>0</v>
      </c>
      <c r="AT77" s="463">
        <f>IF(ISERROR(VLOOKUP(D77,'Base de Datos'!$C$7:$AR$400,14,0))=TRUE," ",(VLOOKUP(D77,'Base de Datos'!$C$7:$AR$400,14,0)))</f>
        <v>0</v>
      </c>
      <c r="AU77" s="461" t="str">
        <f>IF(ISERROR(VLOOKUP(D77,'Base de Datos'!$C$7:$AR$400,16,0))=TRUE," ",(VLOOKUP(D77,'Base de Datos'!$C$7:$AR$400,16,0)))</f>
        <v>1 mes</v>
      </c>
      <c r="AV77" s="465">
        <f>IF(ISERROR(VLOOKUP(D77,'Base de Datos'!$C$7:$AR$400,17,0))=TRUE," ",(VLOOKUP(D77,'Base de Datos'!$C$7:$AR$400,17,0)))</f>
        <v>42532</v>
      </c>
      <c r="AW77" s="465">
        <f>IF(ISERROR(VLOOKUP(D77,'Base de Datos'!$C$7:$AR$400,18,0))=TRUE," ",(VLOOKUP(D77,'Base de Datos'!$C$7:$AR$400,18,0)))</f>
        <v>42532</v>
      </c>
      <c r="AX77" s="465">
        <f>IF(ISERROR(VLOOKUP(D77,'Base de Datos'!$C$7:$AR$400,19,0))=TRUE," ",(VLOOKUP(D77,'Base de Datos'!$C$7:$AR$400,19,0)))</f>
        <v>11000000</v>
      </c>
      <c r="AY77" s="468">
        <f>IF(ISERROR(VLOOKUP(D77,'Base de Datos'!$C$7:$AR$400,21,0))=TRUE," ",(VLOOKUP(D77,'Base de Datos'!$C$7:$AR$400,21,0)))</f>
        <v>3514106</v>
      </c>
      <c r="AZ77" s="468" t="str">
        <f>IF(ISERROR(VLOOKUP(D77,'Base de Datos'!$C$7:$AR$400,22,0))=TRUE," ",(VLOOKUP(D77,'Base de Datos'!$C$7:$AR$400,22,0)))</f>
        <v>Cada dos meses con los servicios efectivamente prestados, y la demanda de los insumos y repuestos</v>
      </c>
      <c r="BA77" s="475"/>
      <c r="BB77" s="485"/>
    </row>
    <row r="78" spans="2:54" ht="55.5" hidden="1" customHeight="1" x14ac:dyDescent="0.25">
      <c r="B78" s="438">
        <v>71</v>
      </c>
      <c r="C78" s="446" t="s">
        <v>1645</v>
      </c>
      <c r="D78" s="438">
        <v>178</v>
      </c>
      <c r="E78" s="446" t="s">
        <v>1658</v>
      </c>
      <c r="F78" s="447">
        <f>VLOOKUP(D78,'Presupuesto - PAA 2015'!$B$10:$E$265,4,0)</f>
        <v>3035520</v>
      </c>
      <c r="G78" s="439" t="str">
        <f>VLOOKUP(D78,'[3]Seguimiento Plan'!$C$2:$R$101,16,0)</f>
        <v>Prestar los servicios de mantenimiento con suministro de repuestos para plantas purificadoras de agua semi-industriales de la Secretaría Distrital de Hacienda</v>
      </c>
      <c r="H78" s="439" t="s">
        <v>1779</v>
      </c>
      <c r="I78" s="439" t="s">
        <v>1713</v>
      </c>
      <c r="J78" s="448" t="s">
        <v>909</v>
      </c>
      <c r="K78" s="449" t="s">
        <v>390</v>
      </c>
      <c r="L78" s="449" t="str">
        <f>VLOOKUP(D78,'[3]Seguimiento Plan'!$C$2:$AJ$101,30,0)</f>
        <v>SI</v>
      </c>
      <c r="M78" s="450">
        <f>VLOOKUP(D78,'[3]Seguimiento Plan'!$C$2:$AJ$101,31,0)</f>
        <v>42020</v>
      </c>
      <c r="N78" s="449"/>
      <c r="O78" s="451"/>
      <c r="P78" s="451"/>
      <c r="Q78" s="451"/>
      <c r="R78" s="529"/>
      <c r="S78" s="355" t="s">
        <v>1742</v>
      </c>
      <c r="T78" s="453"/>
      <c r="U78" s="455" t="str">
        <f>IF(ISERROR(VLOOKUP(T78,'Base de Datos'!$E$7:$AR$302,3,0))=TRUE," ",(VLOOKUP(T78,'Base de Datos'!$E$7:$AR$302,2,0)))</f>
        <v xml:space="preserve"> </v>
      </c>
      <c r="V78" s="458" t="str">
        <f>IF(ISERROR(VLOOKUP(T78,'Base de Datos'!$E$7:$AR$302,5,0))=TRUE," ",(VLOOKUP(T78,'Base de Datos'!$E$7:$AR$302,5,0)))</f>
        <v xml:space="preserve"> </v>
      </c>
      <c r="W78" s="455" t="str">
        <f>IF(ISERROR(VLOOKUP(T78,'Base de Datos'!$E$7:$AR$302,19,0))=TRUE," ",(VLOOKUP(T78,'Base de Datos'!$E$7:$AR$302,19,0)))</f>
        <v xml:space="preserve"> </v>
      </c>
      <c r="X78" s="460" t="str">
        <f>IF(ISERROR(VLOOKUP(T78,'Base de Datos'!$E$7:$AR$302,8,0))=TRUE," ",(VLOOKUP(T78,'Base de Datos'!$E$7:$AR$302,8,0)))</f>
        <v xml:space="preserve"> </v>
      </c>
      <c r="Y78" s="460" t="str">
        <f>IF(ISERROR(VLOOKUP(T78,'Base de Datos'!$E$7:$AR$302,9,0))=TRUE," ",(VLOOKUP(T78,'Base de Datos'!$E$7:$AR$302,9,0)))</f>
        <v xml:space="preserve"> </v>
      </c>
      <c r="Z78" s="454" t="str">
        <f>IF(ISERROR(VLOOKUP(T78,'Base de Datos'!$E$7:$AR$302,10,0))=TRUE," ",(VLOOKUP(T78,'Base de Datos'!$E$7:$AR$302,10,0)))</f>
        <v xml:space="preserve"> </v>
      </c>
      <c r="AA78" s="457" t="str">
        <f>IF(ISERROR(VLOOKUP(T78,'Base de Datos'!$E$7:$AR$302,11,0))=TRUE," ",(VLOOKUP(T78,'Base de Datos'!$E$7:$AR$302,11,0)))</f>
        <v xml:space="preserve"> </v>
      </c>
      <c r="AB78" s="454" t="str">
        <f>IF(ISERROR(VLOOKUP(T78,'Base de Datos'!$E$7:$AR$302,12,0))=TRUE," ",(VLOOKUP(T78,'Base de Datos'!$E$7:$AR$302,12,0)))</f>
        <v xml:space="preserve"> </v>
      </c>
      <c r="AC78" s="454" t="str">
        <f>IF(ISERROR(VLOOKUP(T78,'Base de Datos'!$E$7:$AR$302,12,0))=TRUE," ",(VLOOKUP(T78,'Base de Datos'!$E$7:$AR$302,12,0)))</f>
        <v xml:space="preserve"> </v>
      </c>
      <c r="AD78" s="460" t="str">
        <f>IF(ISERROR(VLOOKUP(T78,'Base de Datos'!$E$7:$AR$302,15,0))=TRUE," ",(VLOOKUP(T78,'Base de Datos'!$E$7:$AR$302,15,0)))</f>
        <v xml:space="preserve"> </v>
      </c>
      <c r="AE78" s="465" t="str">
        <f>IF(ISERROR(VLOOKUP(T78,'Base de Datos'!$E$7:$AR$302,16,0))=TRUE," ",(VLOOKUP(T78,'Base de Datos'!$E$7:$AR$302,16,0)))</f>
        <v xml:space="preserve"> </v>
      </c>
      <c r="AF78" s="465" t="str">
        <f>IF(ISERROR(VLOOKUP(T78,'Base de Datos'!$E$7:$AR$302,17,0))=TRUE," ",(VLOOKUP(T78,'Base de Datos'!$E$7:$AR$302,17,0)))</f>
        <v xml:space="preserve"> </v>
      </c>
      <c r="AG78" s="465" t="str">
        <f>IF(ISERROR(VLOOKUP(T78,'Base de Datos'!$E$7:$AR$302,18,0))=TRUE," ",(VLOOKUP(T78,'Base de Datos'!$E$7:$AR$302,18,0)))</f>
        <v xml:space="preserve"> </v>
      </c>
      <c r="AH78" s="466" t="str">
        <f>IF(ISERROR(VLOOKUP(T78,'Base de Datos'!$E$7:$AR$302,20,0))=TRUE," ",(VLOOKUP(T78,'Base de Datos'!$E$7:$AR$302,20,0)))</f>
        <v xml:space="preserve"> </v>
      </c>
      <c r="AI78" s="466" t="str">
        <f>IF(ISERROR(VLOOKUP(T78,'Base de Datos'!$E$7:$AR$302,21,0))=TRUE," ",(VLOOKUP(T78,'Base de Datos'!$E$7:$AR$302,21,0)))</f>
        <v xml:space="preserve"> </v>
      </c>
      <c r="AJ78" s="460">
        <v>42100</v>
      </c>
      <c r="AK78" s="455" t="str">
        <f>IF(ISERROR(VLOOKUP(D78,'Base de Datos'!$C$7:$AR$400,2,0))=TRUE," ",(VLOOKUP(D78,'Base de Datos'!$C$7:$AR$400,2,0)))</f>
        <v>2015178</v>
      </c>
      <c r="AL78" s="455" t="str">
        <f>IF(ISERROR(VLOOKUP(D78,'Base de Datos'!$C$7:$AR$400,3,0))=TRUE," ",(VLOOKUP(D78,'Base de Datos'!$C$7:$AR$400,3,0)))</f>
        <v>150152-0-2015</v>
      </c>
      <c r="AM78" s="458" t="str">
        <f>IF(ISERROR(VLOOKUP(D78,'Base de Datos'!$C$7:$AR$4014,6,0))=TRUE," ",(VLOOKUP(D78,'Base de Datos'!$C$7:$AR$400,6,0)))</f>
        <v>Realizar el mantenimiento preventivo y correctivo de las plantas purificadoras de agua del Concejo de Bogotá, D.C.</v>
      </c>
      <c r="AN78" s="458">
        <f>IF(ISERROR(VLOOKUP(D78,'Base de Datos'!$C$7:$AR$400,20,0))=TRUE," ",(VLOOKUP(D78,'Base de Datos'!$C$7:$AR$400,19,0)))</f>
        <v>3035520</v>
      </c>
      <c r="AO78" s="461">
        <f>IF(ISERROR(VLOOKUP(D78,'Base de Datos'!$C$7:$AR$400,9,0))=TRUE," ",(VLOOKUP(D78,'Base de Datos'!$C$7:$AR$400,9,0)))</f>
        <v>2015</v>
      </c>
      <c r="AP78" s="461">
        <f>IF(ISERROR(VLOOKUP(D78,'Base de Datos'!$C$7:$AR$400,10,0))=TRUE," ",(VLOOKUP(D78,'Base de Datos'!$C$7:$AR$400,10,0)))</f>
        <v>42100</v>
      </c>
      <c r="AQ78" s="463">
        <f>IF(ISERROR(VLOOKUP(D78,'Base de Datos'!$C$7:$AR$400,11,0))=TRUE," ",(VLOOKUP(D78,'Base de Datos'!$C$7:$AR$400,11,0)))</f>
        <v>42121</v>
      </c>
      <c r="AR78" s="464">
        <f>IF(ISERROR(VLOOKUP(D78,'Base de Datos'!$C$7:$AR$400,12,0))=TRUE," ",(VLOOKUP(D78,'Base de Datos'!$C$7:$AR$400,12,0)))</f>
        <v>42487</v>
      </c>
      <c r="AS78" s="463">
        <f>IF(ISERROR(VLOOKUP(D78,'Base de Datos'!$C$7:$AR$400,13,0))=TRUE," ",(VLOOKUP(D78,'Base de Datos'!$C$7:$AR$400,13,0)))</f>
        <v>0</v>
      </c>
      <c r="AT78" s="463">
        <f>IF(ISERROR(VLOOKUP(D78,'Base de Datos'!$C$7:$AR$400,14,0))=TRUE," ",(VLOOKUP(D78,'Base de Datos'!$C$7:$AR$400,14,0)))</f>
        <v>0</v>
      </c>
      <c r="AU78" s="461" t="str">
        <f>IF(ISERROR(VLOOKUP(D78,'Base de Datos'!$C$7:$AR$400,16,0))=TRUE," ",(VLOOKUP(D78,'Base de Datos'!$C$7:$AR$400,16,0)))</f>
        <v/>
      </c>
      <c r="AV78" s="465" t="str">
        <f>IF(ISERROR(VLOOKUP(D78,'Base de Datos'!$C$7:$AR$400,17,0))=TRUE," ",(VLOOKUP(D78,'Base de Datos'!$C$7:$AR$400,17,0)))</f>
        <v/>
      </c>
      <c r="AW78" s="465">
        <f>IF(ISERROR(VLOOKUP(D78,'Base de Datos'!$C$7:$AR$400,18,0))=TRUE," ",(VLOOKUP(D78,'Base de Datos'!$C$7:$AR$400,18,0)))</f>
        <v>42487</v>
      </c>
      <c r="AX78" s="465">
        <f>IF(ISERROR(VLOOKUP(D78,'Base de Datos'!$C$7:$AR$400,19,0))=TRUE," ",(VLOOKUP(D78,'Base de Datos'!$C$7:$AR$400,19,0)))</f>
        <v>3035520</v>
      </c>
      <c r="AY78" s="468">
        <f>IF(ISERROR(VLOOKUP(D78,'Base de Datos'!$C$7:$AR$400,21,0))=TRUE," ",(VLOOKUP(D78,'Base de Datos'!$C$7:$AR$400,21,0)))</f>
        <v>1026509</v>
      </c>
      <c r="AZ78" s="468" t="str">
        <f>IF(ISERROR(VLOOKUP(D78,'Base de Datos'!$C$7:$AR$400,22,0))=TRUE," ",(VLOOKUP(D78,'Base de Datos'!$C$7:$AR$400,22,0)))</f>
        <v>Pagos trimestrales a los servicios prestados</v>
      </c>
      <c r="BA78" s="475"/>
      <c r="BB78" s="485"/>
    </row>
    <row r="79" spans="2:54" ht="55.5" hidden="1" customHeight="1" x14ac:dyDescent="0.25">
      <c r="B79" s="438">
        <v>72</v>
      </c>
      <c r="C79" s="446" t="s">
        <v>1645</v>
      </c>
      <c r="D79" s="438">
        <v>179</v>
      </c>
      <c r="E79" s="446" t="s">
        <v>1660</v>
      </c>
      <c r="F79" s="447">
        <f>VLOOKUP(D79,'Presupuesto - PAA 2015'!$B$10:$E$265,4,0)</f>
        <v>174490259</v>
      </c>
      <c r="G79" s="439" t="str">
        <f>VLOOKUP(D79,'[3]Seguimiento Plan'!$C$2:$R$101,16,0)</f>
        <v>Expedir la pólizas de seguros requeridas para adecuada protección de los bienes de la Secretaría Distrital de Hacienda y del Concejo de Bogotá D.C., así como el seguro de Grupo Vida de los Concejales de Bogotá D.C.</v>
      </c>
      <c r="H79" s="439" t="s">
        <v>1779</v>
      </c>
      <c r="I79" s="439" t="s">
        <v>1713</v>
      </c>
      <c r="J79" s="448" t="s">
        <v>1739</v>
      </c>
      <c r="K79" s="449"/>
      <c r="L79" s="449"/>
      <c r="M79" s="450"/>
      <c r="N79" s="449"/>
      <c r="O79" s="451"/>
      <c r="P79" s="451"/>
      <c r="Q79" s="451"/>
      <c r="R79" s="452"/>
      <c r="S79" s="452"/>
      <c r="T79" s="453"/>
      <c r="U79" s="455" t="str">
        <f>IF(ISERROR(VLOOKUP(T79,'Base de Datos'!$E$7:$AR$302,3,0))=TRUE," ",(VLOOKUP(T79,'Base de Datos'!$E$7:$AR$302,2,0)))</f>
        <v xml:space="preserve"> </v>
      </c>
      <c r="V79" s="458" t="str">
        <f>IF(ISERROR(VLOOKUP(T79,'Base de Datos'!$E$7:$AR$302,5,0))=TRUE," ",(VLOOKUP(T79,'Base de Datos'!$E$7:$AR$302,5,0)))</f>
        <v xml:space="preserve"> </v>
      </c>
      <c r="W79" s="455" t="str">
        <f>IF(ISERROR(VLOOKUP(T79,'Base de Datos'!$E$7:$AR$302,19,0))=TRUE," ",(VLOOKUP(T79,'Base de Datos'!$E$7:$AR$302,19,0)))</f>
        <v xml:space="preserve"> </v>
      </c>
      <c r="X79" s="460" t="str">
        <f>IF(ISERROR(VLOOKUP(T79,'Base de Datos'!$E$7:$AR$302,8,0))=TRUE," ",(VLOOKUP(T79,'Base de Datos'!$E$7:$AR$302,8,0)))</f>
        <v xml:space="preserve"> </v>
      </c>
      <c r="Y79" s="460" t="str">
        <f>IF(ISERROR(VLOOKUP(T79,'Base de Datos'!$E$7:$AR$302,9,0))=TRUE," ",(VLOOKUP(T79,'Base de Datos'!$E$7:$AR$302,9,0)))</f>
        <v xml:space="preserve"> </v>
      </c>
      <c r="Z79" s="454" t="str">
        <f>IF(ISERROR(VLOOKUP(T79,'Base de Datos'!$E$7:$AR$302,10,0))=TRUE," ",(VLOOKUP(T79,'Base de Datos'!$E$7:$AR$302,10,0)))</f>
        <v xml:space="preserve"> </v>
      </c>
      <c r="AA79" s="457" t="str">
        <f>IF(ISERROR(VLOOKUP(T79,'Base de Datos'!$E$7:$AR$302,11,0))=TRUE," ",(VLOOKUP(T79,'Base de Datos'!$E$7:$AR$302,11,0)))</f>
        <v xml:space="preserve"> </v>
      </c>
      <c r="AB79" s="454" t="str">
        <f>IF(ISERROR(VLOOKUP(T79,'Base de Datos'!$E$7:$AR$302,12,0))=TRUE," ",(VLOOKUP(T79,'Base de Datos'!$E$7:$AR$302,12,0)))</f>
        <v xml:space="preserve"> </v>
      </c>
      <c r="AC79" s="454" t="str">
        <f>IF(ISERROR(VLOOKUP(T79,'Base de Datos'!$E$7:$AR$302,12,0))=TRUE," ",(VLOOKUP(T79,'Base de Datos'!$E$7:$AR$302,12,0)))</f>
        <v xml:space="preserve"> </v>
      </c>
      <c r="AD79" s="460" t="str">
        <f>IF(ISERROR(VLOOKUP(T79,'Base de Datos'!$E$7:$AR$302,15,0))=TRUE," ",(VLOOKUP(T79,'Base de Datos'!$E$7:$AR$302,15,0)))</f>
        <v xml:space="preserve"> </v>
      </c>
      <c r="AE79" s="465" t="str">
        <f>IF(ISERROR(VLOOKUP(T79,'Base de Datos'!$E$7:$AR$302,16,0))=TRUE," ",(VLOOKUP(T79,'Base de Datos'!$E$7:$AR$302,16,0)))</f>
        <v xml:space="preserve"> </v>
      </c>
      <c r="AF79" s="465" t="str">
        <f>IF(ISERROR(VLOOKUP(T79,'Base de Datos'!$E$7:$AR$302,17,0))=TRUE," ",(VLOOKUP(T79,'Base de Datos'!$E$7:$AR$302,17,0)))</f>
        <v xml:space="preserve"> </v>
      </c>
      <c r="AG79" s="465" t="str">
        <f>IF(ISERROR(VLOOKUP(T79,'Base de Datos'!$E$7:$AR$302,18,0))=TRUE," ",(VLOOKUP(T79,'Base de Datos'!$E$7:$AR$302,18,0)))</f>
        <v xml:space="preserve"> </v>
      </c>
      <c r="AH79" s="466" t="str">
        <f>IF(ISERROR(VLOOKUP(T79,'Base de Datos'!$E$7:$AR$302,20,0))=TRUE," ",(VLOOKUP(T79,'Base de Datos'!$E$7:$AR$302,20,0)))</f>
        <v xml:space="preserve"> </v>
      </c>
      <c r="AI79" s="466" t="str">
        <f>IF(ISERROR(VLOOKUP(T79,'Base de Datos'!$E$7:$AR$302,21,0))=TRUE," ",(VLOOKUP(T79,'Base de Datos'!$E$7:$AR$302,21,0)))</f>
        <v xml:space="preserve"> </v>
      </c>
      <c r="AJ79" s="455"/>
      <c r="AK79" s="455" t="str">
        <f>IF(ISERROR(VLOOKUP(D79,'Base de Datos'!$C$7:$AR$400,2,0))=TRUE," ",(VLOOKUP(D79,'Base de Datos'!$C$7:$AR$400,2,0)))</f>
        <v>2015179</v>
      </c>
      <c r="AL79" s="455" t="str">
        <f>IF(ISERROR(VLOOKUP(D79,'Base de Datos'!$C$7:$AR$400,3,0))=TRUE," ",(VLOOKUP(D79,'Base de Datos'!$C$7:$AR$400,3,0)))</f>
        <v xml:space="preserve">150302-0-2015 </v>
      </c>
      <c r="AM79" s="458"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8">
        <f>IF(ISERROR(VLOOKUP(D79,'Base de Datos'!$C$7:$AR$400,20,0))=TRUE," ",(VLOOKUP(D79,'Base de Datos'!$C$7:$AR$400,19,0)))</f>
        <v>186482674</v>
      </c>
      <c r="AO79" s="461">
        <f>IF(ISERROR(VLOOKUP(D79,'Base de Datos'!$C$7:$AR$400,9,0))=TRUE," ",(VLOOKUP(D79,'Base de Datos'!$C$7:$AR$400,9,0)))</f>
        <v>2015</v>
      </c>
      <c r="AP79" s="461">
        <f>IF(ISERROR(VLOOKUP(D79,'Base de Datos'!$C$7:$AR$400,10,0))=TRUE," ",(VLOOKUP(D79,'Base de Datos'!$C$7:$AR$400,10,0)))</f>
        <v>42187</v>
      </c>
      <c r="AQ79" s="463">
        <f>IF(ISERROR(VLOOKUP(D79,'Base de Datos'!$C$7:$AR$400,11,0))=TRUE," ",(VLOOKUP(D79,'Base de Datos'!$C$7:$AR$400,11,0)))</f>
        <v>0</v>
      </c>
      <c r="AR79" s="464">
        <f>IF(ISERROR(VLOOKUP(D79,'Base de Datos'!$C$7:$AR$400,12,0))=TRUE," ",(VLOOKUP(D79,'Base de Datos'!$C$7:$AR$400,12,0)))</f>
        <v>0</v>
      </c>
      <c r="AS79" s="463">
        <f>IF(ISERROR(VLOOKUP(D79,'Base de Datos'!$C$7:$AR$400,13,0))=TRUE," ",(VLOOKUP(D79,'Base de Datos'!$C$7:$AR$400,13,0)))</f>
        <v>0</v>
      </c>
      <c r="AT79" s="463">
        <f>IF(ISERROR(VLOOKUP(D79,'Base de Datos'!$C$7:$AR$400,14,0))=TRUE," ",(VLOOKUP(D79,'Base de Datos'!$C$7:$AR$400,14,0)))</f>
        <v>0</v>
      </c>
      <c r="AU79" s="461" t="str">
        <f>IF(ISERROR(VLOOKUP(D79,'Base de Datos'!$C$7:$AR$400,16,0))=TRUE," ",(VLOOKUP(D79,'Base de Datos'!$C$7:$AR$400,16,0)))</f>
        <v/>
      </c>
      <c r="AV79" s="465" t="str">
        <f>IF(ISERROR(VLOOKUP(D79,'Base de Datos'!$C$7:$AR$400,17,0))=TRUE," ",(VLOOKUP(D79,'Base de Datos'!$C$7:$AR$400,17,0)))</f>
        <v/>
      </c>
      <c r="AW79" s="465">
        <f>IF(ISERROR(VLOOKUP(D79,'Base de Datos'!$C$7:$AR$400,18,0))=TRUE," ",(VLOOKUP(D79,'Base de Datos'!$C$7:$AR$400,18,0)))</f>
        <v>0</v>
      </c>
      <c r="AX79" s="465">
        <f>IF(ISERROR(VLOOKUP(D79,'Base de Datos'!$C$7:$AR$400,19,0))=TRUE," ",(VLOOKUP(D79,'Base de Datos'!$C$7:$AR$400,19,0)))</f>
        <v>186482674</v>
      </c>
      <c r="AY79" s="468">
        <f>IF(ISERROR(VLOOKUP(D79,'Base de Datos'!$C$7:$AR$400,21,0))=TRUE," ",(VLOOKUP(D79,'Base de Datos'!$C$7:$AR$400,21,0)))</f>
        <v>186482674</v>
      </c>
      <c r="AZ79" s="468" t="str">
        <f>IF(ISERROR(VLOOKUP(D79,'Base de Datos'!$C$7:$AR$400,22,0))=TRUE," ",(VLOOKUP(D79,'Base de Datos'!$C$7:$AR$400,22,0)))</f>
        <v>Dentro de los 60 días posteriores al recibo del original de las pólizas</v>
      </c>
      <c r="BA79" s="475"/>
      <c r="BB79" s="485"/>
    </row>
    <row r="80" spans="2:54" ht="55.5" hidden="1" customHeight="1" x14ac:dyDescent="0.25">
      <c r="B80" s="438">
        <v>73</v>
      </c>
      <c r="C80" s="446" t="s">
        <v>1645</v>
      </c>
      <c r="D80" s="438">
        <v>180</v>
      </c>
      <c r="E80" s="446" t="s">
        <v>1660</v>
      </c>
      <c r="F80" s="447">
        <f>VLOOKUP(D80,'Presupuesto - PAA 2015'!$B$10:$E$265,4,0)</f>
        <v>4201951</v>
      </c>
      <c r="G80" s="439" t="str">
        <f>VLOOKUP(D80,'[3]Seguimiento Plan'!$C$2:$R$101,16,0)</f>
        <v>Expedir las polizas de seguro obligatorio SOAT para los vehículos de la Secretaría Distrital de Hacienda y del Concejo de Bogotá</v>
      </c>
      <c r="H80" s="439" t="s">
        <v>1779</v>
      </c>
      <c r="I80" s="439" t="s">
        <v>1713</v>
      </c>
      <c r="J80" s="448" t="s">
        <v>1738</v>
      </c>
      <c r="K80" s="449"/>
      <c r="L80" s="449"/>
      <c r="M80" s="450"/>
      <c r="N80" s="449"/>
      <c r="O80" s="451"/>
      <c r="P80" s="451"/>
      <c r="Q80" s="451"/>
      <c r="R80" s="452"/>
      <c r="S80" s="452"/>
      <c r="T80" s="139" t="s">
        <v>919</v>
      </c>
      <c r="U80" s="455" t="str">
        <f>IF(ISERROR(VLOOKUP(T80,'Base de Datos'!$E$7:$AR$302,3,0))=TRUE," ",(VLOOKUP(T80,'Base de Datos'!$E$7:$AR$302,2,0)))</f>
        <v>SEGUROS GENERALES SURAMERICANA</v>
      </c>
      <c r="V80" s="458">
        <f>IF(ISERROR(VLOOKUP(T80,'Base de Datos'!$E$7:$AR$302,5,0))=TRUE," ",(VLOOKUP(T80,'Base de Datos'!$E$7:$AR$302,5,0)))</f>
        <v>3846133</v>
      </c>
      <c r="W80" s="455">
        <f>IF(ISERROR(VLOOKUP(T80,'Base de Datos'!$E$7:$AR$302,19,0))=TRUE," ",(VLOOKUP(T80,'Base de Datos'!$E$7:$AR$302,19,0)))</f>
        <v>3846133</v>
      </c>
      <c r="X80" s="460" t="str">
        <f>IF(ISERROR(VLOOKUP(T80,'Base de Datos'!$E$7:$AR$302,8,0))=TRUE," ",(VLOOKUP(T80,'Base de Datos'!$E$7:$AR$302,8,0)))</f>
        <v xml:space="preserve"> </v>
      </c>
      <c r="Y80" s="460">
        <f>IF(ISERROR(VLOOKUP(T80,'Base de Datos'!$E$7:$AR$302,9,0))=TRUE," ",(VLOOKUP(T80,'Base de Datos'!$E$7:$AR$302,9,0)))</f>
        <v>41837</v>
      </c>
      <c r="Z80" s="454">
        <f>IF(ISERROR(VLOOKUP(T80,'Base de Datos'!$E$7:$AR$302,10,0))=TRUE," ",(VLOOKUP(T80,'Base de Datos'!$E$7:$AR$302,10,0)))</f>
        <v>42202</v>
      </c>
      <c r="AA80" s="457">
        <f>IF(ISERROR(VLOOKUP(T80,'Base de Datos'!$E$7:$AR$302,11,0))=TRUE," ",(VLOOKUP(T80,'Base de Datos'!$E$7:$AR$302,11,0)))</f>
        <v>0</v>
      </c>
      <c r="AB80" s="454">
        <f>IF(ISERROR(VLOOKUP(T80,'Base de Datos'!$E$7:$AR$302,12,0))=TRUE," ",(VLOOKUP(T80,'Base de Datos'!$E$7:$AR$302,12,0)))</f>
        <v>0</v>
      </c>
      <c r="AC80" s="454">
        <f>IF(ISERROR(VLOOKUP(T80,'Base de Datos'!$E$7:$AR$302,12,0))=TRUE," ",(VLOOKUP(T80,'Base de Datos'!$E$7:$AR$302,12,0)))</f>
        <v>0</v>
      </c>
      <c r="AD80" s="460" t="str">
        <f>IF(ISERROR(VLOOKUP(T80,'Base de Datos'!$E$7:$AR$302,15,0))=TRUE," ",(VLOOKUP(T80,'Base de Datos'!$E$7:$AR$302,15,0)))</f>
        <v/>
      </c>
      <c r="AE80" s="465">
        <f>IF(ISERROR(VLOOKUP(T80,'Base de Datos'!$E$7:$AR$302,16,0))=TRUE," ",(VLOOKUP(T80,'Base de Datos'!$E$7:$AR$302,16,0)))</f>
        <v>42202</v>
      </c>
      <c r="AF80" s="465">
        <f>IF(ISERROR(VLOOKUP(T80,'Base de Datos'!$E$7:$AR$302,17,0))=TRUE," ",(VLOOKUP(T80,'Base de Datos'!$E$7:$AR$302,17,0)))</f>
        <v>3846133</v>
      </c>
      <c r="AG80" s="465">
        <f>IF(ISERROR(VLOOKUP(T80,'Base de Datos'!$E$7:$AR$302,18,0))=TRUE," ",(VLOOKUP(T80,'Base de Datos'!$E$7:$AR$302,18,0)))</f>
        <v>0</v>
      </c>
      <c r="AH80" s="466">
        <f>IF(ISERROR(VLOOKUP(T80,'Base de Datos'!$E$7:$AR$302,20,0))=TRUE," ",(VLOOKUP(T80,'Base de Datos'!$E$7:$AR$302,20,0)))</f>
        <v>0</v>
      </c>
      <c r="AI80" s="466">
        <f>IF(ISERROR(VLOOKUP(T80,'Base de Datos'!$E$7:$AR$302,21,0))=TRUE," ",(VLOOKUP(T80,'Base de Datos'!$E$7:$AR$302,21,0)))</f>
        <v>0</v>
      </c>
      <c r="AJ80" s="455"/>
      <c r="AK80" s="455" t="str">
        <f>IF(ISERROR(VLOOKUP(D80,'Base de Datos'!$C$7:$AR$400,2,0))=TRUE," ",(VLOOKUP(D80,'Base de Datos'!$C$7:$AR$400,2,0)))</f>
        <v xml:space="preserve"> </v>
      </c>
      <c r="AL80" s="455" t="str">
        <f>IF(ISERROR(VLOOKUP(D80,'Base de Datos'!$C$7:$AR$400,3,0))=TRUE," ",(VLOOKUP(D80,'Base de Datos'!$C$7:$AR$400,3,0)))</f>
        <v xml:space="preserve"> </v>
      </c>
      <c r="AM80" s="458" t="str">
        <f>IF(ISERROR(VLOOKUP(D80,'Base de Datos'!$C$7:$AR$4014,6,0))=TRUE," ",(VLOOKUP(D80,'Base de Datos'!$C$7:$AR$400,6,0)))</f>
        <v xml:space="preserve"> </v>
      </c>
      <c r="AN80" s="458" t="str">
        <f>IF(ISERROR(VLOOKUP(D80,'Base de Datos'!$C$7:$AR$400,20,0))=TRUE," ",(VLOOKUP(D80,'Base de Datos'!$C$7:$AR$400,19,0)))</f>
        <v xml:space="preserve"> </v>
      </c>
      <c r="AO80" s="461" t="str">
        <f>IF(ISERROR(VLOOKUP(D80,'Base de Datos'!$C$7:$AR$400,9,0))=TRUE," ",(VLOOKUP(D80,'Base de Datos'!$C$7:$AR$400,9,0)))</f>
        <v xml:space="preserve"> </v>
      </c>
      <c r="AP80" s="461" t="str">
        <f>IF(ISERROR(VLOOKUP(D80,'Base de Datos'!$C$7:$AR$400,10,0))=TRUE," ",(VLOOKUP(D80,'Base de Datos'!$C$7:$AR$400,10,0)))</f>
        <v xml:space="preserve"> </v>
      </c>
      <c r="AQ80" s="463" t="str">
        <f>IF(ISERROR(VLOOKUP(D80,'Base de Datos'!$C$7:$AR$400,11,0))=TRUE," ",(VLOOKUP(D80,'Base de Datos'!$C$7:$AR$400,11,0)))</f>
        <v xml:space="preserve"> </v>
      </c>
      <c r="AR80" s="464" t="str">
        <f>IF(ISERROR(VLOOKUP(D80,'Base de Datos'!$C$7:$AR$400,12,0))=TRUE," ",(VLOOKUP(D80,'Base de Datos'!$C$7:$AR$400,12,0)))</f>
        <v xml:space="preserve"> </v>
      </c>
      <c r="AS80" s="463" t="str">
        <f>IF(ISERROR(VLOOKUP(D80,'Base de Datos'!$C$7:$AR$400,13,0))=TRUE," ",(VLOOKUP(D80,'Base de Datos'!$C$7:$AR$400,13,0)))</f>
        <v xml:space="preserve"> </v>
      </c>
      <c r="AT80" s="463" t="str">
        <f>IF(ISERROR(VLOOKUP(D80,'Base de Datos'!$C$7:$AR$400,14,0))=TRUE," ",(VLOOKUP(D80,'Base de Datos'!$C$7:$AR$400,14,0)))</f>
        <v xml:space="preserve"> </v>
      </c>
      <c r="AU80" s="461" t="str">
        <f>IF(ISERROR(VLOOKUP(D80,'Base de Datos'!$C$7:$AR$400,16,0))=TRUE," ",(VLOOKUP(D80,'Base de Datos'!$C$7:$AR$400,16,0)))</f>
        <v xml:space="preserve"> </v>
      </c>
      <c r="AV80" s="465" t="str">
        <f>IF(ISERROR(VLOOKUP(D80,'Base de Datos'!$C$7:$AR$400,17,0))=TRUE," ",(VLOOKUP(D80,'Base de Datos'!$C$7:$AR$400,17,0)))</f>
        <v xml:space="preserve"> </v>
      </c>
      <c r="AW80" s="465" t="str">
        <f>IF(ISERROR(VLOOKUP(D80,'Base de Datos'!$C$7:$AR$400,18,0))=TRUE," ",(VLOOKUP(D80,'Base de Datos'!$C$7:$AR$400,18,0)))</f>
        <v xml:space="preserve"> </v>
      </c>
      <c r="AX80" s="465" t="str">
        <f>IF(ISERROR(VLOOKUP(D80,'Base de Datos'!$C$7:$AR$400,19,0))=TRUE," ",(VLOOKUP(D80,'Base de Datos'!$C$7:$AR$400,19,0)))</f>
        <v xml:space="preserve"> </v>
      </c>
      <c r="AY80" s="468" t="str">
        <f>IF(ISERROR(VLOOKUP(D80,'Base de Datos'!$C$7:$AR$400,21,0))=TRUE," ",(VLOOKUP(D80,'Base de Datos'!$C$7:$AR$400,21,0)))</f>
        <v xml:space="preserve"> </v>
      </c>
      <c r="AZ80" s="468" t="str">
        <f>IF(ISERROR(VLOOKUP(D80,'Base de Datos'!$C$7:$AR$400,22,0))=TRUE," ",(VLOOKUP(D80,'Base de Datos'!$C$7:$AR$400,22,0)))</f>
        <v xml:space="preserve"> </v>
      </c>
      <c r="BA80" s="475"/>
      <c r="BB80" s="485"/>
    </row>
    <row r="81" spans="2:54" ht="55.5" hidden="1" customHeight="1" x14ac:dyDescent="0.25">
      <c r="B81" s="438">
        <v>74</v>
      </c>
      <c r="C81" s="446" t="s">
        <v>1645</v>
      </c>
      <c r="D81" s="438">
        <v>156</v>
      </c>
      <c r="E81" s="446" t="s">
        <v>1661</v>
      </c>
      <c r="F81" s="447">
        <f>VLOOKUP(D81,'Presupuesto - PAA 2015'!$B$10:$E$265,4,0)</f>
        <v>25824000</v>
      </c>
      <c r="G81" s="439" t="str">
        <f>VLOOKUP(D81,'[3]Seguimiento Plan'!$C$2:$R$101,16,0)</f>
        <v>Adición y prorroga al contrato 130342-0-2013 suscrito con POSITIVA COMPAÑIA DE SEGUROS S A para la expedición de la póliza de seguro vida de los  Concejales de Bogotá.</v>
      </c>
      <c r="H81" s="439" t="s">
        <v>1779</v>
      </c>
      <c r="I81" s="439" t="s">
        <v>1713</v>
      </c>
      <c r="J81" s="448" t="s">
        <v>590</v>
      </c>
      <c r="K81" s="449"/>
      <c r="L81" s="449"/>
      <c r="M81" s="450"/>
      <c r="N81" s="449"/>
      <c r="O81" s="451"/>
      <c r="P81" s="451"/>
      <c r="Q81" s="451"/>
      <c r="R81" s="452"/>
      <c r="S81" s="452"/>
      <c r="T81" s="453"/>
      <c r="U81" s="455" t="str">
        <f>IF(ISERROR(VLOOKUP(T81,'Base de Datos'!$E$7:$AR$302,3,0))=TRUE," ",(VLOOKUP(T81,'Base de Datos'!$E$7:$AR$302,2,0)))</f>
        <v xml:space="preserve"> </v>
      </c>
      <c r="V81" s="458" t="str">
        <f>IF(ISERROR(VLOOKUP(T81,'Base de Datos'!$E$7:$AR$302,5,0))=TRUE," ",(VLOOKUP(T81,'Base de Datos'!$E$7:$AR$302,5,0)))</f>
        <v xml:space="preserve"> </v>
      </c>
      <c r="W81" s="455" t="str">
        <f>IF(ISERROR(VLOOKUP(T81,'Base de Datos'!$E$7:$AR$302,19,0))=TRUE," ",(VLOOKUP(T81,'Base de Datos'!$E$7:$AR$302,19,0)))</f>
        <v xml:space="preserve"> </v>
      </c>
      <c r="X81" s="460" t="str">
        <f>IF(ISERROR(VLOOKUP(T81,'Base de Datos'!$E$7:$AR$302,8,0))=TRUE," ",(VLOOKUP(T81,'Base de Datos'!$E$7:$AR$302,8,0)))</f>
        <v xml:space="preserve"> </v>
      </c>
      <c r="Y81" s="460" t="str">
        <f>IF(ISERROR(VLOOKUP(T81,'Base de Datos'!$E$7:$AR$302,9,0))=TRUE," ",(VLOOKUP(T81,'Base de Datos'!$E$7:$AR$302,9,0)))</f>
        <v xml:space="preserve"> </v>
      </c>
      <c r="Z81" s="454" t="str">
        <f>IF(ISERROR(VLOOKUP(T81,'Base de Datos'!$E$7:$AR$302,10,0))=TRUE," ",(VLOOKUP(T81,'Base de Datos'!$E$7:$AR$302,10,0)))</f>
        <v xml:space="preserve"> </v>
      </c>
      <c r="AA81" s="457" t="str">
        <f>IF(ISERROR(VLOOKUP(T81,'Base de Datos'!$E$7:$AR$302,11,0))=TRUE," ",(VLOOKUP(T81,'Base de Datos'!$E$7:$AR$302,11,0)))</f>
        <v xml:space="preserve"> </v>
      </c>
      <c r="AB81" s="454" t="str">
        <f>IF(ISERROR(VLOOKUP(T81,'Base de Datos'!$E$7:$AR$302,12,0))=TRUE," ",(VLOOKUP(T81,'Base de Datos'!$E$7:$AR$302,12,0)))</f>
        <v xml:space="preserve"> </v>
      </c>
      <c r="AC81" s="454" t="str">
        <f>IF(ISERROR(VLOOKUP(T81,'Base de Datos'!$E$7:$AR$302,12,0))=TRUE," ",(VLOOKUP(T81,'Base de Datos'!$E$7:$AR$302,12,0)))</f>
        <v xml:space="preserve"> </v>
      </c>
      <c r="AD81" s="460" t="str">
        <f>IF(ISERROR(VLOOKUP(T81,'Base de Datos'!$E$7:$AR$302,15,0))=TRUE," ",(VLOOKUP(T81,'Base de Datos'!$E$7:$AR$302,15,0)))</f>
        <v xml:space="preserve"> </v>
      </c>
      <c r="AE81" s="465" t="str">
        <f>IF(ISERROR(VLOOKUP(T81,'Base de Datos'!$E$7:$AR$302,16,0))=TRUE," ",(VLOOKUP(T81,'Base de Datos'!$E$7:$AR$302,16,0)))</f>
        <v xml:space="preserve"> </v>
      </c>
      <c r="AF81" s="465" t="str">
        <f>IF(ISERROR(VLOOKUP(T81,'Base de Datos'!$E$7:$AR$302,17,0))=TRUE," ",(VLOOKUP(T81,'Base de Datos'!$E$7:$AR$302,17,0)))</f>
        <v xml:space="preserve"> </v>
      </c>
      <c r="AG81" s="465" t="str">
        <f>IF(ISERROR(VLOOKUP(T81,'Base de Datos'!$E$7:$AR$302,18,0))=TRUE," ",(VLOOKUP(T81,'Base de Datos'!$E$7:$AR$302,18,0)))</f>
        <v xml:space="preserve"> </v>
      </c>
      <c r="AH81" s="466" t="str">
        <f>IF(ISERROR(VLOOKUP(T81,'Base de Datos'!$E$7:$AR$302,20,0))=TRUE," ",(VLOOKUP(T81,'Base de Datos'!$E$7:$AR$302,20,0)))</f>
        <v xml:space="preserve"> </v>
      </c>
      <c r="AI81" s="466" t="str">
        <f>IF(ISERROR(VLOOKUP(T81,'Base de Datos'!$E$7:$AR$302,21,0))=TRUE," ",(VLOOKUP(T81,'Base de Datos'!$E$7:$AR$302,21,0)))</f>
        <v xml:space="preserve"> </v>
      </c>
      <c r="AJ81" s="455"/>
      <c r="AK81" s="455" t="str">
        <f>IF(ISERROR(VLOOKUP(D81,'Base de Datos'!$C$7:$AR$400,2,0))=TRUE," ",(VLOOKUP(D81,'Base de Datos'!$C$7:$AR$400,2,0)))</f>
        <v xml:space="preserve"> </v>
      </c>
      <c r="AL81" s="455" t="str">
        <f>IF(ISERROR(VLOOKUP(D81,'Base de Datos'!$C$7:$AR$400,3,0))=TRUE," ",(VLOOKUP(D81,'Base de Datos'!$C$7:$AR$400,3,0)))</f>
        <v xml:space="preserve"> </v>
      </c>
      <c r="AM81" s="458" t="e">
        <f>IF(ISERROR(VLOOKUP(D81,'Base de Datos'!$C$7:$AR$4014,6,0))=TRUE," ",(VLOOKUP(D81,'Base de Datos'!$C$7:$AR$400,6,0)))</f>
        <v>#N/A</v>
      </c>
      <c r="AN81" s="458" t="str">
        <f>IF(ISERROR(VLOOKUP(D81,'Base de Datos'!$C$7:$AR$400,20,0))=TRUE," ",(VLOOKUP(D81,'Base de Datos'!$C$7:$AR$400,19,0)))</f>
        <v xml:space="preserve"> </v>
      </c>
      <c r="AO81" s="461" t="str">
        <f>IF(ISERROR(VLOOKUP(D81,'Base de Datos'!$C$7:$AR$400,9,0))=TRUE," ",(VLOOKUP(D81,'Base de Datos'!$C$7:$AR$400,9,0)))</f>
        <v xml:space="preserve"> </v>
      </c>
      <c r="AP81" s="461" t="str">
        <f>IF(ISERROR(VLOOKUP(D81,'Base de Datos'!$C$7:$AR$400,10,0))=TRUE," ",(VLOOKUP(D81,'Base de Datos'!$C$7:$AR$400,10,0)))</f>
        <v xml:space="preserve"> </v>
      </c>
      <c r="AQ81" s="463" t="str">
        <f>IF(ISERROR(VLOOKUP(D81,'Base de Datos'!$C$7:$AR$400,11,0))=TRUE," ",(VLOOKUP(D81,'Base de Datos'!$C$7:$AR$400,11,0)))</f>
        <v xml:space="preserve"> </v>
      </c>
      <c r="AR81" s="464" t="str">
        <f>IF(ISERROR(VLOOKUP(D81,'Base de Datos'!$C$7:$AR$400,12,0))=TRUE," ",(VLOOKUP(D81,'Base de Datos'!$C$7:$AR$400,12,0)))</f>
        <v xml:space="preserve"> </v>
      </c>
      <c r="AS81" s="463" t="str">
        <f>IF(ISERROR(VLOOKUP(D81,'Base de Datos'!$C$7:$AR$400,13,0))=TRUE," ",(VLOOKUP(D81,'Base de Datos'!$C$7:$AR$400,13,0)))</f>
        <v xml:space="preserve"> </v>
      </c>
      <c r="AT81" s="463" t="str">
        <f>IF(ISERROR(VLOOKUP(D81,'Base de Datos'!$C$7:$AR$400,14,0))=TRUE," ",(VLOOKUP(D81,'Base de Datos'!$C$7:$AR$400,14,0)))</f>
        <v xml:space="preserve"> </v>
      </c>
      <c r="AU81" s="461" t="str">
        <f>IF(ISERROR(VLOOKUP(D81,'Base de Datos'!$C$7:$AR$400,16,0))=TRUE," ",(VLOOKUP(D81,'Base de Datos'!$C$7:$AR$400,16,0)))</f>
        <v xml:space="preserve"> </v>
      </c>
      <c r="AV81" s="465" t="str">
        <f>IF(ISERROR(VLOOKUP(D81,'Base de Datos'!$C$7:$AR$400,17,0))=TRUE," ",(VLOOKUP(D81,'Base de Datos'!$C$7:$AR$400,17,0)))</f>
        <v xml:space="preserve"> </v>
      </c>
      <c r="AW81" s="465" t="str">
        <f>IF(ISERROR(VLOOKUP(D81,'Base de Datos'!$C$7:$AR$400,18,0))=TRUE," ",(VLOOKUP(D81,'Base de Datos'!$C$7:$AR$400,18,0)))</f>
        <v xml:space="preserve"> </v>
      </c>
      <c r="AX81" s="465" t="str">
        <f>IF(ISERROR(VLOOKUP(D81,'Base de Datos'!$C$7:$AR$400,19,0))=TRUE," ",(VLOOKUP(D81,'Base de Datos'!$C$7:$AR$400,19,0)))</f>
        <v xml:space="preserve"> </v>
      </c>
      <c r="AY81" s="468" t="str">
        <f>IF(ISERROR(VLOOKUP(D81,'Base de Datos'!$C$7:$AR$400,21,0))=TRUE," ",(VLOOKUP(D81,'Base de Datos'!$C$7:$AR$400,21,0)))</f>
        <v xml:space="preserve"> </v>
      </c>
      <c r="AZ81" s="468" t="str">
        <f>IF(ISERROR(VLOOKUP(D81,'Base de Datos'!$C$7:$AR$400,22,0))=TRUE," ",(VLOOKUP(D81,'Base de Datos'!$C$7:$AR$400,22,0)))</f>
        <v xml:space="preserve"> </v>
      </c>
      <c r="BA81" s="475"/>
      <c r="BB81" s="485"/>
    </row>
    <row r="82" spans="2:54" ht="55.5" hidden="1" customHeight="1" x14ac:dyDescent="0.25">
      <c r="B82" s="438">
        <v>75</v>
      </c>
      <c r="C82" s="446" t="s">
        <v>1645</v>
      </c>
      <c r="D82" s="438">
        <v>179</v>
      </c>
      <c r="E82" s="446" t="s">
        <v>1661</v>
      </c>
      <c r="F82" s="447">
        <f>VLOOKUP(D82,'Presupuesto - PAA 2015'!$B$10:$E$265,4,0)</f>
        <v>174490259</v>
      </c>
      <c r="G82" s="439" t="str">
        <f>VLOOKUP(D82,'[3]Seguimiento Plan'!$C$2:$R$101,16,0)</f>
        <v>Expedir la pólizas de seguros requeridas para adecuada protección de los bienes de la Secretaría Distrital de Hacienda y del Concejo de Bogotá D.C., así como el seguro de Grupo Vida de los Concejales de Bogotá D.C.</v>
      </c>
      <c r="H82" s="439" t="s">
        <v>1779</v>
      </c>
      <c r="I82" s="439" t="s">
        <v>1713</v>
      </c>
      <c r="J82" s="448" t="s">
        <v>1739</v>
      </c>
      <c r="K82" s="449" t="s">
        <v>390</v>
      </c>
      <c r="L82" s="449"/>
      <c r="M82" s="450"/>
      <c r="N82" s="449"/>
      <c r="O82" s="451"/>
      <c r="P82" s="451"/>
      <c r="Q82" s="451"/>
      <c r="R82" s="452"/>
      <c r="S82" s="718" t="s">
        <v>2076</v>
      </c>
      <c r="T82" s="453"/>
      <c r="U82" s="455" t="str">
        <f>IF(ISERROR(VLOOKUP(T82,'Base de Datos'!$E$7:$AR$302,3,0))=TRUE," ",(VLOOKUP(T82,'Base de Datos'!$E$7:$AR$302,2,0)))</f>
        <v xml:space="preserve"> </v>
      </c>
      <c r="V82" s="458" t="str">
        <f>IF(ISERROR(VLOOKUP(T82,'Base de Datos'!$E$7:$AR$302,5,0))=TRUE," ",(VLOOKUP(T82,'Base de Datos'!$E$7:$AR$302,5,0)))</f>
        <v xml:space="preserve"> </v>
      </c>
      <c r="W82" s="455" t="str">
        <f>IF(ISERROR(VLOOKUP(T82,'Base de Datos'!$E$7:$AR$302,19,0))=TRUE," ",(VLOOKUP(T82,'Base de Datos'!$E$7:$AR$302,19,0)))</f>
        <v xml:space="preserve"> </v>
      </c>
      <c r="X82" s="460" t="str">
        <f>IF(ISERROR(VLOOKUP(T82,'Base de Datos'!$E$7:$AR$302,8,0))=TRUE," ",(VLOOKUP(T82,'Base de Datos'!$E$7:$AR$302,8,0)))</f>
        <v xml:space="preserve"> </v>
      </c>
      <c r="Y82" s="460" t="str">
        <f>IF(ISERROR(VLOOKUP(T82,'Base de Datos'!$E$7:$AR$302,9,0))=TRUE," ",(VLOOKUP(T82,'Base de Datos'!$E$7:$AR$302,9,0)))</f>
        <v xml:space="preserve"> </v>
      </c>
      <c r="Z82" s="454" t="str">
        <f>IF(ISERROR(VLOOKUP(T82,'Base de Datos'!$E$7:$AR$302,10,0))=TRUE," ",(VLOOKUP(T82,'Base de Datos'!$E$7:$AR$302,10,0)))</f>
        <v xml:space="preserve"> </v>
      </c>
      <c r="AA82" s="457" t="str">
        <f>IF(ISERROR(VLOOKUP(T82,'Base de Datos'!$E$7:$AR$302,11,0))=TRUE," ",(VLOOKUP(T82,'Base de Datos'!$E$7:$AR$302,11,0)))</f>
        <v xml:space="preserve"> </v>
      </c>
      <c r="AB82" s="454" t="str">
        <f>IF(ISERROR(VLOOKUP(T82,'Base de Datos'!$E$7:$AR$302,12,0))=TRUE," ",(VLOOKUP(T82,'Base de Datos'!$E$7:$AR$302,12,0)))</f>
        <v xml:space="preserve"> </v>
      </c>
      <c r="AC82" s="454" t="str">
        <f>IF(ISERROR(VLOOKUP(T82,'Base de Datos'!$E$7:$AR$302,12,0))=TRUE," ",(VLOOKUP(T82,'Base de Datos'!$E$7:$AR$302,12,0)))</f>
        <v xml:space="preserve"> </v>
      </c>
      <c r="AD82" s="460" t="str">
        <f>IF(ISERROR(VLOOKUP(T82,'Base de Datos'!$E$7:$AR$302,15,0))=TRUE," ",(VLOOKUP(T82,'Base de Datos'!$E$7:$AR$302,15,0)))</f>
        <v xml:space="preserve"> </v>
      </c>
      <c r="AE82" s="465" t="str">
        <f>IF(ISERROR(VLOOKUP(T82,'Base de Datos'!$E$7:$AR$302,16,0))=TRUE," ",(VLOOKUP(T82,'Base de Datos'!$E$7:$AR$302,16,0)))</f>
        <v xml:space="preserve"> </v>
      </c>
      <c r="AF82" s="465" t="str">
        <f>IF(ISERROR(VLOOKUP(T82,'Base de Datos'!$E$7:$AR$302,17,0))=TRUE," ",(VLOOKUP(T82,'Base de Datos'!$E$7:$AR$302,17,0)))</f>
        <v xml:space="preserve"> </v>
      </c>
      <c r="AG82" s="465" t="str">
        <f>IF(ISERROR(VLOOKUP(T82,'Base de Datos'!$E$7:$AR$302,18,0))=TRUE," ",(VLOOKUP(T82,'Base de Datos'!$E$7:$AR$302,18,0)))</f>
        <v xml:space="preserve"> </v>
      </c>
      <c r="AH82" s="466" t="str">
        <f>IF(ISERROR(VLOOKUP(T82,'Base de Datos'!$E$7:$AR$302,20,0))=TRUE," ",(VLOOKUP(T82,'Base de Datos'!$E$7:$AR$302,20,0)))</f>
        <v xml:space="preserve"> </v>
      </c>
      <c r="AI82" s="466" t="str">
        <f>IF(ISERROR(VLOOKUP(T82,'Base de Datos'!$E$7:$AR$302,21,0))=TRUE," ",(VLOOKUP(T82,'Base de Datos'!$E$7:$AR$302,21,0)))</f>
        <v xml:space="preserve"> </v>
      </c>
      <c r="AJ82" s="469">
        <v>42187</v>
      </c>
      <c r="AK82" s="455" t="str">
        <f>IF(ISERROR(VLOOKUP(D82,'Base de Datos'!$C$7:$AR$400,2,0))=TRUE," ",(VLOOKUP(D82,'Base de Datos'!$C$7:$AR$400,2,0)))</f>
        <v>2015179</v>
      </c>
      <c r="AL82" s="455" t="str">
        <f>IF(ISERROR(VLOOKUP(D82,'Base de Datos'!$C$7:$AR$400,3,0))=TRUE," ",(VLOOKUP(D82,'Base de Datos'!$C$7:$AR$400,3,0)))</f>
        <v xml:space="preserve">150302-0-2015 </v>
      </c>
      <c r="AM82" s="458"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8">
        <f>IF(ISERROR(VLOOKUP(D82,'Base de Datos'!$C$7:$AR$400,20,0))=TRUE," ",(VLOOKUP(D82,'Base de Datos'!$C$7:$AR$400,19,0)))</f>
        <v>186482674</v>
      </c>
      <c r="AO82" s="461">
        <f>IF(ISERROR(VLOOKUP(D82,'Base de Datos'!$C$7:$AR$400,9,0))=TRUE," ",(VLOOKUP(D82,'Base de Datos'!$C$7:$AR$400,9,0)))</f>
        <v>2015</v>
      </c>
      <c r="AP82" s="461">
        <f>IF(ISERROR(VLOOKUP(D82,'Base de Datos'!$C$7:$AR$400,10,0))=TRUE," ",(VLOOKUP(D82,'Base de Datos'!$C$7:$AR$400,10,0)))</f>
        <v>42187</v>
      </c>
      <c r="AQ82" s="463">
        <f>IF(ISERROR(VLOOKUP(D82,'Base de Datos'!$C$7:$AR$400,11,0))=TRUE," ",(VLOOKUP(D82,'Base de Datos'!$C$7:$AR$400,11,0)))</f>
        <v>0</v>
      </c>
      <c r="AR82" s="464">
        <f>IF(ISERROR(VLOOKUP(D82,'Base de Datos'!$C$7:$AR$400,12,0))=TRUE," ",(VLOOKUP(D82,'Base de Datos'!$C$7:$AR$400,12,0)))</f>
        <v>0</v>
      </c>
      <c r="AS82" s="463">
        <f>IF(ISERROR(VLOOKUP(D82,'Base de Datos'!$C$7:$AR$400,13,0))=TRUE," ",(VLOOKUP(D82,'Base de Datos'!$C$7:$AR$400,13,0)))</f>
        <v>0</v>
      </c>
      <c r="AT82" s="463">
        <f>IF(ISERROR(VLOOKUP(D82,'Base de Datos'!$C$7:$AR$400,14,0))=TRUE," ",(VLOOKUP(D82,'Base de Datos'!$C$7:$AR$400,14,0)))</f>
        <v>0</v>
      </c>
      <c r="AU82" s="461" t="str">
        <f>IF(ISERROR(VLOOKUP(D82,'Base de Datos'!$C$7:$AR$400,16,0))=TRUE," ",(VLOOKUP(D82,'Base de Datos'!$C$7:$AR$400,16,0)))</f>
        <v/>
      </c>
      <c r="AV82" s="465" t="str">
        <f>IF(ISERROR(VLOOKUP(D82,'Base de Datos'!$C$7:$AR$400,17,0))=TRUE," ",(VLOOKUP(D82,'Base de Datos'!$C$7:$AR$400,17,0)))</f>
        <v/>
      </c>
      <c r="AW82" s="465">
        <f>IF(ISERROR(VLOOKUP(D82,'Base de Datos'!$C$7:$AR$400,18,0))=TRUE," ",(VLOOKUP(D82,'Base de Datos'!$C$7:$AR$400,18,0)))</f>
        <v>0</v>
      </c>
      <c r="AX82" s="465">
        <f>IF(ISERROR(VLOOKUP(D82,'Base de Datos'!$C$7:$AR$400,19,0))=TRUE," ",(VLOOKUP(D82,'Base de Datos'!$C$7:$AR$400,19,0)))</f>
        <v>186482674</v>
      </c>
      <c r="AY82" s="468">
        <f>IF(ISERROR(VLOOKUP(D82,'Base de Datos'!$C$7:$AR$400,21,0))=TRUE," ",(VLOOKUP(D82,'Base de Datos'!$C$7:$AR$400,21,0)))</f>
        <v>186482674</v>
      </c>
      <c r="AZ82" s="468" t="str">
        <f>IF(ISERROR(VLOOKUP(D82,'Base de Datos'!$C$7:$AR$400,22,0))=TRUE," ",(VLOOKUP(D82,'Base de Datos'!$C$7:$AR$400,22,0)))</f>
        <v>Dentro de los 60 días posteriores al recibo del original de las pólizas</v>
      </c>
      <c r="BA82" s="475"/>
      <c r="BB82" s="485"/>
    </row>
    <row r="83" spans="2:54" ht="55.5" hidden="1" customHeight="1" x14ac:dyDescent="0.25">
      <c r="B83" s="438">
        <v>76</v>
      </c>
      <c r="C83" s="446" t="s">
        <v>1645</v>
      </c>
      <c r="D83" s="438">
        <v>181</v>
      </c>
      <c r="E83" s="446" t="s">
        <v>1669</v>
      </c>
      <c r="F83" s="447">
        <f>VLOOKUP(D83,'Presupuesto - PAA 2015'!$B$10:$E$265,4,0)</f>
        <v>478000000</v>
      </c>
      <c r="G83" s="439" t="str">
        <f>VLOOKUP(D83,'[3]Seguimiento Plan'!$C$2:$R$101,16,0)</f>
        <v>Realizar las actividades de capacitación previstas en el Plan Institucional de Capacitación para los funcionarios de la SDH y del Concejo de Bogotá.</v>
      </c>
      <c r="H83" s="439" t="s">
        <v>1779</v>
      </c>
      <c r="I83" s="439" t="s">
        <v>1713</v>
      </c>
      <c r="J83" s="448" t="s">
        <v>1739</v>
      </c>
      <c r="K83" s="449" t="s">
        <v>390</v>
      </c>
      <c r="L83" s="449" t="s">
        <v>390</v>
      </c>
      <c r="M83" s="450">
        <v>42135</v>
      </c>
      <c r="N83" s="449" t="s">
        <v>1886</v>
      </c>
      <c r="O83" s="451"/>
      <c r="P83" s="451"/>
      <c r="Q83" s="451"/>
      <c r="R83" s="452"/>
      <c r="S83" s="708" t="s">
        <v>2196</v>
      </c>
      <c r="T83" s="355" t="s">
        <v>1475</v>
      </c>
      <c r="U83" s="455" t="str">
        <f>IF(ISERROR(VLOOKUP(T83,'Base de Datos'!$E$7:$AR$302,3,0))=TRUE," ",(VLOOKUP(T83,'Base de Datos'!$E$7:$AR$302,2,0)))</f>
        <v>CENTRO DE RECURSOS EDUCATIVOS PARA LA COMPETITIVIDAD EMPRESARIAL LTDA - CRECE</v>
      </c>
      <c r="V83" s="458">
        <f>IF(ISERROR(VLOOKUP(T83,'Base de Datos'!$E$7:$AR$302,5,0))=TRUE," ",(VLOOKUP(T83,'Base de Datos'!$E$7:$AR$302,5,0)))</f>
        <v>401058400</v>
      </c>
      <c r="W83" s="455">
        <f>IF(ISERROR(VLOOKUP(T83,'Base de Datos'!$E$7:$AR$302,19,0))=TRUE," ",(VLOOKUP(T83,'Base de Datos'!$E$7:$AR$302,19,0)))</f>
        <v>0</v>
      </c>
      <c r="X83" s="460" t="str">
        <f>IF(ISERROR(VLOOKUP(T83,'Base de Datos'!$E$7:$AR$302,8,0))=TRUE," ",(VLOOKUP(T83,'Base de Datos'!$E$7:$AR$302,8,0)))</f>
        <v xml:space="preserve"> </v>
      </c>
      <c r="Y83" s="460">
        <f>IF(ISERROR(VLOOKUP(T83,'Base de Datos'!$E$7:$AR$302,9,0))=TRUE," ",(VLOOKUP(T83,'Base de Datos'!$E$7:$AR$302,9,0)))</f>
        <v>42031</v>
      </c>
      <c r="Z83" s="454">
        <f>IF(ISERROR(VLOOKUP(T83,'Base de Datos'!$E$7:$AR$302,10,0))=TRUE," ",(VLOOKUP(T83,'Base de Datos'!$E$7:$AR$302,10,0)))</f>
        <v>42274</v>
      </c>
      <c r="AA83" s="457">
        <f>IF(ISERROR(VLOOKUP(T83,'Base de Datos'!$E$7:$AR$302,11,0))=TRUE," ",(VLOOKUP(T83,'Base de Datos'!$E$7:$AR$302,11,0)))</f>
        <v>0</v>
      </c>
      <c r="AB83" s="454">
        <f>IF(ISERROR(VLOOKUP(T83,'Base de Datos'!$E$7:$AR$302,12,0))=TRUE," ",(VLOOKUP(T83,'Base de Datos'!$E$7:$AR$302,12,0)))</f>
        <v>0</v>
      </c>
      <c r="AC83" s="454">
        <f>IF(ISERROR(VLOOKUP(T83,'Base de Datos'!$E$7:$AR$302,12,0))=TRUE," ",(VLOOKUP(T83,'Base de Datos'!$E$7:$AR$302,12,0)))</f>
        <v>0</v>
      </c>
      <c r="AD83" s="460">
        <f>IF(ISERROR(VLOOKUP(T83,'Base de Datos'!$E$7:$AR$302,15,0))=TRUE," ",(VLOOKUP(T83,'Base de Datos'!$E$7:$AR$302,15,0)))</f>
        <v>42335</v>
      </c>
      <c r="AE83" s="465">
        <f>IF(ISERROR(VLOOKUP(T83,'Base de Datos'!$E$7:$AR$302,16,0))=TRUE," ",(VLOOKUP(T83,'Base de Datos'!$E$7:$AR$302,16,0)))</f>
        <v>42335</v>
      </c>
      <c r="AF83" s="465">
        <f>IF(ISERROR(VLOOKUP(T83,'Base de Datos'!$E$7:$AR$302,17,0))=TRUE," ",(VLOOKUP(T83,'Base de Datos'!$E$7:$AR$302,17,0)))</f>
        <v>401058400</v>
      </c>
      <c r="AG83" s="465">
        <f>IF(ISERROR(VLOOKUP(T83,'Base de Datos'!$E$7:$AR$302,18,0))=TRUE," ",(VLOOKUP(T83,'Base de Datos'!$E$7:$AR$302,18,0)))</f>
        <v>401058400</v>
      </c>
      <c r="AH83" s="466" t="str">
        <f>IF(ISERROR(VLOOKUP(T83,'Base de Datos'!$E$7:$AR$302,20,0))=TRUE," ",(VLOOKUP(T83,'Base de Datos'!$E$7:$AR$302,20,0)))</f>
        <v>Mensual, de acuerdo a la ejecución realizada durante el respectivo periodo.</v>
      </c>
      <c r="AI83" s="466">
        <f>IF(ISERROR(VLOOKUP(T83,'Base de Datos'!$E$7:$AR$302,21,0))=TRUE," ",(VLOOKUP(T83,'Base de Datos'!$E$7:$AR$302,21,0)))</f>
        <v>1</v>
      </c>
      <c r="AJ83" s="455"/>
      <c r="AK83" s="455" t="str">
        <f>IF(ISERROR(VLOOKUP(D83,'Base de Datos'!$C$7:$AR$400,2,0))=TRUE," ",(VLOOKUP(D83,'Base de Datos'!$C$7:$AR$400,2,0)))</f>
        <v>2015181</v>
      </c>
      <c r="AL83" s="455" t="str">
        <f>IF(ISERROR(VLOOKUP(D83,'Base de Datos'!$C$7:$AR$400,3,0))=TRUE," ",(VLOOKUP(D83,'Base de Datos'!$C$7:$AR$400,3,0)))</f>
        <v>150373-0-2015</v>
      </c>
      <c r="AM83" s="458" t="str">
        <f>IF(ISERROR(VLOOKUP(D83,'Base de Datos'!$C$7:$AR$4014,6,0))=TRUE," ",(VLOOKUP(D83,'Base de Datos'!$C$7:$AR$400,6,0)))</f>
        <v>Ejecutar actividades del Plan Institucional de Capacitación del Concejo de Bogotá, D.C., - Grupo 3, según el pliego de condiciones del proceso SDH-LP-04-2015</v>
      </c>
      <c r="AN83" s="458">
        <f>IF(ISERROR(VLOOKUP(D83,'Base de Datos'!$C$7:$AR$400,20,0))=TRUE," ",(VLOOKUP(D83,'Base de Datos'!$C$7:$AR$400,19,0)))</f>
        <v>436914000</v>
      </c>
      <c r="AO83" s="461">
        <f>IF(ISERROR(VLOOKUP(D83,'Base de Datos'!$C$7:$AR$400,9,0))=TRUE," ",(VLOOKUP(D83,'Base de Datos'!$C$7:$AR$400,9,0)))</f>
        <v>2015</v>
      </c>
      <c r="AP83" s="461">
        <f>IF(ISERROR(VLOOKUP(D83,'Base de Datos'!$C$7:$AR$400,10,0))=TRUE," ",(VLOOKUP(D83,'Base de Datos'!$C$7:$AR$400,10,0)))</f>
        <v>42293</v>
      </c>
      <c r="AQ83" s="463">
        <f>IF(ISERROR(VLOOKUP(D83,'Base de Datos'!$C$7:$AR$400,11,0))=TRUE," ",(VLOOKUP(D83,'Base de Datos'!$C$7:$AR$400,11,0)))</f>
        <v>42362</v>
      </c>
      <c r="AR83" s="464">
        <f>IF(ISERROR(VLOOKUP(D83,'Base de Datos'!$C$7:$AR$400,12,0))=TRUE," ",(VLOOKUP(D83,'Base de Datos'!$C$7:$AR$400,12,0)))</f>
        <v>42605</v>
      </c>
      <c r="AS83" s="463">
        <f>IF(ISERROR(VLOOKUP(D83,'Base de Datos'!$C$7:$AR$400,13,0))=TRUE," ",(VLOOKUP(D83,'Base de Datos'!$C$7:$AR$400,13,0)))</f>
        <v>0</v>
      </c>
      <c r="AT83" s="463">
        <f>IF(ISERROR(VLOOKUP(D83,'Base de Datos'!$C$7:$AR$400,14,0))=TRUE," ",(VLOOKUP(D83,'Base de Datos'!$C$7:$AR$400,14,0)))</f>
        <v>0</v>
      </c>
      <c r="AU83" s="461" t="str">
        <f>IF(ISERROR(VLOOKUP(D83,'Base de Datos'!$C$7:$AR$400,16,0))=TRUE," ",(VLOOKUP(D83,'Base de Datos'!$C$7:$AR$400,16,0)))</f>
        <v>3 meses y 7 días</v>
      </c>
      <c r="AV83" s="465">
        <f>IF(ISERROR(VLOOKUP(D83,'Base de Datos'!$C$7:$AR$400,17,0))=TRUE," ",(VLOOKUP(D83,'Base de Datos'!$C$7:$AR$400,17,0)))</f>
        <v>42704</v>
      </c>
      <c r="AW83" s="465">
        <f>IF(ISERROR(VLOOKUP(D83,'Base de Datos'!$C$7:$AR$400,18,0))=TRUE," ",(VLOOKUP(D83,'Base de Datos'!$C$7:$AR$400,18,0)))</f>
        <v>42704</v>
      </c>
      <c r="AX83" s="465">
        <f>IF(ISERROR(VLOOKUP(D83,'Base de Datos'!$C$7:$AR$400,19,0))=TRUE," ",(VLOOKUP(D83,'Base de Datos'!$C$7:$AR$400,19,0)))</f>
        <v>436914000</v>
      </c>
      <c r="AY83" s="468">
        <f>IF(ISERROR(VLOOKUP(D83,'Base de Datos'!$C$7:$AR$400,21,0))=TRUE," ",(VLOOKUP(D83,'Base de Datos'!$C$7:$AR$400,21,0)))</f>
        <v>0</v>
      </c>
      <c r="AZ83" s="468" t="str">
        <f>IF(ISERROR(VLOOKUP(D83,'Base de Datos'!$C$7:$AR$400,22,0))=TRUE," ",(VLOOKUP(D83,'Base de Datos'!$C$7:$AR$400,22,0)))</f>
        <v>Mensuales de acuerdo a la ejecución de cada periodo</v>
      </c>
      <c r="BA83" s="475"/>
      <c r="BB83" s="485"/>
    </row>
    <row r="84" spans="2:54" ht="55.5" hidden="1" customHeight="1" x14ac:dyDescent="0.25">
      <c r="B84" s="438">
        <v>77</v>
      </c>
      <c r="C84" s="446" t="s">
        <v>1645</v>
      </c>
      <c r="D84" s="438">
        <v>184</v>
      </c>
      <c r="E84" s="446" t="s">
        <v>1670</v>
      </c>
      <c r="F84" s="447">
        <f>VLOOKUP(D84,'Presupuesto - PAA 2015'!$B$10:$E$265,4,0)</f>
        <v>40000000</v>
      </c>
      <c r="G84" s="439" t="str">
        <f>VLOOKUP(D84,'[3]Seguimiento Plan'!$C$2:$R$101,16,0)</f>
        <v>Adquisición de bonos navideños para los hijos de los funcionarios de la Secretaría de Hacienda y el Concejo de Bogotá</v>
      </c>
      <c r="H84" s="439" t="s">
        <v>1779</v>
      </c>
      <c r="I84" s="439" t="s">
        <v>1715</v>
      </c>
      <c r="J84" s="448" t="s">
        <v>913</v>
      </c>
      <c r="K84" s="449" t="s">
        <v>390</v>
      </c>
      <c r="L84" s="449" t="s">
        <v>390</v>
      </c>
      <c r="M84" s="450" t="s">
        <v>1888</v>
      </c>
      <c r="N84" s="449" t="s">
        <v>1889</v>
      </c>
      <c r="O84" s="451"/>
      <c r="P84" s="451"/>
      <c r="Q84" s="451"/>
      <c r="R84" s="452"/>
      <c r="S84" s="470" t="s">
        <v>2206</v>
      </c>
      <c r="T84" s="355" t="s">
        <v>1482</v>
      </c>
      <c r="U84" s="455" t="str">
        <f>IF(ISERROR(VLOOKUP(T84,'Base de Datos'!$E$7:$AR$302,3,0))=TRUE," ",(VLOOKUP(T84,'Base de Datos'!$E$7:$AR$302,2,0)))</f>
        <v>CAJA COLOMBIANA DE SUBSIDIO FAMILIAR – COLSUBSIDIO</v>
      </c>
      <c r="V84" s="458">
        <f>IF(ISERROR(VLOOKUP(T84,'Base de Datos'!$E$7:$AR$302,5,0))=TRUE," ",(VLOOKUP(T84,'Base de Datos'!$E$7:$AR$302,5,0)))</f>
        <v>39424000</v>
      </c>
      <c r="W84" s="455">
        <f>IF(ISERROR(VLOOKUP(T84,'Base de Datos'!$E$7:$AR$302,19,0))=TRUE," ",(VLOOKUP(T84,'Base de Datos'!$E$7:$AR$302,19,0)))</f>
        <v>0</v>
      </c>
      <c r="X84" s="460" t="str">
        <f>IF(ISERROR(VLOOKUP(T84,'Base de Datos'!$E$7:$AR$302,8,0))=TRUE," ",(VLOOKUP(T84,'Base de Datos'!$E$7:$AR$302,8,0)))</f>
        <v xml:space="preserve"> </v>
      </c>
      <c r="Y84" s="460">
        <f>IF(ISERROR(VLOOKUP(T84,'Base de Datos'!$E$7:$AR$302,9,0))=TRUE," ",(VLOOKUP(T84,'Base de Datos'!$E$7:$AR$302,9,0)))</f>
        <v>41982</v>
      </c>
      <c r="Z84" s="454">
        <f>IF(ISERROR(VLOOKUP(T84,'Base de Datos'!$E$7:$AR$302,10,0))=TRUE," ",(VLOOKUP(T84,'Base de Datos'!$E$7:$AR$302,10,0)))</f>
        <v>42013</v>
      </c>
      <c r="AA84" s="457">
        <f>IF(ISERROR(VLOOKUP(T84,'Base de Datos'!$E$7:$AR$302,11,0))=TRUE," ",(VLOOKUP(T84,'Base de Datos'!$E$7:$AR$302,11,0)))</f>
        <v>0</v>
      </c>
      <c r="AB84" s="454">
        <f>IF(ISERROR(VLOOKUP(T84,'Base de Datos'!$E$7:$AR$302,12,0))=TRUE," ",(VLOOKUP(T84,'Base de Datos'!$E$7:$AR$302,12,0)))</f>
        <v>0</v>
      </c>
      <c r="AC84" s="454">
        <f>IF(ISERROR(VLOOKUP(T84,'Base de Datos'!$E$7:$AR$302,12,0))=TRUE," ",(VLOOKUP(T84,'Base de Datos'!$E$7:$AR$302,12,0)))</f>
        <v>0</v>
      </c>
      <c r="AD84" s="460" t="str">
        <f>IF(ISERROR(VLOOKUP(T84,'Base de Datos'!$E$7:$AR$302,15,0))=TRUE," ",(VLOOKUP(T84,'Base de Datos'!$E$7:$AR$302,15,0)))</f>
        <v/>
      </c>
      <c r="AE84" s="465">
        <f>IF(ISERROR(VLOOKUP(T84,'Base de Datos'!$E$7:$AR$302,16,0))=TRUE," ",(VLOOKUP(T84,'Base de Datos'!$E$7:$AR$302,16,0)))</f>
        <v>42013</v>
      </c>
      <c r="AF84" s="465">
        <f>IF(ISERROR(VLOOKUP(T84,'Base de Datos'!$E$7:$AR$302,17,0))=TRUE," ",(VLOOKUP(T84,'Base de Datos'!$E$7:$AR$302,17,0)))</f>
        <v>39424000</v>
      </c>
      <c r="AG84" s="465">
        <f>IF(ISERROR(VLOOKUP(T84,'Base de Datos'!$E$7:$AR$302,18,0))=TRUE," ",(VLOOKUP(T84,'Base de Datos'!$E$7:$AR$302,18,0)))</f>
        <v>39424000</v>
      </c>
      <c r="AH84" s="466" t="str">
        <f>IF(ISERROR(VLOOKUP(T84,'Base de Datos'!$E$7:$AR$302,20,0))=TRUE," ",(VLOOKUP(T84,'Base de Datos'!$E$7:$AR$302,20,0)))</f>
        <v>Único</v>
      </c>
      <c r="AI84" s="466">
        <f>IF(ISERROR(VLOOKUP(T84,'Base de Datos'!$E$7:$AR$302,21,0))=TRUE," ",(VLOOKUP(T84,'Base de Datos'!$E$7:$AR$302,21,0)))</f>
        <v>1</v>
      </c>
      <c r="AJ84" s="455"/>
      <c r="AK84" s="455" t="str">
        <f>IF(ISERROR(VLOOKUP(D84,'Base de Datos'!$C$7:$AR$400,2,0))=TRUE," ",(VLOOKUP(D84,'Base de Datos'!$C$7:$AR$400,2,0)))</f>
        <v>2015184</v>
      </c>
      <c r="AL84" s="455" t="str">
        <f>IF(ISERROR(VLOOKUP(D84,'Base de Datos'!$C$7:$AR$400,3,0))=TRUE," ",(VLOOKUP(D84,'Base de Datos'!$C$7:$AR$400,3,0)))</f>
        <v>150386-0-2015</v>
      </c>
      <c r="AM84" s="458"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8">
        <f>IF(ISERROR(VLOOKUP(D84,'Base de Datos'!$C$7:$AR$400,20,0))=TRUE," ",(VLOOKUP(D84,'Base de Datos'!$C$7:$AR$400,19,0)))</f>
        <v>37372300</v>
      </c>
      <c r="AO84" s="461">
        <f>IF(ISERROR(VLOOKUP(D84,'Base de Datos'!$C$7:$AR$400,9,0))=TRUE," ",(VLOOKUP(D84,'Base de Datos'!$C$7:$AR$400,9,0)))</f>
        <v>2015</v>
      </c>
      <c r="AP84" s="461">
        <f>IF(ISERROR(VLOOKUP(D84,'Base de Datos'!$C$7:$AR$400,10,0))=TRUE," ",(VLOOKUP(D84,'Base de Datos'!$C$7:$AR$400,10,0)))</f>
        <v>42314</v>
      </c>
      <c r="AQ84" s="463">
        <f>IF(ISERROR(VLOOKUP(D84,'Base de Datos'!$C$7:$AR$400,11,0))=TRUE," ",(VLOOKUP(D84,'Base de Datos'!$C$7:$AR$400,11,0)))</f>
        <v>42331</v>
      </c>
      <c r="AR84" s="464">
        <f>IF(ISERROR(VLOOKUP(D84,'Base de Datos'!$C$7:$AR$400,12,0))=TRUE," ",(VLOOKUP(D84,'Base de Datos'!$C$7:$AR$400,12,0)))</f>
        <v>42392</v>
      </c>
      <c r="AS84" s="463">
        <f>IF(ISERROR(VLOOKUP(D84,'Base de Datos'!$C$7:$AR$400,13,0))=TRUE," ",(VLOOKUP(D84,'Base de Datos'!$C$7:$AR$400,13,0)))</f>
        <v>0</v>
      </c>
      <c r="AT84" s="463">
        <f>IF(ISERROR(VLOOKUP(D84,'Base de Datos'!$C$7:$AR$400,14,0))=TRUE," ",(VLOOKUP(D84,'Base de Datos'!$C$7:$AR$400,14,0)))</f>
        <v>0</v>
      </c>
      <c r="AU84" s="461" t="str">
        <f>IF(ISERROR(VLOOKUP(D84,'Base de Datos'!$C$7:$AR$400,16,0))=TRUE," ",(VLOOKUP(D84,'Base de Datos'!$C$7:$AR$400,16,0)))</f>
        <v>5 meses</v>
      </c>
      <c r="AV84" s="465">
        <f>IF(ISERROR(VLOOKUP(D84,'Base de Datos'!$C$7:$AR$400,17,0))=TRUE," ",(VLOOKUP(D84,'Base de Datos'!$C$7:$AR$400,17,0)))</f>
        <v>42544</v>
      </c>
      <c r="AW84" s="465">
        <f>IF(ISERROR(VLOOKUP(D84,'Base de Datos'!$C$7:$AR$400,18,0))=TRUE," ",(VLOOKUP(D84,'Base de Datos'!$C$7:$AR$400,18,0)))</f>
        <v>42544</v>
      </c>
      <c r="AX84" s="465">
        <f>IF(ISERROR(VLOOKUP(D84,'Base de Datos'!$C$7:$AR$400,19,0))=TRUE," ",(VLOOKUP(D84,'Base de Datos'!$C$7:$AR$400,19,0)))</f>
        <v>37372300</v>
      </c>
      <c r="AY84" s="468">
        <f>IF(ISERROR(VLOOKUP(D84,'Base de Datos'!$C$7:$AR$400,21,0))=TRUE," ",(VLOOKUP(D84,'Base de Datos'!$C$7:$AR$400,21,0)))</f>
        <v>7474465</v>
      </c>
      <c r="AZ84" s="468"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5"/>
      <c r="BB84" s="485"/>
    </row>
    <row r="85" spans="2:54" ht="55.5" hidden="1" customHeight="1" x14ac:dyDescent="0.25">
      <c r="B85" s="438">
        <v>78</v>
      </c>
      <c r="C85" s="446" t="s">
        <v>1645</v>
      </c>
      <c r="D85" s="438">
        <v>185</v>
      </c>
      <c r="E85" s="446" t="s">
        <v>1670</v>
      </c>
      <c r="F85" s="447">
        <f>VLOOKUP(D85,'Presupuesto - PAA 2015'!$B$10:$E$265,4,0)</f>
        <v>550762000</v>
      </c>
      <c r="G85" s="439" t="str">
        <f>VLOOKUP(D85,'[3]Seguimiento Plan'!$C$2:$R$101,16,0)</f>
        <v>Desarrollar las actividades contenidas en los Planes de Bienestar e Incentivos y Mejoramiento del Clima Laboral para la Secretaría de Hacienda y el Concejo de Bogota.</v>
      </c>
      <c r="H85" s="439" t="s">
        <v>1779</v>
      </c>
      <c r="I85" s="439" t="s">
        <v>1713</v>
      </c>
      <c r="J85" s="448" t="s">
        <v>1739</v>
      </c>
      <c r="K85" s="449" t="s">
        <v>390</v>
      </c>
      <c r="L85" s="449" t="str">
        <f>VLOOKUP(D85,'[3]Seguimiento Plan'!$C$2:$AJ$101,30,0)</f>
        <v>SI</v>
      </c>
      <c r="M85" s="450">
        <f>VLOOKUP(D85,'[3]Seguimiento Plan'!$C$2:$AJ$101,31,0)</f>
        <v>42069</v>
      </c>
      <c r="N85" s="449" t="s">
        <v>1812</v>
      </c>
      <c r="O85" s="451"/>
      <c r="P85" s="451"/>
      <c r="Q85" s="451"/>
      <c r="R85" s="452" t="s">
        <v>1887</v>
      </c>
      <c r="S85" s="452"/>
      <c r="T85" s="355" t="s">
        <v>1425</v>
      </c>
      <c r="U85" s="455" t="str">
        <f>IF(ISERROR(VLOOKUP(T85,'Base de Datos'!$E$7:$AR$302,3,0))=TRUE," ",(VLOOKUP(T85,'Base de Datos'!$E$7:$AR$302,2,0)))</f>
        <v>J.A. ZABALA &amp; CONSULTORES ASOCIADOS LTDA.</v>
      </c>
      <c r="V85" s="458">
        <f>IF(ISERROR(VLOOKUP(T85,'Base de Datos'!$E$7:$AR$302,5,0))=TRUE," ",(VLOOKUP(T85,'Base de Datos'!$E$7:$AR$302,5,0)))</f>
        <v>506601000</v>
      </c>
      <c r="W85" s="455">
        <f>IF(ISERROR(VLOOKUP(T85,'Base de Datos'!$E$7:$AR$302,19,0))=TRUE," ",(VLOOKUP(T85,'Base de Datos'!$E$7:$AR$302,19,0)))</f>
        <v>3369839</v>
      </c>
      <c r="X85" s="460" t="str">
        <f>IF(ISERROR(VLOOKUP(T85,'Base de Datos'!$E$7:$AR$302,8,0))=TRUE," ",(VLOOKUP(T85,'Base de Datos'!$E$7:$AR$302,8,0)))</f>
        <v xml:space="preserve"> </v>
      </c>
      <c r="Y85" s="460">
        <f>IF(ISERROR(VLOOKUP(T85,'Base de Datos'!$E$7:$AR$302,9,0))=TRUE," ",(VLOOKUP(T85,'Base de Datos'!$E$7:$AR$302,9,0)))</f>
        <v>41963</v>
      </c>
      <c r="Z85" s="454">
        <f>IF(ISERROR(VLOOKUP(T85,'Base de Datos'!$E$7:$AR$302,10,0))=TRUE," ",(VLOOKUP(T85,'Base de Datos'!$E$7:$AR$302,10,0)))</f>
        <v>42205</v>
      </c>
      <c r="AA85" s="457">
        <f>IF(ISERROR(VLOOKUP(T85,'Base de Datos'!$E$7:$AR$302,11,0))=TRUE," ",(VLOOKUP(T85,'Base de Datos'!$E$7:$AR$302,11,0)))</f>
        <v>2</v>
      </c>
      <c r="AB85" s="454">
        <f>IF(ISERROR(VLOOKUP(T85,'Base de Datos'!$E$7:$AR$302,12,0))=TRUE," ",(VLOOKUP(T85,'Base de Datos'!$E$7:$AR$302,12,0)))</f>
        <v>162106669</v>
      </c>
      <c r="AC85" s="454">
        <f>IF(ISERROR(VLOOKUP(T85,'Base de Datos'!$E$7:$AR$302,12,0))=TRUE," ",(VLOOKUP(T85,'Base de Datos'!$E$7:$AR$302,12,0)))</f>
        <v>162106669</v>
      </c>
      <c r="AD85" s="460" t="str">
        <f>IF(ISERROR(VLOOKUP(T85,'Base de Datos'!$E$7:$AR$302,15,0))=TRUE," ",(VLOOKUP(T85,'Base de Datos'!$E$7:$AR$302,15,0)))</f>
        <v/>
      </c>
      <c r="AE85" s="465">
        <f>IF(ISERROR(VLOOKUP(T85,'Base de Datos'!$E$7:$AR$302,16,0))=TRUE," ",(VLOOKUP(T85,'Base de Datos'!$E$7:$AR$302,16,0)))</f>
        <v>42205</v>
      </c>
      <c r="AF85" s="465">
        <f>IF(ISERROR(VLOOKUP(T85,'Base de Datos'!$E$7:$AR$302,17,0))=TRUE," ",(VLOOKUP(T85,'Base de Datos'!$E$7:$AR$302,17,0)))</f>
        <v>668707669</v>
      </c>
      <c r="AG85" s="465">
        <f>IF(ISERROR(VLOOKUP(T85,'Base de Datos'!$E$7:$AR$302,18,0))=TRUE," ",(VLOOKUP(T85,'Base de Datos'!$E$7:$AR$302,18,0)))</f>
        <v>665337830</v>
      </c>
      <c r="AH85" s="466" t="str">
        <f>IF(ISERROR(VLOOKUP(T85,'Base de Datos'!$E$7:$AR$302,20,0))=TRUE," ",(VLOOKUP(T85,'Base de Datos'!$E$7:$AR$302,20,0)))</f>
        <v>Mensual</v>
      </c>
      <c r="AI85" s="466">
        <f>IF(ISERROR(VLOOKUP(T85,'Base de Datos'!$E$7:$AR$302,21,0))=TRUE," ",(VLOOKUP(T85,'Base de Datos'!$E$7:$AR$302,21,0)))</f>
        <v>0.99496066942818329</v>
      </c>
      <c r="AJ85" s="455"/>
      <c r="AK85" s="455" t="str">
        <f>IF(ISERROR(VLOOKUP(D85,'Base de Datos'!$C$7:$AR$400,2,0))=TRUE," ",(VLOOKUP(D85,'Base de Datos'!$C$7:$AR$400,2,0)))</f>
        <v>2015185</v>
      </c>
      <c r="AL85" s="455" t="str">
        <f>IF(ISERROR(VLOOKUP(D85,'Base de Datos'!$C$7:$AR$400,3,0))=TRUE," ",(VLOOKUP(D85,'Base de Datos'!$C$7:$AR$400,3,0)))</f>
        <v>150377-0-2015</v>
      </c>
      <c r="AM85" s="458"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8">
        <f>IF(ISERROR(VLOOKUP(D85,'Base de Datos'!$C$7:$AR$400,20,0))=TRUE," ",(VLOOKUP(D85,'Base de Datos'!$C$7:$AR$400,19,0)))</f>
        <v>807506000</v>
      </c>
      <c r="AO85" s="461">
        <f>IF(ISERROR(VLOOKUP(D85,'Base de Datos'!$C$7:$AR$400,9,0))=TRUE," ",(VLOOKUP(D85,'Base de Datos'!$C$7:$AR$400,9,0)))</f>
        <v>2015</v>
      </c>
      <c r="AP85" s="461">
        <f>IF(ISERROR(VLOOKUP(D85,'Base de Datos'!$C$7:$AR$400,10,0))=TRUE," ",(VLOOKUP(D85,'Base de Datos'!$C$7:$AR$400,10,0)))</f>
        <v>42297</v>
      </c>
      <c r="AQ85" s="463">
        <f>IF(ISERROR(VLOOKUP(D85,'Base de Datos'!$C$7:$AR$400,11,0))=TRUE," ",(VLOOKUP(D85,'Base de Datos'!$C$7:$AR$400,11,0)))</f>
        <v>42305</v>
      </c>
      <c r="AR85" s="464">
        <f>IF(ISERROR(VLOOKUP(D85,'Base de Datos'!$C$7:$AR$400,12,0))=TRUE," ",(VLOOKUP(D85,'Base de Datos'!$C$7:$AR$400,12,0)))</f>
        <v>42579</v>
      </c>
      <c r="AS85" s="463">
        <f>IF(ISERROR(VLOOKUP(D85,'Base de Datos'!$C$7:$AR$400,13,0))=TRUE," ",(VLOOKUP(D85,'Base de Datos'!$C$7:$AR$400,13,0)))</f>
        <v>2</v>
      </c>
      <c r="AT85" s="463">
        <f>IF(ISERROR(VLOOKUP(D85,'Base de Datos'!$C$7:$AR$400,14,0))=TRUE," ",(VLOOKUP(D85,'Base de Datos'!$C$7:$AR$400,14,0)))</f>
        <v>256744000</v>
      </c>
      <c r="AU85" s="461" t="str">
        <f>IF(ISERROR(VLOOKUP(D85,'Base de Datos'!$C$7:$AR$400,16,0))=TRUE," ",(VLOOKUP(D85,'Base de Datos'!$C$7:$AR$400,16,0)))</f>
        <v>1 mes y 23 días</v>
      </c>
      <c r="AV85" s="465">
        <f>IF(ISERROR(VLOOKUP(D85,'Base de Datos'!$C$7:$AR$400,17,0))=TRUE," ",(VLOOKUP(D85,'Base de Datos'!$C$7:$AR$400,17,0)))</f>
        <v>42633</v>
      </c>
      <c r="AW85" s="465">
        <f>IF(ISERROR(VLOOKUP(D85,'Base de Datos'!$C$7:$AR$400,18,0))=TRUE," ",(VLOOKUP(D85,'Base de Datos'!$C$7:$AR$400,18,0)))</f>
        <v>42633</v>
      </c>
      <c r="AX85" s="465">
        <f>IF(ISERROR(VLOOKUP(D85,'Base de Datos'!$C$7:$AR$400,19,0))=TRUE," ",(VLOOKUP(D85,'Base de Datos'!$C$7:$AR$400,19,0)))</f>
        <v>807506000</v>
      </c>
      <c r="AY85" s="468">
        <f>IF(ISERROR(VLOOKUP(D85,'Base de Datos'!$C$7:$AR$400,21,0))=TRUE," ",(VLOOKUP(D85,'Base de Datos'!$C$7:$AR$400,21,0)))</f>
        <v>52327287</v>
      </c>
      <c r="AZ85" s="468" t="str">
        <f>IF(ISERROR(VLOOKUP(D85,'Base de Datos'!$C$7:$AR$400,22,0))=TRUE," ",(VLOOKUP(D85,'Base de Datos'!$C$7:$AR$400,22,0)))</f>
        <v>Mensuales de acuerdo a las actividades efectivamente prestadas</v>
      </c>
      <c r="BA85" s="475"/>
      <c r="BB85" s="485"/>
    </row>
    <row r="86" spans="2:54" ht="55.5" hidden="1" customHeight="1" x14ac:dyDescent="0.25">
      <c r="B86" s="438">
        <v>79</v>
      </c>
      <c r="C86" s="446" t="s">
        <v>1645</v>
      </c>
      <c r="D86" s="438">
        <v>289</v>
      </c>
      <c r="E86" s="446" t="s">
        <v>1670</v>
      </c>
      <c r="F86" s="447">
        <f>VLOOKUP(D86,'Presupuesto - PAA 2015'!$B$10:$E$265,4,0)</f>
        <v>15868800</v>
      </c>
      <c r="G86" s="439" t="s">
        <v>1785</v>
      </c>
      <c r="H86" s="439" t="s">
        <v>1779</v>
      </c>
      <c r="I86" s="439" t="s">
        <v>1713</v>
      </c>
      <c r="J86" s="448" t="s">
        <v>590</v>
      </c>
      <c r="K86" s="449"/>
      <c r="L86" s="449" t="s">
        <v>390</v>
      </c>
      <c r="M86" s="450"/>
      <c r="N86" s="449"/>
      <c r="O86" s="451"/>
      <c r="P86" s="451"/>
      <c r="Q86" s="451"/>
      <c r="R86" s="452"/>
      <c r="S86" s="452"/>
      <c r="T86" s="355" t="s">
        <v>1425</v>
      </c>
      <c r="U86" s="455" t="str">
        <f>IF(ISERROR(VLOOKUP(T86,'Base de Datos'!$E$7:$AR$302,3,0))=TRUE," ",(VLOOKUP(T86,'Base de Datos'!$E$7:$AR$302,2,0)))</f>
        <v>J.A. ZABALA &amp; CONSULTORES ASOCIADOS LTDA.</v>
      </c>
      <c r="V86" s="458">
        <f>IF(ISERROR(VLOOKUP(T86,'Base de Datos'!$E$7:$AR$302,5,0))=TRUE," ",(VLOOKUP(T86,'Base de Datos'!$E$7:$AR$302,5,0)))</f>
        <v>506601000</v>
      </c>
      <c r="W86" s="455">
        <f>IF(ISERROR(VLOOKUP(T86,'Base de Datos'!$E$7:$AR$302,19,0))=TRUE," ",(VLOOKUP(T86,'Base de Datos'!$E$7:$AR$302,19,0)))</f>
        <v>3369839</v>
      </c>
      <c r="X86" s="460" t="str">
        <f>IF(ISERROR(VLOOKUP(T86,'Base de Datos'!$E$7:$AR$302,8,0))=TRUE," ",(VLOOKUP(T86,'Base de Datos'!$E$7:$AR$302,8,0)))</f>
        <v xml:space="preserve"> </v>
      </c>
      <c r="Y86" s="460">
        <f>IF(ISERROR(VLOOKUP(T86,'Base de Datos'!$E$7:$AR$302,9,0))=TRUE," ",(VLOOKUP(T86,'Base de Datos'!$E$7:$AR$302,9,0)))</f>
        <v>41963</v>
      </c>
      <c r="Z86" s="454">
        <f>IF(ISERROR(VLOOKUP(T86,'Base de Datos'!$E$7:$AR$302,10,0))=TRUE," ",(VLOOKUP(T86,'Base de Datos'!$E$7:$AR$302,10,0)))</f>
        <v>42205</v>
      </c>
      <c r="AA86" s="457">
        <f>IF(ISERROR(VLOOKUP(T86,'Base de Datos'!$E$7:$AR$302,11,0))=TRUE," ",(VLOOKUP(T86,'Base de Datos'!$E$7:$AR$302,11,0)))</f>
        <v>2</v>
      </c>
      <c r="AB86" s="454">
        <f>IF(ISERROR(VLOOKUP(T86,'Base de Datos'!$E$7:$AR$302,12,0))=TRUE," ",(VLOOKUP(T86,'Base de Datos'!$E$7:$AR$302,12,0)))</f>
        <v>162106669</v>
      </c>
      <c r="AC86" s="454">
        <f>IF(ISERROR(VLOOKUP(T86,'Base de Datos'!$E$7:$AR$302,12,0))=TRUE," ",(VLOOKUP(T86,'Base de Datos'!$E$7:$AR$302,12,0)))</f>
        <v>162106669</v>
      </c>
      <c r="AD86" s="460" t="str">
        <f>IF(ISERROR(VLOOKUP(T86,'Base de Datos'!$E$7:$AR$302,15,0))=TRUE," ",(VLOOKUP(T86,'Base de Datos'!$E$7:$AR$302,15,0)))</f>
        <v/>
      </c>
      <c r="AE86" s="465">
        <f>IF(ISERROR(VLOOKUP(T86,'Base de Datos'!$E$7:$AR$302,16,0))=TRUE," ",(VLOOKUP(T86,'Base de Datos'!$E$7:$AR$302,16,0)))</f>
        <v>42205</v>
      </c>
      <c r="AF86" s="465">
        <f>IF(ISERROR(VLOOKUP(T86,'Base de Datos'!$E$7:$AR$302,17,0))=TRUE," ",(VLOOKUP(T86,'Base de Datos'!$E$7:$AR$302,17,0)))</f>
        <v>668707669</v>
      </c>
      <c r="AG86" s="465">
        <f>IF(ISERROR(VLOOKUP(T86,'Base de Datos'!$E$7:$AR$302,18,0))=TRUE," ",(VLOOKUP(T86,'Base de Datos'!$E$7:$AR$302,18,0)))</f>
        <v>665337830</v>
      </c>
      <c r="AH86" s="466" t="str">
        <f>IF(ISERROR(VLOOKUP(T86,'Base de Datos'!$E$7:$AR$302,20,0))=TRUE," ",(VLOOKUP(T86,'Base de Datos'!$E$7:$AR$302,20,0)))</f>
        <v>Mensual</v>
      </c>
      <c r="AI86" s="466">
        <f>IF(ISERROR(VLOOKUP(T86,'Base de Datos'!$E$7:$AR$302,21,0))=TRUE," ",(VLOOKUP(T86,'Base de Datos'!$E$7:$AR$302,21,0)))</f>
        <v>0.99496066942818329</v>
      </c>
      <c r="AJ86" s="455"/>
      <c r="AK86" s="455" t="str">
        <f>IF(ISERROR(VLOOKUP(D86,'Base de Datos'!$C$7:$AR$400,2,0))=TRUE," ",(VLOOKUP(D86,'Base de Datos'!$C$7:$AR$400,2,0)))</f>
        <v xml:space="preserve"> </v>
      </c>
      <c r="AL86" s="455" t="str">
        <f>IF(ISERROR(VLOOKUP(D86,'Base de Datos'!$C$7:$AR$400,3,0))=TRUE," ",(VLOOKUP(D86,'Base de Datos'!$C$7:$AR$400,3,0)))</f>
        <v xml:space="preserve"> </v>
      </c>
      <c r="AM86" s="458" t="str">
        <f>IF(ISERROR(VLOOKUP(D86,'Base de Datos'!$C$7:$AR$4014,6,0))=TRUE," ",(VLOOKUP(D86,'Base de Datos'!$C$7:$AR$400,6,0)))</f>
        <v xml:space="preserve"> </v>
      </c>
      <c r="AN86" s="458" t="str">
        <f>IF(ISERROR(VLOOKUP(D86,'Base de Datos'!$C$7:$AR$400,20,0))=TRUE," ",(VLOOKUP(D86,'Base de Datos'!$C$7:$AR$400,19,0)))</f>
        <v xml:space="preserve"> </v>
      </c>
      <c r="AO86" s="461" t="str">
        <f>IF(ISERROR(VLOOKUP(D86,'Base de Datos'!$C$7:$AR$400,9,0))=TRUE," ",(VLOOKUP(D86,'Base de Datos'!$C$7:$AR$400,9,0)))</f>
        <v xml:space="preserve"> </v>
      </c>
      <c r="AP86" s="461" t="str">
        <f>IF(ISERROR(VLOOKUP(D86,'Base de Datos'!$C$7:$AR$400,10,0))=TRUE," ",(VLOOKUP(D86,'Base de Datos'!$C$7:$AR$400,10,0)))</f>
        <v xml:space="preserve"> </v>
      </c>
      <c r="AQ86" s="463" t="str">
        <f>IF(ISERROR(VLOOKUP(D86,'Base de Datos'!$C$7:$AR$400,11,0))=TRUE," ",(VLOOKUP(D86,'Base de Datos'!$C$7:$AR$400,11,0)))</f>
        <v xml:space="preserve"> </v>
      </c>
      <c r="AR86" s="464" t="str">
        <f>IF(ISERROR(VLOOKUP(D86,'Base de Datos'!$C$7:$AR$400,12,0))=TRUE," ",(VLOOKUP(D86,'Base de Datos'!$C$7:$AR$400,12,0)))</f>
        <v xml:space="preserve"> </v>
      </c>
      <c r="AS86" s="463" t="str">
        <f>IF(ISERROR(VLOOKUP(D86,'Base de Datos'!$C$7:$AR$400,13,0))=TRUE," ",(VLOOKUP(D86,'Base de Datos'!$C$7:$AR$400,13,0)))</f>
        <v xml:space="preserve"> </v>
      </c>
      <c r="AT86" s="463" t="str">
        <f>IF(ISERROR(VLOOKUP(D86,'Base de Datos'!$C$7:$AR$400,14,0))=TRUE," ",(VLOOKUP(D86,'Base de Datos'!$C$7:$AR$400,14,0)))</f>
        <v xml:space="preserve"> </v>
      </c>
      <c r="AU86" s="461" t="str">
        <f>IF(ISERROR(VLOOKUP(D86,'Base de Datos'!$C$7:$AR$400,16,0))=TRUE," ",(VLOOKUP(D86,'Base de Datos'!$C$7:$AR$400,16,0)))</f>
        <v xml:space="preserve"> </v>
      </c>
      <c r="AV86" s="465" t="str">
        <f>IF(ISERROR(VLOOKUP(D86,'Base de Datos'!$C$7:$AR$400,17,0))=TRUE," ",(VLOOKUP(D86,'Base de Datos'!$C$7:$AR$400,17,0)))</f>
        <v xml:space="preserve"> </v>
      </c>
      <c r="AW86" s="465" t="str">
        <f>IF(ISERROR(VLOOKUP(D86,'Base de Datos'!$C$7:$AR$400,18,0))=TRUE," ",(VLOOKUP(D86,'Base de Datos'!$C$7:$AR$400,18,0)))</f>
        <v xml:space="preserve"> </v>
      </c>
      <c r="AX86" s="465" t="str">
        <f>IF(ISERROR(VLOOKUP(D86,'Base de Datos'!$C$7:$AR$400,19,0))=TRUE," ",(VLOOKUP(D86,'Base de Datos'!$C$7:$AR$400,19,0)))</f>
        <v xml:space="preserve"> </v>
      </c>
      <c r="AY86" s="468" t="str">
        <f>IF(ISERROR(VLOOKUP(D86,'Base de Datos'!$C$7:$AR$400,21,0))=TRUE," ",(VLOOKUP(D86,'Base de Datos'!$C$7:$AR$400,21,0)))</f>
        <v xml:space="preserve"> </v>
      </c>
      <c r="AZ86" s="468" t="str">
        <f>IF(ISERROR(VLOOKUP(D86,'Base de Datos'!$C$7:$AR$400,22,0))=TRUE," ",(VLOOKUP(D86,'Base de Datos'!$C$7:$AR$400,22,0)))</f>
        <v xml:space="preserve"> </v>
      </c>
      <c r="BA86" s="475"/>
      <c r="BB86" s="485"/>
    </row>
    <row r="87" spans="2:54" ht="55.5" hidden="1" customHeight="1" x14ac:dyDescent="0.25">
      <c r="B87" s="438">
        <v>80</v>
      </c>
      <c r="C87" s="446" t="s">
        <v>1645</v>
      </c>
      <c r="D87" s="438">
        <v>157</v>
      </c>
      <c r="E87" s="446" t="s">
        <v>1671</v>
      </c>
      <c r="F87" s="447">
        <f>VLOOKUP(D87,'Presupuesto - PAA 2015'!$B$10:$E$265,4,0)</f>
        <v>29000000</v>
      </c>
      <c r="G87" s="439" t="str">
        <f>VLOOKUP(D87,'[3]Seguimiento Plan'!$C$2:$R$101,16,0)</f>
        <v>Suministro de elementos de promoción institucional y actos protocolarios del Concejo de Bogotá.-</v>
      </c>
      <c r="H87" s="439" t="s">
        <v>1779</v>
      </c>
      <c r="I87" s="439" t="s">
        <v>1716</v>
      </c>
      <c r="J87" s="448" t="s">
        <v>909</v>
      </c>
      <c r="K87" s="449" t="s">
        <v>390</v>
      </c>
      <c r="L87" s="449" t="str">
        <f>VLOOKUP(D87,'[3]Seguimiento Plan'!$C$2:$AJ$101,30,0)</f>
        <v>SI</v>
      </c>
      <c r="M87" s="450">
        <f>VLOOKUP(D87,'[3]Seguimiento Plan'!$C$2:$AJ$101,31,0)</f>
        <v>0</v>
      </c>
      <c r="N87" s="449"/>
      <c r="O87" s="451"/>
      <c r="P87" s="451"/>
      <c r="Q87" s="451"/>
      <c r="R87" s="452"/>
      <c r="S87" s="470" t="s">
        <v>1946</v>
      </c>
      <c r="T87" s="139" t="s">
        <v>276</v>
      </c>
      <c r="U87" s="455" t="str">
        <f>IF(ISERROR(VLOOKUP(T87,'Base de Datos'!$E$7:$AR$302,3,0))=TRUE," ",(VLOOKUP(T87,'Base de Datos'!$E$7:$AR$302,2,0)))</f>
        <v>GRANADOS Y CONDECORACIONES</v>
      </c>
      <c r="V87" s="458">
        <f>IF(ISERROR(VLOOKUP(T87,'Base de Datos'!$E$7:$AR$302,5,0))=TRUE," ",(VLOOKUP(T87,'Base de Datos'!$E$7:$AR$302,5,0)))</f>
        <v>32631000</v>
      </c>
      <c r="W87" s="455">
        <f>IF(ISERROR(VLOOKUP(T87,'Base de Datos'!$E$7:$AR$302,19,0))=TRUE," ",(VLOOKUP(T87,'Base de Datos'!$E$7:$AR$302,19,0)))</f>
        <v>36369</v>
      </c>
      <c r="X87" s="460" t="str">
        <f>IF(ISERROR(VLOOKUP(T87,'Base de Datos'!$E$7:$AR$302,8,0))=TRUE," ",(VLOOKUP(T87,'Base de Datos'!$E$7:$AR$302,8,0)))</f>
        <v xml:space="preserve"> </v>
      </c>
      <c r="Y87" s="460">
        <f>IF(ISERROR(VLOOKUP(T87,'Base de Datos'!$E$7:$AR$302,9,0))=TRUE," ",(VLOOKUP(T87,'Base de Datos'!$E$7:$AR$302,9,0)))</f>
        <v>41753</v>
      </c>
      <c r="Z87" s="454">
        <f>IF(ISERROR(VLOOKUP(T87,'Base de Datos'!$E$7:$AR$302,10,0))=TRUE," ",(VLOOKUP(T87,'Base de Datos'!$E$7:$AR$302,10,0)))</f>
        <v>42117</v>
      </c>
      <c r="AA87" s="457">
        <f>IF(ISERROR(VLOOKUP(T87,'Base de Datos'!$E$7:$AR$302,11,0))=TRUE," ",(VLOOKUP(T87,'Base de Datos'!$E$7:$AR$302,11,0)))</f>
        <v>0</v>
      </c>
      <c r="AB87" s="454">
        <f>IF(ISERROR(VLOOKUP(T87,'Base de Datos'!$E$7:$AR$302,12,0))=TRUE," ",(VLOOKUP(T87,'Base de Datos'!$E$7:$AR$302,12,0)))</f>
        <v>0</v>
      </c>
      <c r="AC87" s="454">
        <f>IF(ISERROR(VLOOKUP(T87,'Base de Datos'!$E$7:$AR$302,12,0))=TRUE," ",(VLOOKUP(T87,'Base de Datos'!$E$7:$AR$302,12,0)))</f>
        <v>0</v>
      </c>
      <c r="AD87" s="460" t="str">
        <f>IF(ISERROR(VLOOKUP(T87,'Base de Datos'!$E$7:$AR$302,15,0))=TRUE," ",(VLOOKUP(T87,'Base de Datos'!$E$7:$AR$302,15,0)))</f>
        <v/>
      </c>
      <c r="AE87" s="465">
        <f>IF(ISERROR(VLOOKUP(T87,'Base de Datos'!$E$7:$AR$302,16,0))=TRUE," ",(VLOOKUP(T87,'Base de Datos'!$E$7:$AR$302,16,0)))</f>
        <v>42117</v>
      </c>
      <c r="AF87" s="465">
        <f>IF(ISERROR(VLOOKUP(T87,'Base de Datos'!$E$7:$AR$302,17,0))=TRUE," ",(VLOOKUP(T87,'Base de Datos'!$E$7:$AR$302,17,0)))</f>
        <v>32631000</v>
      </c>
      <c r="AG87" s="465">
        <f>IF(ISERROR(VLOOKUP(T87,'Base de Datos'!$E$7:$AR$302,18,0))=TRUE," ",(VLOOKUP(T87,'Base de Datos'!$E$7:$AR$302,18,0)))</f>
        <v>32594631</v>
      </c>
      <c r="AH87" s="466"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6">
        <f>IF(ISERROR(VLOOKUP(T87,'Base de Datos'!$E$7:$AR$302,21,0))=TRUE," ",(VLOOKUP(T87,'Base de Datos'!$E$7:$AR$302,21,0)))</f>
        <v>0.99888544635469334</v>
      </c>
      <c r="AJ87" s="469">
        <v>42167</v>
      </c>
      <c r="AK87" s="455" t="str">
        <f>IF(ISERROR(VLOOKUP(D87,'Base de Datos'!$C$7:$AR$400,2,0))=TRUE," ",(VLOOKUP(D87,'Base de Datos'!$C$7:$AR$400,2,0)))</f>
        <v>2015157</v>
      </c>
      <c r="AL87" s="455" t="str">
        <f>IF(ISERROR(VLOOKUP(D87,'Base de Datos'!$C$7:$AR$400,3,0))=TRUE," ",(VLOOKUP(D87,'Base de Datos'!$C$7:$AR$400,3,0)))</f>
        <v>150255-0-2015</v>
      </c>
      <c r="AM87" s="458" t="str">
        <f>IF(ISERROR(VLOOKUP(D87,'Base de Datos'!$C$7:$AR$4014,6,0))=TRUE," ",(VLOOKUP(D87,'Base de Datos'!$C$7:$AR$400,6,0)))</f>
        <v>Suministro de elementos de promoción institucional y actos protocolarios del Concejo de Bogotá, D.C., de conformidad con lo establecido en la presente invitación pública</v>
      </c>
      <c r="AN87" s="458">
        <f>IF(ISERROR(VLOOKUP(D87,'Base de Datos'!$C$7:$AR$400,20,0))=TRUE," ",(VLOOKUP(D87,'Base de Datos'!$C$7:$AR$400,19,0)))</f>
        <v>43417333</v>
      </c>
      <c r="AO87" s="461">
        <f>IF(ISERROR(VLOOKUP(D87,'Base de Datos'!$C$7:$AR$400,9,0))=TRUE," ",(VLOOKUP(D87,'Base de Datos'!$C$7:$AR$400,9,0)))</f>
        <v>2015</v>
      </c>
      <c r="AP87" s="461">
        <f>IF(ISERROR(VLOOKUP(D87,'Base de Datos'!$C$7:$AR$400,10,0))=TRUE," ",(VLOOKUP(D87,'Base de Datos'!$C$7:$AR$400,10,0)))</f>
        <v>42167</v>
      </c>
      <c r="AQ87" s="463">
        <f>IF(ISERROR(VLOOKUP(D87,'Base de Datos'!$C$7:$AR$400,11,0))=TRUE," ",(VLOOKUP(D87,'Base de Datos'!$C$7:$AR$400,11,0)))</f>
        <v>42179</v>
      </c>
      <c r="AR87" s="464">
        <f>IF(ISERROR(VLOOKUP(D87,'Base de Datos'!$C$7:$AR$400,12,0))=TRUE," ",(VLOOKUP(D87,'Base de Datos'!$C$7:$AR$400,12,0)))</f>
        <v>42484</v>
      </c>
      <c r="AS87" s="463">
        <f>IF(ISERROR(VLOOKUP(D87,'Base de Datos'!$C$7:$AR$400,13,0))=TRUE," ",(VLOOKUP(D87,'Base de Datos'!$C$7:$AR$400,13,0)))</f>
        <v>1</v>
      </c>
      <c r="AT87" s="463">
        <f>IF(ISERROR(VLOOKUP(D87,'Base de Datos'!$C$7:$AR$400,14,0))=TRUE," ",(VLOOKUP(D87,'Base de Datos'!$C$7:$AR$400,14,0)))</f>
        <v>14417333</v>
      </c>
      <c r="AU87" s="461" t="str">
        <f>IF(ISERROR(VLOOKUP(D87,'Base de Datos'!$C$7:$AR$400,16,0))=TRUE," ",(VLOOKUP(D87,'Base de Datos'!$C$7:$AR$400,16,0)))</f>
        <v>2 meses</v>
      </c>
      <c r="AV87" s="465">
        <f>IF(ISERROR(VLOOKUP(D87,'Base de Datos'!$C$7:$AR$400,17,0))=TRUE," ",(VLOOKUP(D87,'Base de Datos'!$C$7:$AR$400,17,0)))</f>
        <v>42545</v>
      </c>
      <c r="AW87" s="465">
        <f>IF(ISERROR(VLOOKUP(D87,'Base de Datos'!$C$7:$AR$400,18,0))=TRUE," ",(VLOOKUP(D87,'Base de Datos'!$C$7:$AR$400,18,0)))</f>
        <v>42545</v>
      </c>
      <c r="AX87" s="465">
        <f>IF(ISERROR(VLOOKUP(D87,'Base de Datos'!$C$7:$AR$400,19,0))=TRUE," ",(VLOOKUP(D87,'Base de Datos'!$C$7:$AR$400,19,0)))</f>
        <v>43417333</v>
      </c>
      <c r="AY87" s="468">
        <f>IF(ISERROR(VLOOKUP(D87,'Base de Datos'!$C$7:$AR$400,21,0))=TRUE," ",(VLOOKUP(D87,'Base de Datos'!$C$7:$AR$400,21,0)))</f>
        <v>3750046</v>
      </c>
      <c r="AZ87" s="468" t="str">
        <f>IF(ISERROR(VLOOKUP(D87,'Base de Datos'!$C$7:$AR$400,22,0))=TRUE," ",(VLOOKUP(D87,'Base de Datos'!$C$7:$AR$400,22,0)))</f>
        <v>Pagos mensuales</v>
      </c>
      <c r="BA87" s="475"/>
      <c r="BB87" s="485"/>
    </row>
    <row r="88" spans="2:54" ht="55.5" hidden="1" customHeight="1" x14ac:dyDescent="0.25">
      <c r="B88" s="438">
        <v>81</v>
      </c>
      <c r="C88" s="446" t="s">
        <v>1645</v>
      </c>
      <c r="D88" s="438">
        <v>158</v>
      </c>
      <c r="E88" s="446" t="s">
        <v>1671</v>
      </c>
      <c r="F88" s="447">
        <f>VLOOKUP(D88,'Presupuesto - PAA 2015'!$B$10:$E$265,4,0)</f>
        <v>180000000</v>
      </c>
      <c r="G88" s="439" t="str">
        <f>VLOOKUP(D88,'[3]Seguimiento Plan'!$C$2:$R$101,16,0)</f>
        <v>Aunar esfuerzos y recursos humanos, financieros y técnicos para realizar las actividades asociadas a la intervención de los bienes muebles de carácter patrimonial del Concejo de Bogotá D.C.</v>
      </c>
      <c r="H88" s="439" t="s">
        <v>1779</v>
      </c>
      <c r="I88" s="439" t="s">
        <v>1721</v>
      </c>
      <c r="J88" s="448" t="s">
        <v>908</v>
      </c>
      <c r="K88" s="449"/>
      <c r="L88" s="449"/>
      <c r="M88" s="450"/>
      <c r="N88" s="449"/>
      <c r="O88" s="451"/>
      <c r="P88" s="451"/>
      <c r="Q88" s="451"/>
      <c r="R88" s="452"/>
      <c r="S88" s="452"/>
      <c r="T88" s="453"/>
      <c r="U88" s="455" t="str">
        <f>IF(ISERROR(VLOOKUP(T88,'Base de Datos'!$E$7:$AR$302,3,0))=TRUE," ",(VLOOKUP(T88,'Base de Datos'!$E$7:$AR$302,2,0)))</f>
        <v xml:space="preserve"> </v>
      </c>
      <c r="V88" s="458" t="str">
        <f>IF(ISERROR(VLOOKUP(T88,'Base de Datos'!$E$7:$AR$302,5,0))=TRUE," ",(VLOOKUP(T88,'Base de Datos'!$E$7:$AR$302,5,0)))</f>
        <v xml:space="preserve"> </v>
      </c>
      <c r="W88" s="455" t="str">
        <f>IF(ISERROR(VLOOKUP(T88,'Base de Datos'!$E$7:$AR$302,19,0))=TRUE," ",(VLOOKUP(T88,'Base de Datos'!$E$7:$AR$302,19,0)))</f>
        <v xml:space="preserve"> </v>
      </c>
      <c r="X88" s="460" t="str">
        <f>IF(ISERROR(VLOOKUP(T88,'Base de Datos'!$E$7:$AR$302,8,0))=TRUE," ",(VLOOKUP(T88,'Base de Datos'!$E$7:$AR$302,8,0)))</f>
        <v xml:space="preserve"> </v>
      </c>
      <c r="Y88" s="460" t="str">
        <f>IF(ISERROR(VLOOKUP(T88,'Base de Datos'!$E$7:$AR$302,9,0))=TRUE," ",(VLOOKUP(T88,'Base de Datos'!$E$7:$AR$302,9,0)))</f>
        <v xml:space="preserve"> </v>
      </c>
      <c r="Z88" s="454" t="str">
        <f>IF(ISERROR(VLOOKUP(T88,'Base de Datos'!$E$7:$AR$302,10,0))=TRUE," ",(VLOOKUP(T88,'Base de Datos'!$E$7:$AR$302,10,0)))</f>
        <v xml:space="preserve"> </v>
      </c>
      <c r="AA88" s="457" t="str">
        <f>IF(ISERROR(VLOOKUP(T88,'Base de Datos'!$E$7:$AR$302,11,0))=TRUE," ",(VLOOKUP(T88,'Base de Datos'!$E$7:$AR$302,11,0)))</f>
        <v xml:space="preserve"> </v>
      </c>
      <c r="AB88" s="454" t="str">
        <f>IF(ISERROR(VLOOKUP(T88,'Base de Datos'!$E$7:$AR$302,12,0))=TRUE," ",(VLOOKUP(T88,'Base de Datos'!$E$7:$AR$302,12,0)))</f>
        <v xml:space="preserve"> </v>
      </c>
      <c r="AC88" s="454" t="str">
        <f>IF(ISERROR(VLOOKUP(T88,'Base de Datos'!$E$7:$AR$302,12,0))=TRUE," ",(VLOOKUP(T88,'Base de Datos'!$E$7:$AR$302,12,0)))</f>
        <v xml:space="preserve"> </v>
      </c>
      <c r="AD88" s="460" t="str">
        <f>IF(ISERROR(VLOOKUP(T88,'Base de Datos'!$E$7:$AR$302,15,0))=TRUE," ",(VLOOKUP(T88,'Base de Datos'!$E$7:$AR$302,15,0)))</f>
        <v xml:space="preserve"> </v>
      </c>
      <c r="AE88" s="465" t="str">
        <f>IF(ISERROR(VLOOKUP(T88,'Base de Datos'!$E$7:$AR$302,16,0))=TRUE," ",(VLOOKUP(T88,'Base de Datos'!$E$7:$AR$302,16,0)))</f>
        <v xml:space="preserve"> </v>
      </c>
      <c r="AF88" s="465" t="str">
        <f>IF(ISERROR(VLOOKUP(T88,'Base de Datos'!$E$7:$AR$302,17,0))=TRUE," ",(VLOOKUP(T88,'Base de Datos'!$E$7:$AR$302,17,0)))</f>
        <v xml:space="preserve"> </v>
      </c>
      <c r="AG88" s="465" t="str">
        <f>IF(ISERROR(VLOOKUP(T88,'Base de Datos'!$E$7:$AR$302,18,0))=TRUE," ",(VLOOKUP(T88,'Base de Datos'!$E$7:$AR$302,18,0)))</f>
        <v xml:space="preserve"> </v>
      </c>
      <c r="AH88" s="466" t="str">
        <f>IF(ISERROR(VLOOKUP(T88,'Base de Datos'!$E$7:$AR$302,20,0))=TRUE," ",(VLOOKUP(T88,'Base de Datos'!$E$7:$AR$302,20,0)))</f>
        <v xml:space="preserve"> </v>
      </c>
      <c r="AI88" s="466" t="str">
        <f>IF(ISERROR(VLOOKUP(T88,'Base de Datos'!$E$7:$AR$302,21,0))=TRUE," ",(VLOOKUP(T88,'Base de Datos'!$E$7:$AR$302,21,0)))</f>
        <v xml:space="preserve"> </v>
      </c>
      <c r="AJ88" s="455"/>
      <c r="AK88" s="455" t="str">
        <f>IF(ISERROR(VLOOKUP(D88,'Base de Datos'!$C$7:$AR$400,2,0))=TRUE," ",(VLOOKUP(D88,'Base de Datos'!$C$7:$AR$400,2,0)))</f>
        <v>2015158</v>
      </c>
      <c r="AL88" s="455" t="str">
        <f>IF(ISERROR(VLOOKUP(D88,'Base de Datos'!$C$7:$AR$400,3,0))=TRUE," ",(VLOOKUP(D88,'Base de Datos'!$C$7:$AR$400,3,0)))</f>
        <v>150271-0-2015</v>
      </c>
      <c r="AM88" s="458"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8">
        <f>IF(ISERROR(VLOOKUP(D88,'Base de Datos'!$C$7:$AR$400,20,0))=TRUE," ",(VLOOKUP(D88,'Base de Datos'!$C$7:$AR$400,19,0)))</f>
        <v>180000000</v>
      </c>
      <c r="AO88" s="461">
        <f>IF(ISERROR(VLOOKUP(D88,'Base de Datos'!$C$7:$AR$400,9,0))=TRUE," ",(VLOOKUP(D88,'Base de Datos'!$C$7:$AR$400,9,0)))</f>
        <v>2015</v>
      </c>
      <c r="AP88" s="461">
        <f>IF(ISERROR(VLOOKUP(D88,'Base de Datos'!$C$7:$AR$400,10,0))=TRUE," ",(VLOOKUP(D88,'Base de Datos'!$C$7:$AR$400,10,0)))</f>
        <v>42179</v>
      </c>
      <c r="AQ88" s="463">
        <f>IF(ISERROR(VLOOKUP(D88,'Base de Datos'!$C$7:$AR$400,11,0))=TRUE," ",(VLOOKUP(D88,'Base de Datos'!$C$7:$AR$400,11,0)))</f>
        <v>42219</v>
      </c>
      <c r="AR88" s="464">
        <f>IF(ISERROR(VLOOKUP(D88,'Base de Datos'!$C$7:$AR$400,12,0))=TRUE," ",(VLOOKUP(D88,'Base de Datos'!$C$7:$AR$400,12,0)))</f>
        <v>42492</v>
      </c>
      <c r="AS88" s="463">
        <f>IF(ISERROR(VLOOKUP(D88,'Base de Datos'!$C$7:$AR$400,13,0))=TRUE," ",(VLOOKUP(D88,'Base de Datos'!$C$7:$AR$400,13,0)))</f>
        <v>0</v>
      </c>
      <c r="AT88" s="463">
        <f>IF(ISERROR(VLOOKUP(D88,'Base de Datos'!$C$7:$AR$400,14,0))=TRUE," ",(VLOOKUP(D88,'Base de Datos'!$C$7:$AR$400,14,0)))</f>
        <v>0</v>
      </c>
      <c r="AU88" s="461" t="str">
        <f>IF(ISERROR(VLOOKUP(D88,'Base de Datos'!$C$7:$AR$400,16,0))=TRUE," ",(VLOOKUP(D88,'Base de Datos'!$C$7:$AR$400,16,0)))</f>
        <v>9 meses</v>
      </c>
      <c r="AV88" s="465">
        <f>IF(ISERROR(VLOOKUP(D88,'Base de Datos'!$C$7:$AR$400,17,0))=TRUE," ",(VLOOKUP(D88,'Base de Datos'!$C$7:$AR$400,17,0)))</f>
        <v>42949</v>
      </c>
      <c r="AW88" s="465">
        <f>IF(ISERROR(VLOOKUP(D88,'Base de Datos'!$C$7:$AR$400,18,0))=TRUE," ",(VLOOKUP(D88,'Base de Datos'!$C$7:$AR$400,18,0)))</f>
        <v>42949</v>
      </c>
      <c r="AX88" s="465">
        <f>IF(ISERROR(VLOOKUP(D88,'Base de Datos'!$C$7:$AR$400,19,0))=TRUE," ",(VLOOKUP(D88,'Base de Datos'!$C$7:$AR$400,19,0)))</f>
        <v>180000000</v>
      </c>
      <c r="AY88" s="468">
        <f>IF(ISERROR(VLOOKUP(D88,'Base de Datos'!$C$7:$AR$400,21,0))=TRUE," ",(VLOOKUP(D88,'Base de Datos'!$C$7:$AR$400,21,0)))</f>
        <v>0</v>
      </c>
      <c r="AZ88" s="468">
        <f>IF(ISERROR(VLOOKUP(D88,'Base de Datos'!$C$7:$AR$400,22,0))=TRUE," ",(VLOOKUP(D88,'Base de Datos'!$C$7:$AR$400,22,0)))</f>
        <v>0</v>
      </c>
      <c r="BA88" s="475"/>
      <c r="BB88" s="485"/>
    </row>
    <row r="89" spans="2:54" ht="55.5" hidden="1" customHeight="1" x14ac:dyDescent="0.25">
      <c r="B89" s="438">
        <v>82</v>
      </c>
      <c r="C89" s="446" t="s">
        <v>1645</v>
      </c>
      <c r="D89" s="438">
        <v>182</v>
      </c>
      <c r="E89" s="446" t="s">
        <v>1671</v>
      </c>
      <c r="F89" s="447">
        <f>VLOOKUP(D89,'Presupuesto - PAA 2015'!$B$10:$E$265,4,0)</f>
        <v>102000000</v>
      </c>
      <c r="G89" s="439"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9" t="s">
        <v>1779</v>
      </c>
      <c r="I89" s="439" t="s">
        <v>1713</v>
      </c>
      <c r="J89" s="448" t="s">
        <v>913</v>
      </c>
      <c r="K89" s="449" t="s">
        <v>390</v>
      </c>
      <c r="L89" s="449" t="str">
        <f>VLOOKUP(D89,'[3]Seguimiento Plan'!$C$2:$AJ$101,30,0)</f>
        <v>SI</v>
      </c>
      <c r="M89" s="450">
        <f>VLOOKUP(D89,'[3]Seguimiento Plan'!$C$2:$AJ$101,31,0)</f>
        <v>42025</v>
      </c>
      <c r="N89" s="449"/>
      <c r="O89" s="451"/>
      <c r="P89" s="451"/>
      <c r="Q89" s="451"/>
      <c r="R89" s="452"/>
      <c r="S89" s="470" t="s">
        <v>1754</v>
      </c>
      <c r="T89" s="347" t="s">
        <v>297</v>
      </c>
      <c r="U89" s="455" t="str">
        <f>IF(ISERROR(VLOOKUP(T89,'Base de Datos'!$E$7:$AR$302,3,0))=TRUE," ",(VLOOKUP(T89,'Base de Datos'!$E$7:$AR$302,2,0)))</f>
        <v>COMPENSAR SALONES</v>
      </c>
      <c r="V89" s="458">
        <f>IF(ISERROR(VLOOKUP(T89,'Base de Datos'!$E$7:$AR$302,5,0))=TRUE," ",(VLOOKUP(T89,'Base de Datos'!$E$7:$AR$302,5,0)))</f>
        <v>65200000</v>
      </c>
      <c r="W89" s="455">
        <f>IF(ISERROR(VLOOKUP(T89,'Base de Datos'!$E$7:$AR$302,19,0))=TRUE," ",(VLOOKUP(T89,'Base de Datos'!$E$7:$AR$302,19,0)))</f>
        <v>5482</v>
      </c>
      <c r="X89" s="460" t="str">
        <f>IF(ISERROR(VLOOKUP(T89,'Base de Datos'!$E$7:$AR$302,8,0))=TRUE," ",(VLOOKUP(T89,'Base de Datos'!$E$7:$AR$302,8,0)))</f>
        <v xml:space="preserve"> </v>
      </c>
      <c r="Y89" s="460">
        <f>IF(ISERROR(VLOOKUP(T89,'Base de Datos'!$E$7:$AR$302,9,0))=TRUE," ",(VLOOKUP(T89,'Base de Datos'!$E$7:$AR$302,9,0)))</f>
        <v>41835</v>
      </c>
      <c r="Z89" s="454">
        <f>IF(ISERROR(VLOOKUP(T89,'Base de Datos'!$E$7:$AR$302,10,0))=TRUE," ",(VLOOKUP(T89,'Base de Datos'!$E$7:$AR$302,10,0)))</f>
        <v>42078</v>
      </c>
      <c r="AA89" s="457">
        <f>IF(ISERROR(VLOOKUP(T89,'Base de Datos'!$E$7:$AR$302,11,0))=TRUE," ",(VLOOKUP(T89,'Base de Datos'!$E$7:$AR$302,11,0)))</f>
        <v>1</v>
      </c>
      <c r="AB89" s="454">
        <f>IF(ISERROR(VLOOKUP(T89,'Base de Datos'!$E$7:$AR$302,12,0))=TRUE," ",(VLOOKUP(T89,'Base de Datos'!$E$7:$AR$302,12,0)))</f>
        <v>32600000</v>
      </c>
      <c r="AC89" s="454">
        <f>IF(ISERROR(VLOOKUP(T89,'Base de Datos'!$E$7:$AR$302,12,0))=TRUE," ",(VLOOKUP(T89,'Base de Datos'!$E$7:$AR$302,12,0)))</f>
        <v>32600000</v>
      </c>
      <c r="AD89" s="460">
        <f>IF(ISERROR(VLOOKUP(T89,'Base de Datos'!$E$7:$AR$302,15,0))=TRUE," ",(VLOOKUP(T89,'Base de Datos'!$E$7:$AR$302,15,0)))</f>
        <v>42139</v>
      </c>
      <c r="AE89" s="465">
        <f>IF(ISERROR(VLOOKUP(T89,'Base de Datos'!$E$7:$AR$302,16,0))=TRUE," ",(VLOOKUP(T89,'Base de Datos'!$E$7:$AR$302,16,0)))</f>
        <v>42139</v>
      </c>
      <c r="AF89" s="465">
        <f>IF(ISERROR(VLOOKUP(T89,'Base de Datos'!$E$7:$AR$302,17,0))=TRUE," ",(VLOOKUP(T89,'Base de Datos'!$E$7:$AR$302,17,0)))</f>
        <v>97800000</v>
      </c>
      <c r="AG89" s="465">
        <f>IF(ISERROR(VLOOKUP(T89,'Base de Datos'!$E$7:$AR$302,18,0))=TRUE," ",(VLOOKUP(T89,'Base de Datos'!$E$7:$AR$302,18,0)))</f>
        <v>97794518</v>
      </c>
      <c r="AH89" s="466"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6">
        <f>IF(ISERROR(VLOOKUP(T89,'Base de Datos'!$E$7:$AR$302,21,0))=TRUE," ",(VLOOKUP(T89,'Base de Datos'!$E$7:$AR$302,21,0)))</f>
        <v>0.99994394683026588</v>
      </c>
      <c r="AJ89" s="469">
        <v>42171</v>
      </c>
      <c r="AK89" s="455" t="str">
        <f>IF(ISERROR(VLOOKUP(D89,'Base de Datos'!$C$7:$AR$400,2,0))=TRUE," ",(VLOOKUP(D89,'Base de Datos'!$C$7:$AR$400,2,0)))</f>
        <v>2015182</v>
      </c>
      <c r="AL89" s="455" t="str">
        <f>IF(ISERROR(VLOOKUP(D89,'Base de Datos'!$C$7:$AR$400,3,0))=TRUE," ",(VLOOKUP(D89,'Base de Datos'!$C$7:$AR$400,3,0)))</f>
        <v>150260-0-2015</v>
      </c>
      <c r="AM89" s="458"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8">
        <f>IF(ISERROR(VLOOKUP(D89,'Base de Datos'!$C$7:$AR$400,20,0))=TRUE," ",(VLOOKUP(D89,'Base de Datos'!$C$7:$AR$400,19,0)))</f>
        <v>124930204</v>
      </c>
      <c r="AO89" s="461">
        <f>IF(ISERROR(VLOOKUP(D89,'Base de Datos'!$C$7:$AR$400,9,0))=TRUE," ",(VLOOKUP(D89,'Base de Datos'!$C$7:$AR$400,9,0)))</f>
        <v>2015</v>
      </c>
      <c r="AP89" s="461">
        <f>IF(ISERROR(VLOOKUP(D89,'Base de Datos'!$C$7:$AR$400,10,0))=TRUE," ",(VLOOKUP(D89,'Base de Datos'!$C$7:$AR$400,10,0)))</f>
        <v>42171</v>
      </c>
      <c r="AQ89" s="463">
        <f>IF(ISERROR(VLOOKUP(D89,'Base de Datos'!$C$7:$AR$400,11,0))=TRUE," ",(VLOOKUP(D89,'Base de Datos'!$C$7:$AR$400,11,0)))</f>
        <v>42214</v>
      </c>
      <c r="AR89" s="464">
        <f>IF(ISERROR(VLOOKUP(D89,'Base de Datos'!$C$7:$AR$400,12,0))=TRUE," ",(VLOOKUP(D89,'Base de Datos'!$C$7:$AR$400,12,0)))</f>
        <v>42519</v>
      </c>
      <c r="AS89" s="463">
        <f>IF(ISERROR(VLOOKUP(D89,'Base de Datos'!$C$7:$AR$400,13,0))=TRUE," ",(VLOOKUP(D89,'Base de Datos'!$C$7:$AR$400,13,0)))</f>
        <v>1</v>
      </c>
      <c r="AT89" s="463">
        <f>IF(ISERROR(VLOOKUP(D89,'Base de Datos'!$C$7:$AR$400,14,0))=TRUE," ",(VLOOKUP(D89,'Base de Datos'!$C$7:$AR$400,14,0)))</f>
        <v>22930204</v>
      </c>
      <c r="AU89" s="461" t="str">
        <f>IF(ISERROR(VLOOKUP(D89,'Base de Datos'!$C$7:$AR$400,16,0))=TRUE," ",(VLOOKUP(D89,'Base de Datos'!$C$7:$AR$400,16,0)))</f>
        <v>1 mes</v>
      </c>
      <c r="AV89" s="465">
        <f>IF(ISERROR(VLOOKUP(D89,'Base de Datos'!$C$7:$AR$400,17,0))=TRUE," ",(VLOOKUP(D89,'Base de Datos'!$C$7:$AR$400,17,0)))</f>
        <v>42522</v>
      </c>
      <c r="AW89" s="465">
        <f>IF(ISERROR(VLOOKUP(D89,'Base de Datos'!$C$7:$AR$400,18,0))=TRUE," ",(VLOOKUP(D89,'Base de Datos'!$C$7:$AR$400,18,0)))</f>
        <v>42522</v>
      </c>
      <c r="AX89" s="465">
        <f>IF(ISERROR(VLOOKUP(D89,'Base de Datos'!$C$7:$AR$400,19,0))=TRUE," ",(VLOOKUP(D89,'Base de Datos'!$C$7:$AR$400,19,0)))</f>
        <v>124930204</v>
      </c>
      <c r="AY89" s="468">
        <f>IF(ISERROR(VLOOKUP(D89,'Base de Datos'!$C$7:$AR$400,21,0))=TRUE," ",(VLOOKUP(D89,'Base de Datos'!$C$7:$AR$400,21,0)))</f>
        <v>56017</v>
      </c>
      <c r="AZ89" s="468" t="str">
        <f>IF(ISERROR(VLOOKUP(D89,'Base de Datos'!$C$7:$AR$400,22,0))=TRUE," ",(VLOOKUP(D89,'Base de Datos'!$C$7:$AR$400,22,0)))</f>
        <v>Mensualidades de acuerdo a las actividades prestadas</v>
      </c>
      <c r="BA89" s="475"/>
      <c r="BB89" s="485"/>
    </row>
    <row r="90" spans="2:54" ht="55.5" hidden="1" customHeight="1" x14ac:dyDescent="0.25">
      <c r="B90" s="438">
        <v>83</v>
      </c>
      <c r="C90" s="446" t="s">
        <v>1645</v>
      </c>
      <c r="D90" s="438">
        <v>275</v>
      </c>
      <c r="E90" s="446" t="s">
        <v>1671</v>
      </c>
      <c r="F90" s="447">
        <f>VLOOKUP(D90,'Presupuesto - PAA 2015'!$B$10:$E$265,4,0)</f>
        <v>32600000</v>
      </c>
      <c r="G90" s="439"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9" t="s">
        <v>1779</v>
      </c>
      <c r="I90" s="439" t="s">
        <v>1713</v>
      </c>
      <c r="J90" s="448" t="s">
        <v>590</v>
      </c>
      <c r="K90" s="449" t="s">
        <v>390</v>
      </c>
      <c r="L90" s="449" t="str">
        <f>VLOOKUP(D90,'[3]Seguimiento Plan'!$C$2:$AJ$101,30,0)</f>
        <v>SI</v>
      </c>
      <c r="M90" s="450"/>
      <c r="N90" s="449"/>
      <c r="O90" s="451"/>
      <c r="P90" s="451"/>
      <c r="Q90" s="451"/>
      <c r="R90" s="452"/>
      <c r="S90" s="452"/>
      <c r="T90" s="347" t="s">
        <v>297</v>
      </c>
      <c r="U90" s="455" t="str">
        <f>IF(ISERROR(VLOOKUP(T90,'Base de Datos'!$E$7:$AR$302,3,0))=TRUE," ",(VLOOKUP(T90,'Base de Datos'!$E$7:$AR$302,2,0)))</f>
        <v>COMPENSAR SALONES</v>
      </c>
      <c r="V90" s="458">
        <f>IF(ISERROR(VLOOKUP(T90,'Base de Datos'!$E$7:$AR$302,5,0))=TRUE," ",(VLOOKUP(T90,'Base de Datos'!$E$7:$AR$302,5,0)))</f>
        <v>65200000</v>
      </c>
      <c r="W90" s="455">
        <f>IF(ISERROR(VLOOKUP(T90,'Base de Datos'!$E$7:$AR$302,19,0))=TRUE," ",(VLOOKUP(T90,'Base de Datos'!$E$7:$AR$302,19,0)))</f>
        <v>5482</v>
      </c>
      <c r="X90" s="460" t="str">
        <f>IF(ISERROR(VLOOKUP(T90,'Base de Datos'!$E$7:$AR$302,8,0))=TRUE," ",(VLOOKUP(T90,'Base de Datos'!$E$7:$AR$302,8,0)))</f>
        <v xml:space="preserve"> </v>
      </c>
      <c r="Y90" s="460">
        <f>IF(ISERROR(VLOOKUP(T90,'Base de Datos'!$E$7:$AR$302,9,0))=TRUE," ",(VLOOKUP(T90,'Base de Datos'!$E$7:$AR$302,9,0)))</f>
        <v>41835</v>
      </c>
      <c r="Z90" s="454">
        <f>IF(ISERROR(VLOOKUP(T90,'Base de Datos'!$E$7:$AR$302,10,0))=TRUE," ",(VLOOKUP(T90,'Base de Datos'!$E$7:$AR$302,10,0)))</f>
        <v>42078</v>
      </c>
      <c r="AA90" s="457">
        <f>IF(ISERROR(VLOOKUP(T90,'Base de Datos'!$E$7:$AR$302,11,0))=TRUE," ",(VLOOKUP(T90,'Base de Datos'!$E$7:$AR$302,11,0)))</f>
        <v>1</v>
      </c>
      <c r="AB90" s="454">
        <f>IF(ISERROR(VLOOKUP(T90,'Base de Datos'!$E$7:$AR$302,12,0))=TRUE," ",(VLOOKUP(T90,'Base de Datos'!$E$7:$AR$302,12,0)))</f>
        <v>32600000</v>
      </c>
      <c r="AC90" s="454">
        <f>IF(ISERROR(VLOOKUP(T90,'Base de Datos'!$E$7:$AR$302,12,0))=TRUE," ",(VLOOKUP(T90,'Base de Datos'!$E$7:$AR$302,12,0)))</f>
        <v>32600000</v>
      </c>
      <c r="AD90" s="460">
        <f>IF(ISERROR(VLOOKUP(T90,'Base de Datos'!$E$7:$AR$302,15,0))=TRUE," ",(VLOOKUP(T90,'Base de Datos'!$E$7:$AR$302,15,0)))</f>
        <v>42139</v>
      </c>
      <c r="AE90" s="465">
        <f>IF(ISERROR(VLOOKUP(T90,'Base de Datos'!$E$7:$AR$302,16,0))=TRUE," ",(VLOOKUP(T90,'Base de Datos'!$E$7:$AR$302,16,0)))</f>
        <v>42139</v>
      </c>
      <c r="AF90" s="465">
        <f>IF(ISERROR(VLOOKUP(T90,'Base de Datos'!$E$7:$AR$302,17,0))=TRUE," ",(VLOOKUP(T90,'Base de Datos'!$E$7:$AR$302,17,0)))</f>
        <v>97800000</v>
      </c>
      <c r="AG90" s="465">
        <f>IF(ISERROR(VLOOKUP(T90,'Base de Datos'!$E$7:$AR$302,18,0))=TRUE," ",(VLOOKUP(T90,'Base de Datos'!$E$7:$AR$302,18,0)))</f>
        <v>97794518</v>
      </c>
      <c r="AH90" s="466"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6">
        <f>IF(ISERROR(VLOOKUP(T90,'Base de Datos'!$E$7:$AR$302,21,0))=TRUE," ",(VLOOKUP(T90,'Base de Datos'!$E$7:$AR$302,21,0)))</f>
        <v>0.99994394683026588</v>
      </c>
      <c r="AJ90" s="455"/>
      <c r="AK90" s="455" t="str">
        <f>IF(ISERROR(VLOOKUP(D90,'Base de Datos'!$C$7:$AR$400,2,0))=TRUE," ",(VLOOKUP(D90,'Base de Datos'!$C$7:$AR$400,2,0)))</f>
        <v xml:space="preserve"> </v>
      </c>
      <c r="AL90" s="455" t="str">
        <f>IF(ISERROR(VLOOKUP(D90,'Base de Datos'!$C$7:$AR$400,3,0))=TRUE," ",(VLOOKUP(D90,'Base de Datos'!$C$7:$AR$400,3,0)))</f>
        <v xml:space="preserve"> </v>
      </c>
      <c r="AM90" s="458" t="str">
        <f>IF(ISERROR(VLOOKUP(D90,'Base de Datos'!$C$7:$AR$4014,6,0))=TRUE," ",(VLOOKUP(D90,'Base de Datos'!$C$7:$AR$400,6,0)))</f>
        <v xml:space="preserve"> </v>
      </c>
      <c r="AN90" s="458" t="str">
        <f>IF(ISERROR(VLOOKUP(D90,'Base de Datos'!$C$7:$AR$400,20,0))=TRUE," ",(VLOOKUP(D90,'Base de Datos'!$C$7:$AR$400,19,0)))</f>
        <v xml:space="preserve"> </v>
      </c>
      <c r="AO90" s="461" t="str">
        <f>IF(ISERROR(VLOOKUP(D90,'Base de Datos'!$C$7:$AR$400,9,0))=TRUE," ",(VLOOKUP(D90,'Base de Datos'!$C$7:$AR$400,9,0)))</f>
        <v xml:space="preserve"> </v>
      </c>
      <c r="AP90" s="461" t="str">
        <f>IF(ISERROR(VLOOKUP(D90,'Base de Datos'!$C$7:$AR$400,10,0))=TRUE," ",(VLOOKUP(D90,'Base de Datos'!$C$7:$AR$400,10,0)))</f>
        <v xml:space="preserve"> </v>
      </c>
      <c r="AQ90" s="463" t="str">
        <f>IF(ISERROR(VLOOKUP(D90,'Base de Datos'!$C$7:$AR$400,11,0))=TRUE," ",(VLOOKUP(D90,'Base de Datos'!$C$7:$AR$400,11,0)))</f>
        <v xml:space="preserve"> </v>
      </c>
      <c r="AR90" s="464" t="str">
        <f>IF(ISERROR(VLOOKUP(D90,'Base de Datos'!$C$7:$AR$400,12,0))=TRUE," ",(VLOOKUP(D90,'Base de Datos'!$C$7:$AR$400,12,0)))</f>
        <v xml:space="preserve"> </v>
      </c>
      <c r="AS90" s="463" t="str">
        <f>IF(ISERROR(VLOOKUP(D90,'Base de Datos'!$C$7:$AR$400,13,0))=TRUE," ",(VLOOKUP(D90,'Base de Datos'!$C$7:$AR$400,13,0)))</f>
        <v xml:space="preserve"> </v>
      </c>
      <c r="AT90" s="463" t="str">
        <f>IF(ISERROR(VLOOKUP(D90,'Base de Datos'!$C$7:$AR$400,14,0))=TRUE," ",(VLOOKUP(D90,'Base de Datos'!$C$7:$AR$400,14,0)))</f>
        <v xml:space="preserve"> </v>
      </c>
      <c r="AU90" s="461" t="str">
        <f>IF(ISERROR(VLOOKUP(D90,'Base de Datos'!$C$7:$AR$400,16,0))=TRUE," ",(VLOOKUP(D90,'Base de Datos'!$C$7:$AR$400,16,0)))</f>
        <v xml:space="preserve"> </v>
      </c>
      <c r="AV90" s="465" t="str">
        <f>IF(ISERROR(VLOOKUP(D90,'Base de Datos'!$C$7:$AR$400,17,0))=TRUE," ",(VLOOKUP(D90,'Base de Datos'!$C$7:$AR$400,17,0)))</f>
        <v xml:space="preserve"> </v>
      </c>
      <c r="AW90" s="465" t="str">
        <f>IF(ISERROR(VLOOKUP(D90,'Base de Datos'!$C$7:$AR$400,18,0))=TRUE," ",(VLOOKUP(D90,'Base de Datos'!$C$7:$AR$400,18,0)))</f>
        <v xml:space="preserve"> </v>
      </c>
      <c r="AX90" s="465" t="str">
        <f>IF(ISERROR(VLOOKUP(D90,'Base de Datos'!$C$7:$AR$400,19,0))=TRUE," ",(VLOOKUP(D90,'Base de Datos'!$C$7:$AR$400,19,0)))</f>
        <v xml:space="preserve"> </v>
      </c>
      <c r="AY90" s="468" t="str">
        <f>IF(ISERROR(VLOOKUP(D90,'Base de Datos'!$C$7:$AR$400,21,0))=TRUE," ",(VLOOKUP(D90,'Base de Datos'!$C$7:$AR$400,21,0)))</f>
        <v xml:space="preserve"> </v>
      </c>
      <c r="AZ90" s="468" t="str">
        <f>IF(ISERROR(VLOOKUP(D90,'Base de Datos'!$C$7:$AR$400,22,0))=TRUE," ",(VLOOKUP(D90,'Base de Datos'!$C$7:$AR$400,22,0)))</f>
        <v xml:space="preserve"> </v>
      </c>
      <c r="BA90" s="475"/>
      <c r="BB90" s="485"/>
    </row>
    <row r="91" spans="2:54" ht="55.5" customHeight="1" x14ac:dyDescent="0.25">
      <c r="B91" s="438">
        <v>84</v>
      </c>
      <c r="C91" s="446" t="s">
        <v>1645</v>
      </c>
      <c r="D91" s="438">
        <v>186</v>
      </c>
      <c r="E91" s="446" t="s">
        <v>1672</v>
      </c>
      <c r="F91" s="447">
        <f>VLOOKUP(D91,'Presupuesto - PAA 2015'!$B$10:$E$265,4,0)</f>
        <v>6000000</v>
      </c>
      <c r="G91" s="439" t="str">
        <f>VLOOKUP(D91,'[3]Seguimiento Plan'!$C$2:$R$101,16,0)</f>
        <v>Adquisición de elementos e insumos necesarios para atender los primeros auxilios y dotar los botiquines de la Secretaría de Hacienda</v>
      </c>
      <c r="H91" s="439" t="s">
        <v>1779</v>
      </c>
      <c r="I91" s="439" t="s">
        <v>1715</v>
      </c>
      <c r="J91" s="448" t="s">
        <v>909</v>
      </c>
      <c r="K91" s="449" t="s">
        <v>390</v>
      </c>
      <c r="L91" s="449" t="str">
        <f>VLOOKUP(D91,'[3]Seguimiento Plan'!$C$2:$AJ$101,30,0)</f>
        <v>SI</v>
      </c>
      <c r="M91" s="450">
        <f>VLOOKUP(D91,'[3]Seguimiento Plan'!$C$2:$AJ$101,31,0)</f>
        <v>42020</v>
      </c>
      <c r="N91" s="449"/>
      <c r="O91" s="451"/>
      <c r="P91" s="451"/>
      <c r="Q91" s="451"/>
      <c r="R91" s="452"/>
      <c r="S91" s="709" t="s">
        <v>2163</v>
      </c>
      <c r="T91" s="139" t="s">
        <v>296</v>
      </c>
      <c r="U91" s="455" t="str">
        <f>IF(ISERROR(VLOOKUP(T91,'Base de Datos'!$E$7:$AR$302,3,0))=TRUE," ",(VLOOKUP(T91,'Base de Datos'!$E$7:$AR$302,2,0)))</f>
        <v>TECNOLOGÍA BIOMÉDICA</v>
      </c>
      <c r="V91" s="458">
        <f>IF(ISERROR(VLOOKUP(T91,'Base de Datos'!$E$7:$AR$302,5,0))=TRUE," ",(VLOOKUP(T91,'Base de Datos'!$E$7:$AR$302,5,0)))</f>
        <v>5719790</v>
      </c>
      <c r="W91" s="455">
        <f>IF(ISERROR(VLOOKUP(T91,'Base de Datos'!$E$7:$AR$302,19,0))=TRUE," ",(VLOOKUP(T91,'Base de Datos'!$E$7:$AR$302,19,0)))</f>
        <v>0</v>
      </c>
      <c r="X91" s="460" t="str">
        <f>IF(ISERROR(VLOOKUP(T91,'Base de Datos'!$E$7:$AR$302,8,0))=TRUE," ",(VLOOKUP(T91,'Base de Datos'!$E$7:$AR$302,8,0)))</f>
        <v xml:space="preserve"> </v>
      </c>
      <c r="Y91" s="460">
        <f>IF(ISERROR(VLOOKUP(T91,'Base de Datos'!$E$7:$AR$302,9,0))=TRUE," ",(VLOOKUP(T91,'Base de Datos'!$E$7:$AR$302,9,0)))</f>
        <v>41807</v>
      </c>
      <c r="Z91" s="454">
        <f>IF(ISERROR(VLOOKUP(T91,'Base de Datos'!$E$7:$AR$302,10,0))=TRUE," ",(VLOOKUP(T91,'Base de Datos'!$E$7:$AR$302,10,0)))</f>
        <v>41867</v>
      </c>
      <c r="AA91" s="457">
        <f>IF(ISERROR(VLOOKUP(T91,'Base de Datos'!$E$7:$AR$302,11,0))=TRUE," ",(VLOOKUP(T91,'Base de Datos'!$E$7:$AR$302,11,0)))</f>
        <v>0</v>
      </c>
      <c r="AB91" s="454">
        <f>IF(ISERROR(VLOOKUP(T91,'Base de Datos'!$E$7:$AR$302,12,0))=TRUE," ",(VLOOKUP(T91,'Base de Datos'!$E$7:$AR$302,12,0)))</f>
        <v>0</v>
      </c>
      <c r="AC91" s="454">
        <f>IF(ISERROR(VLOOKUP(T91,'Base de Datos'!$E$7:$AR$302,12,0))=TRUE," ",(VLOOKUP(T91,'Base de Datos'!$E$7:$AR$302,12,0)))</f>
        <v>0</v>
      </c>
      <c r="AD91" s="460" t="str">
        <f>IF(ISERROR(VLOOKUP(T91,'Base de Datos'!$E$7:$AR$302,15,0))=TRUE," ",(VLOOKUP(T91,'Base de Datos'!$E$7:$AR$302,15,0)))</f>
        <v/>
      </c>
      <c r="AE91" s="465">
        <f>IF(ISERROR(VLOOKUP(T91,'Base de Datos'!$E$7:$AR$302,16,0))=TRUE," ",(VLOOKUP(T91,'Base de Datos'!$E$7:$AR$302,16,0)))</f>
        <v>41867</v>
      </c>
      <c r="AF91" s="465">
        <f>IF(ISERROR(VLOOKUP(T91,'Base de Datos'!$E$7:$AR$302,17,0))=TRUE," ",(VLOOKUP(T91,'Base de Datos'!$E$7:$AR$302,17,0)))</f>
        <v>5719790</v>
      </c>
      <c r="AG91" s="465">
        <f>IF(ISERROR(VLOOKUP(T91,'Base de Datos'!$E$7:$AR$302,18,0))=TRUE," ",(VLOOKUP(T91,'Base de Datos'!$E$7:$AR$302,18,0)))</f>
        <v>5719790</v>
      </c>
      <c r="AH91" s="466"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6">
        <f>IF(ISERROR(VLOOKUP(T91,'Base de Datos'!$E$7:$AR$302,21,0))=TRUE," ",(VLOOKUP(T91,'Base de Datos'!$E$7:$AR$302,21,0)))</f>
        <v>1</v>
      </c>
      <c r="AJ91" s="455"/>
      <c r="AK91" s="455" t="str">
        <f>IF(ISERROR(VLOOKUP(D91,'Base de Datos'!$C$7:$AR$400,2,0))=TRUE," ",(VLOOKUP(D91,'Base de Datos'!$C$7:$AR$400,2,0)))</f>
        <v>2015186</v>
      </c>
      <c r="AL91" s="455" t="str">
        <f>IF(ISERROR(VLOOKUP(D91,'Base de Datos'!$C$7:$AR$400,3,0))=TRUE," ",(VLOOKUP(D91,'Base de Datos'!$C$7:$AR$400,3,0)))</f>
        <v>150353-0-2015</v>
      </c>
      <c r="AM91" s="458" t="str">
        <f>IF(ISERROR(VLOOKUP(D91,'Base de Datos'!$C$7:$AR$4014,6,0))=TRUE," ",(VLOOKUP(D91,'Base de Datos'!$C$7:$AR$400,6,0)))</f>
        <v>Adquisición de elementos e insumos necesarios para atender los primeros auxilios y dotar los botiquines del Concejo de Bogotá D.C.</v>
      </c>
      <c r="AN91" s="458">
        <f>IF(ISERROR(VLOOKUP(D91,'Base de Datos'!$C$7:$AR$400,20,0))=TRUE," ",(VLOOKUP(D91,'Base de Datos'!$C$7:$AR$400,19,0)))</f>
        <v>6000000</v>
      </c>
      <c r="AO91" s="461">
        <f>IF(ISERROR(VLOOKUP(D91,'Base de Datos'!$C$7:$AR$400,9,0))=TRUE," ",(VLOOKUP(D91,'Base de Datos'!$C$7:$AR$400,9,0)))</f>
        <v>2015</v>
      </c>
      <c r="AP91" s="461">
        <f>IF(ISERROR(VLOOKUP(D91,'Base de Datos'!$C$7:$AR$400,10,0))=TRUE," ",(VLOOKUP(D91,'Base de Datos'!$C$7:$AR$400,10,0)))</f>
        <v>42261</v>
      </c>
      <c r="AQ91" s="463">
        <f>IF(ISERROR(VLOOKUP(D91,'Base de Datos'!$C$7:$AR$400,11,0))=TRUE," ",(VLOOKUP(D91,'Base de Datos'!$C$7:$AR$400,11,0)))</f>
        <v>42291</v>
      </c>
      <c r="AR91" s="464">
        <f>IF(ISERROR(VLOOKUP(D91,'Base de Datos'!$C$7:$AR$400,12,0))=TRUE," ",(VLOOKUP(D91,'Base de Datos'!$C$7:$AR$400,12,0)))</f>
        <v>42352</v>
      </c>
      <c r="AS91" s="463">
        <f>IF(ISERROR(VLOOKUP(D91,'Base de Datos'!$C$7:$AR$400,13,0))=TRUE," ",(VLOOKUP(D91,'Base de Datos'!$C$7:$AR$400,13,0)))</f>
        <v>0</v>
      </c>
      <c r="AT91" s="463">
        <f>IF(ISERROR(VLOOKUP(D91,'Base de Datos'!$C$7:$AR$400,14,0))=TRUE," ",(VLOOKUP(D91,'Base de Datos'!$C$7:$AR$400,14,0)))</f>
        <v>0</v>
      </c>
      <c r="AU91" s="461" t="str">
        <f>IF(ISERROR(VLOOKUP(D91,'Base de Datos'!$C$7:$AR$400,16,0))=TRUE," ",(VLOOKUP(D91,'Base de Datos'!$C$7:$AR$400,16,0)))</f>
        <v/>
      </c>
      <c r="AV91" s="465" t="str">
        <f>IF(ISERROR(VLOOKUP(D91,'Base de Datos'!$C$7:$AR$400,17,0))=TRUE," ",(VLOOKUP(D91,'Base de Datos'!$C$7:$AR$400,17,0)))</f>
        <v/>
      </c>
      <c r="AW91" s="465">
        <f>IF(ISERROR(VLOOKUP(D91,'Base de Datos'!$C$7:$AR$400,18,0))=TRUE," ",(VLOOKUP(D91,'Base de Datos'!$C$7:$AR$400,18,0)))</f>
        <v>42352</v>
      </c>
      <c r="AX91" s="465">
        <f>IF(ISERROR(VLOOKUP(D91,'Base de Datos'!$C$7:$AR$400,19,0))=TRUE," ",(VLOOKUP(D91,'Base de Datos'!$C$7:$AR$400,19,0)))</f>
        <v>6000000</v>
      </c>
      <c r="AY91" s="468">
        <f>IF(ISERROR(VLOOKUP(D91,'Base de Datos'!$C$7:$AR$400,21,0))=TRUE," ",(VLOOKUP(D91,'Base de Datos'!$C$7:$AR$400,21,0)))</f>
        <v>110</v>
      </c>
      <c r="AZ91" s="468" t="str">
        <f>IF(ISERROR(VLOOKUP(D91,'Base de Datos'!$C$7:$AR$400,22,0))=TRUE," ",(VLOOKUP(D91,'Base de Datos'!$C$7:$AR$400,22,0)))</f>
        <v>Un único pago con la entrega de los bines objeto del contrato.</v>
      </c>
      <c r="BA91" s="475"/>
      <c r="BB91" s="485"/>
    </row>
    <row r="92" spans="2:54" ht="55.5" hidden="1" customHeight="1" x14ac:dyDescent="0.25">
      <c r="B92" s="438">
        <v>85</v>
      </c>
      <c r="C92" s="446" t="s">
        <v>1645</v>
      </c>
      <c r="D92" s="438">
        <v>187</v>
      </c>
      <c r="E92" s="446" t="s">
        <v>1672</v>
      </c>
      <c r="F92" s="447">
        <f>VLOOKUP(D92,'Presupuesto - PAA 2015'!$B$10:$E$265,4,0)</f>
        <v>19141000</v>
      </c>
      <c r="G92" s="439" t="str">
        <f>VLOOKUP(D92,'[3]Seguimiento Plan'!$C$2:$R$101,16,0)</f>
        <v>Adquisición de elementos de protección personal para los servidores de la Secretaría de Hacienda</v>
      </c>
      <c r="H92" s="439" t="s">
        <v>1779</v>
      </c>
      <c r="I92" s="439" t="s">
        <v>1715</v>
      </c>
      <c r="J92" s="448" t="s">
        <v>909</v>
      </c>
      <c r="K92" s="449" t="s">
        <v>390</v>
      </c>
      <c r="L92" s="449" t="str">
        <f>VLOOKUP(D92,'[3]Seguimiento Plan'!$C$2:$AJ$101,30,0)</f>
        <v>SI</v>
      </c>
      <c r="M92" s="450">
        <f>VLOOKUP(D92,'[3]Seguimiento Plan'!$C$2:$AJ$101,31,0)</f>
        <v>42020</v>
      </c>
      <c r="N92" s="449"/>
      <c r="O92" s="451"/>
      <c r="P92" s="451"/>
      <c r="Q92" s="451"/>
      <c r="R92" s="452"/>
      <c r="S92" s="470" t="s">
        <v>2123</v>
      </c>
      <c r="T92" s="348" t="s">
        <v>553</v>
      </c>
      <c r="U92" s="455" t="str">
        <f>IF(ISERROR(VLOOKUP(T92,'Base de Datos'!$E$7:$AR$302,3,0))=TRUE," ",(VLOOKUP(T92,'Base de Datos'!$E$7:$AR$302,2,0)))</f>
        <v>SUPERIOR DE DOTACIONES SAS</v>
      </c>
      <c r="V92" s="458">
        <f>IF(ISERROR(VLOOKUP(T92,'Base de Datos'!$E$7:$AR$302,5,0))=TRUE," ",(VLOOKUP(T92,'Base de Datos'!$E$7:$AR$302,5,0)))</f>
        <v>19356282</v>
      </c>
      <c r="W92" s="455">
        <f>IF(ISERROR(VLOOKUP(T92,'Base de Datos'!$E$7:$AR$302,19,0))=TRUE," ",(VLOOKUP(T92,'Base de Datos'!$E$7:$AR$302,19,0)))</f>
        <v>0</v>
      </c>
      <c r="X92" s="460" t="str">
        <f>IF(ISERROR(VLOOKUP(T92,'Base de Datos'!$E$7:$AR$302,8,0))=TRUE," ",(VLOOKUP(T92,'Base de Datos'!$E$7:$AR$302,8,0)))</f>
        <v xml:space="preserve"> </v>
      </c>
      <c r="Y92" s="460">
        <f>IF(ISERROR(VLOOKUP(T92,'Base de Datos'!$E$7:$AR$302,9,0))=TRUE," ",(VLOOKUP(T92,'Base de Datos'!$E$7:$AR$302,9,0)))</f>
        <v>41887</v>
      </c>
      <c r="Z92" s="454">
        <f>IF(ISERROR(VLOOKUP(T92,'Base de Datos'!$E$7:$AR$302,10,0))=TRUE," ",(VLOOKUP(T92,'Base de Datos'!$E$7:$AR$302,10,0)))</f>
        <v>42009</v>
      </c>
      <c r="AA92" s="457">
        <f>IF(ISERROR(VLOOKUP(T92,'Base de Datos'!$E$7:$AR$302,11,0))=TRUE," ",(VLOOKUP(T92,'Base de Datos'!$E$7:$AR$302,11,0)))</f>
        <v>0</v>
      </c>
      <c r="AB92" s="454">
        <f>IF(ISERROR(VLOOKUP(T92,'Base de Datos'!$E$7:$AR$302,12,0))=TRUE," ",(VLOOKUP(T92,'Base de Datos'!$E$7:$AR$302,12,0)))</f>
        <v>0</v>
      </c>
      <c r="AC92" s="454">
        <f>IF(ISERROR(VLOOKUP(T92,'Base de Datos'!$E$7:$AR$302,12,0))=TRUE," ",(VLOOKUP(T92,'Base de Datos'!$E$7:$AR$302,12,0)))</f>
        <v>0</v>
      </c>
      <c r="AD92" s="460" t="str">
        <f>IF(ISERROR(VLOOKUP(T92,'Base de Datos'!$E$7:$AR$302,15,0))=TRUE," ",(VLOOKUP(T92,'Base de Datos'!$E$7:$AR$302,15,0)))</f>
        <v/>
      </c>
      <c r="AE92" s="465">
        <f>IF(ISERROR(VLOOKUP(T92,'Base de Datos'!$E$7:$AR$302,16,0))=TRUE," ",(VLOOKUP(T92,'Base de Datos'!$E$7:$AR$302,16,0)))</f>
        <v>42009</v>
      </c>
      <c r="AF92" s="465">
        <f>IF(ISERROR(VLOOKUP(T92,'Base de Datos'!$E$7:$AR$302,17,0))=TRUE," ",(VLOOKUP(T92,'Base de Datos'!$E$7:$AR$302,17,0)))</f>
        <v>19356282</v>
      </c>
      <c r="AG92" s="465">
        <f>IF(ISERROR(VLOOKUP(T92,'Base de Datos'!$E$7:$AR$302,18,0))=TRUE," ",(VLOOKUP(T92,'Base de Datos'!$E$7:$AR$302,18,0)))</f>
        <v>19356282</v>
      </c>
      <c r="AH92" s="466"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6">
        <f>IF(ISERROR(VLOOKUP(T92,'Base de Datos'!$E$7:$AR$302,21,0))=TRUE," ",(VLOOKUP(T92,'Base de Datos'!$E$7:$AR$302,21,0)))</f>
        <v>1</v>
      </c>
      <c r="AJ92" s="455"/>
      <c r="AK92" s="455" t="str">
        <f>IF(ISERROR(VLOOKUP(D92,'Base de Datos'!$C$7:$AR$400,2,0))=TRUE," ",(VLOOKUP(D92,'Base de Datos'!$C$7:$AR$400,2,0)))</f>
        <v>2015187</v>
      </c>
      <c r="AL92" s="455" t="str">
        <f>IF(ISERROR(VLOOKUP(D92,'Base de Datos'!$C$7:$AR$400,3,0))=TRUE," ",(VLOOKUP(D92,'Base de Datos'!$C$7:$AR$400,3,0)))</f>
        <v>150348-0-2015</v>
      </c>
      <c r="AM92" s="458" t="str">
        <f>IF(ISERROR(VLOOKUP(D92,'Base de Datos'!$C$7:$AR$4014,6,0))=TRUE," ",(VLOOKUP(D92,'Base de Datos'!$C$7:$AR$400,6,0)))</f>
        <v>Adquirir a título de compraventa elementos de protección personal para los servidores públicos del Concejo de Bogotá, D.C</v>
      </c>
      <c r="AN92" s="458">
        <f>IF(ISERROR(VLOOKUP(D92,'Base de Datos'!$C$7:$AR$400,20,0))=TRUE," ",(VLOOKUP(D92,'Base de Datos'!$C$7:$AR$400,19,0)))</f>
        <v>19141000</v>
      </c>
      <c r="AO92" s="461">
        <f>IF(ISERROR(VLOOKUP(D92,'Base de Datos'!$C$7:$AR$400,9,0))=TRUE," ",(VLOOKUP(D92,'Base de Datos'!$C$7:$AR$400,9,0)))</f>
        <v>2015</v>
      </c>
      <c r="AP92" s="461">
        <f>IF(ISERROR(VLOOKUP(D92,'Base de Datos'!$C$7:$AR$400,10,0))=TRUE," ",(VLOOKUP(D92,'Base de Datos'!$C$7:$AR$400,10,0)))</f>
        <v>42248</v>
      </c>
      <c r="AQ92" s="463">
        <f>IF(ISERROR(VLOOKUP(D92,'Base de Datos'!$C$7:$AR$400,11,0))=TRUE," ",(VLOOKUP(D92,'Base de Datos'!$C$7:$AR$400,11,0)))</f>
        <v>42262</v>
      </c>
      <c r="AR92" s="464">
        <f>IF(ISERROR(VLOOKUP(D92,'Base de Datos'!$C$7:$AR$400,12,0))=TRUE," ",(VLOOKUP(D92,'Base de Datos'!$C$7:$AR$400,12,0)))</f>
        <v>42384</v>
      </c>
      <c r="AS92" s="463">
        <f>IF(ISERROR(VLOOKUP(D92,'Base de Datos'!$C$7:$AR$400,13,0))=TRUE," ",(VLOOKUP(D92,'Base de Datos'!$C$7:$AR$400,13,0)))</f>
        <v>0</v>
      </c>
      <c r="AT92" s="463">
        <f>IF(ISERROR(VLOOKUP(D92,'Base de Datos'!$C$7:$AR$400,14,0))=TRUE," ",(VLOOKUP(D92,'Base de Datos'!$C$7:$AR$400,14,0)))</f>
        <v>0</v>
      </c>
      <c r="AU92" s="461" t="str">
        <f>IF(ISERROR(VLOOKUP(D92,'Base de Datos'!$C$7:$AR$400,16,0))=TRUE," ",(VLOOKUP(D92,'Base de Datos'!$C$7:$AR$400,16,0)))</f>
        <v/>
      </c>
      <c r="AV92" s="465" t="str">
        <f>IF(ISERROR(VLOOKUP(D92,'Base de Datos'!$C$7:$AR$400,17,0))=TRUE," ",(VLOOKUP(D92,'Base de Datos'!$C$7:$AR$400,17,0)))</f>
        <v/>
      </c>
      <c r="AW92" s="465">
        <f>IF(ISERROR(VLOOKUP(D92,'Base de Datos'!$C$7:$AR$400,18,0))=TRUE," ",(VLOOKUP(D92,'Base de Datos'!$C$7:$AR$400,18,0)))</f>
        <v>42384</v>
      </c>
      <c r="AX92" s="465">
        <f>IF(ISERROR(VLOOKUP(D92,'Base de Datos'!$C$7:$AR$400,19,0))=TRUE," ",(VLOOKUP(D92,'Base de Datos'!$C$7:$AR$400,19,0)))</f>
        <v>19141000</v>
      </c>
      <c r="AY92" s="468">
        <f>IF(ISERROR(VLOOKUP(D92,'Base de Datos'!$C$7:$AR$400,21,0))=TRUE," ",(VLOOKUP(D92,'Base de Datos'!$C$7:$AR$400,21,0)))</f>
        <v>602</v>
      </c>
      <c r="AZ92" s="468" t="str">
        <f>IF(ISERROR(VLOOKUP(D92,'Base de Datos'!$C$7:$AR$400,22,0))=TRUE," ",(VLOOKUP(D92,'Base de Datos'!$C$7:$AR$400,22,0)))</f>
        <v>Un pago único con la entrega de los bienes</v>
      </c>
      <c r="BA92" s="475"/>
      <c r="BB92" s="485"/>
    </row>
    <row r="93" spans="2:54" ht="55.5" hidden="1" customHeight="1" x14ac:dyDescent="0.25">
      <c r="B93" s="438">
        <v>86</v>
      </c>
      <c r="C93" s="446" t="s">
        <v>1645</v>
      </c>
      <c r="D93" s="438">
        <v>188</v>
      </c>
      <c r="E93" s="446" t="s">
        <v>1672</v>
      </c>
      <c r="F93" s="447">
        <f>VLOOKUP(D93,'Presupuesto - PAA 2015'!$B$10:$E$265,4,0)</f>
        <v>52390000</v>
      </c>
      <c r="G93" s="439" t="str">
        <f>VLOOKUP(D93,'[3]Seguimiento Plan'!$C$2:$R$101,16,0)</f>
        <v>Realizar exámenes médicos ocupacionales y complementarios y aplicación de vacunas para los funcionarios de la Secretaría Distrital de Hacienda y del Concejo de Bogotá</v>
      </c>
      <c r="H93" s="439" t="s">
        <v>1779</v>
      </c>
      <c r="I93" s="439" t="s">
        <v>1713</v>
      </c>
      <c r="J93" s="448" t="s">
        <v>913</v>
      </c>
      <c r="K93" s="449" t="s">
        <v>390</v>
      </c>
      <c r="L93" s="449" t="str">
        <f>VLOOKUP(D93,'[3]Seguimiento Plan'!$C$2:$AJ$101,30,0)</f>
        <v>SI</v>
      </c>
      <c r="M93" s="450">
        <f>VLOOKUP(D93,'[3]Seguimiento Plan'!$C$2:$AJ$101,31,0)</f>
        <v>42036</v>
      </c>
      <c r="N93" s="449"/>
      <c r="O93" s="451"/>
      <c r="P93" s="451"/>
      <c r="Q93" s="451"/>
      <c r="R93" s="452"/>
      <c r="S93" s="470" t="s">
        <v>1876</v>
      </c>
      <c r="T93" s="348" t="s">
        <v>1161</v>
      </c>
      <c r="U93" s="455" t="str">
        <f>IF(ISERROR(VLOOKUP(T93,'Base de Datos'!$E$7:$AR$302,3,0))=TRUE," ",(VLOOKUP(T93,'Base de Datos'!$E$7:$AR$302,2,0)))</f>
        <v>CENTRO DE DIAGNOSTICO Y TRATAMIENTO CENDIATRA LTDA</v>
      </c>
      <c r="V93" s="458">
        <f>IF(ISERROR(VLOOKUP(T93,'Base de Datos'!$E$7:$AR$302,5,0))=TRUE," ",(VLOOKUP(T93,'Base de Datos'!$E$7:$AR$302,5,0)))</f>
        <v>41850000</v>
      </c>
      <c r="W93" s="455">
        <f>IF(ISERROR(VLOOKUP(T93,'Base de Datos'!$E$7:$AR$302,19,0))=TRUE," ",(VLOOKUP(T93,'Base de Datos'!$E$7:$AR$302,19,0)))</f>
        <v>15487000</v>
      </c>
      <c r="X93" s="460" t="str">
        <f>IF(ISERROR(VLOOKUP(T93,'Base de Datos'!$E$7:$AR$302,8,0))=TRUE," ",(VLOOKUP(T93,'Base de Datos'!$E$7:$AR$302,8,0)))</f>
        <v xml:space="preserve"> </v>
      </c>
      <c r="Y93" s="460">
        <f>IF(ISERROR(VLOOKUP(T93,'Base de Datos'!$E$7:$AR$302,9,0))=TRUE," ",(VLOOKUP(T93,'Base de Datos'!$E$7:$AR$302,9,0)))</f>
        <v>41926</v>
      </c>
      <c r="Z93" s="454">
        <f>IF(ISERROR(VLOOKUP(T93,'Base de Datos'!$E$7:$AR$302,10,0))=TRUE," ",(VLOOKUP(T93,'Base de Datos'!$E$7:$AR$302,10,0)))</f>
        <v>42138</v>
      </c>
      <c r="AA93" s="457">
        <f>IF(ISERROR(VLOOKUP(T93,'Base de Datos'!$E$7:$AR$302,11,0))=TRUE," ",(VLOOKUP(T93,'Base de Datos'!$E$7:$AR$302,11,0)))</f>
        <v>0</v>
      </c>
      <c r="AB93" s="454">
        <f>IF(ISERROR(VLOOKUP(T93,'Base de Datos'!$E$7:$AR$302,12,0))=TRUE," ",(VLOOKUP(T93,'Base de Datos'!$E$7:$AR$302,12,0)))</f>
        <v>0</v>
      </c>
      <c r="AC93" s="454">
        <f>IF(ISERROR(VLOOKUP(T93,'Base de Datos'!$E$7:$AR$302,12,0))=TRUE," ",(VLOOKUP(T93,'Base de Datos'!$E$7:$AR$302,12,0)))</f>
        <v>0</v>
      </c>
      <c r="AD93" s="460" t="str">
        <f>IF(ISERROR(VLOOKUP(T93,'Base de Datos'!$E$7:$AR$302,15,0))=TRUE," ",(VLOOKUP(T93,'Base de Datos'!$E$7:$AR$302,15,0)))</f>
        <v/>
      </c>
      <c r="AE93" s="465">
        <f>IF(ISERROR(VLOOKUP(T93,'Base de Datos'!$E$7:$AR$302,16,0))=TRUE," ",(VLOOKUP(T93,'Base de Datos'!$E$7:$AR$302,16,0)))</f>
        <v>42138</v>
      </c>
      <c r="AF93" s="465">
        <f>IF(ISERROR(VLOOKUP(T93,'Base de Datos'!$E$7:$AR$302,17,0))=TRUE," ",(VLOOKUP(T93,'Base de Datos'!$E$7:$AR$302,17,0)))</f>
        <v>41850000</v>
      </c>
      <c r="AG93" s="465">
        <f>IF(ISERROR(VLOOKUP(T93,'Base de Datos'!$E$7:$AR$302,18,0))=TRUE," ",(VLOOKUP(T93,'Base de Datos'!$E$7:$AR$302,18,0)))</f>
        <v>26363000</v>
      </c>
      <c r="AH93" s="466"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6">
        <f>IF(ISERROR(VLOOKUP(T93,'Base de Datos'!$E$7:$AR$302,21,0))=TRUE," ",(VLOOKUP(T93,'Base de Datos'!$E$7:$AR$302,21,0)))</f>
        <v>0.6299402628434887</v>
      </c>
      <c r="AJ93" s="469">
        <v>42181</v>
      </c>
      <c r="AK93" s="455" t="str">
        <f>IF(ISERROR(VLOOKUP(D93,'Base de Datos'!$C$7:$AR$400,2,0))=TRUE," ",(VLOOKUP(D93,'Base de Datos'!$C$7:$AR$400,2,0)))</f>
        <v>2015188</v>
      </c>
      <c r="AL93" s="455" t="str">
        <f>IF(ISERROR(VLOOKUP(D93,'Base de Datos'!$C$7:$AR$400,3,0))=TRUE," ",(VLOOKUP(D93,'Base de Datos'!$C$7:$AR$400,3,0)))</f>
        <v>150300-0-2015</v>
      </c>
      <c r="AM93" s="458"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8">
        <f>IF(ISERROR(VLOOKUP(D93,'Base de Datos'!$C$7:$AR$400,20,0))=TRUE," ",(VLOOKUP(D93,'Base de Datos'!$C$7:$AR$400,19,0)))</f>
        <v>52390000</v>
      </c>
      <c r="AO93" s="461">
        <f>IF(ISERROR(VLOOKUP(D93,'Base de Datos'!$C$7:$AR$400,9,0))=TRUE," ",(VLOOKUP(D93,'Base de Datos'!$C$7:$AR$400,9,0)))</f>
        <v>2015</v>
      </c>
      <c r="AP93" s="461">
        <f>IF(ISERROR(VLOOKUP(D93,'Base de Datos'!$C$7:$AR$400,10,0))=TRUE," ",(VLOOKUP(D93,'Base de Datos'!$C$7:$AR$400,10,0)))</f>
        <v>42181</v>
      </c>
      <c r="AQ93" s="463">
        <f>IF(ISERROR(VLOOKUP(D93,'Base de Datos'!$C$7:$AR$400,11,0))=TRUE," ",(VLOOKUP(D93,'Base de Datos'!$C$7:$AR$400,11,0)))</f>
        <v>42200</v>
      </c>
      <c r="AR93" s="464">
        <f>IF(ISERROR(VLOOKUP(D93,'Base de Datos'!$C$7:$AR$400,12,0))=TRUE," ",(VLOOKUP(D93,'Base de Datos'!$C$7:$AR$400,12,0)))</f>
        <v>42475</v>
      </c>
      <c r="AS93" s="463">
        <f>IF(ISERROR(VLOOKUP(D93,'Base de Datos'!$C$7:$AR$400,13,0))=TRUE," ",(VLOOKUP(D93,'Base de Datos'!$C$7:$AR$400,13,0)))</f>
        <v>0</v>
      </c>
      <c r="AT93" s="463">
        <f>IF(ISERROR(VLOOKUP(D93,'Base de Datos'!$C$7:$AR$400,14,0))=TRUE," ",(VLOOKUP(D93,'Base de Datos'!$C$7:$AR$400,14,0)))</f>
        <v>0</v>
      </c>
      <c r="AU93" s="461" t="str">
        <f>IF(ISERROR(VLOOKUP(D93,'Base de Datos'!$C$7:$AR$400,16,0))=TRUE," ",(VLOOKUP(D93,'Base de Datos'!$C$7:$AR$400,16,0)))</f>
        <v/>
      </c>
      <c r="AV93" s="465" t="str">
        <f>IF(ISERROR(VLOOKUP(D93,'Base de Datos'!$C$7:$AR$400,17,0))=TRUE," ",(VLOOKUP(D93,'Base de Datos'!$C$7:$AR$400,17,0)))</f>
        <v/>
      </c>
      <c r="AW93" s="465">
        <f>IF(ISERROR(VLOOKUP(D93,'Base de Datos'!$C$7:$AR$400,18,0))=TRUE," ",(VLOOKUP(D93,'Base de Datos'!$C$7:$AR$400,18,0)))</f>
        <v>42475</v>
      </c>
      <c r="AX93" s="465">
        <f>IF(ISERROR(VLOOKUP(D93,'Base de Datos'!$C$7:$AR$400,19,0))=TRUE," ",(VLOOKUP(D93,'Base de Datos'!$C$7:$AR$400,19,0)))</f>
        <v>52390000</v>
      </c>
      <c r="AY93" s="468">
        <f>IF(ISERROR(VLOOKUP(D93,'Base de Datos'!$C$7:$AR$400,21,0))=TRUE," ",(VLOOKUP(D93,'Base de Datos'!$C$7:$AR$400,21,0)))</f>
        <v>3224000</v>
      </c>
      <c r="AZ93" s="468" t="str">
        <f>IF(ISERROR(VLOOKUP(D93,'Base de Datos'!$C$7:$AR$400,22,0))=TRUE," ",(VLOOKUP(D93,'Base de Datos'!$C$7:$AR$400,22,0)))</f>
        <v>Mensualidades vencidas</v>
      </c>
      <c r="BA93" s="475"/>
      <c r="BB93" s="485"/>
    </row>
    <row r="94" spans="2:54" ht="55.5" hidden="1" customHeight="1" x14ac:dyDescent="0.25">
      <c r="B94" s="438">
        <v>87</v>
      </c>
      <c r="C94" s="446" t="s">
        <v>1645</v>
      </c>
      <c r="D94" s="438">
        <v>160</v>
      </c>
      <c r="E94" s="446" t="s">
        <v>1675</v>
      </c>
      <c r="F94" s="447">
        <f>VLOOKUP(D94,'Presupuesto - PAA 2015'!$B$10:$E$265,4,0)</f>
        <v>436000000</v>
      </c>
      <c r="G94" s="439" t="str">
        <f>VLOOKUP(D94,'[3]Seguimiento Plan'!$C$2:$R$101,16,0)</f>
        <v>Presar los servicios de diseño, producción y ejecución de estrategias de divulgación en medios de comunicación de carácter masivo y alternativo para el Concejo de Bogotá.</v>
      </c>
      <c r="H94" s="439" t="s">
        <v>1779</v>
      </c>
      <c r="I94" s="439" t="s">
        <v>1722</v>
      </c>
      <c r="J94" s="448" t="s">
        <v>908</v>
      </c>
      <c r="K94" s="449" t="s">
        <v>390</v>
      </c>
      <c r="L94" s="449" t="str">
        <f>VLOOKUP(D94,'[3]Seguimiento Plan'!$C$2:$AJ$101,30,0)</f>
        <v>SI</v>
      </c>
      <c r="M94" s="450">
        <f>VLOOKUP(D94,'[3]Seguimiento Plan'!$C$2:$AJ$101,31,0)</f>
        <v>42075</v>
      </c>
      <c r="N94" s="449" t="s">
        <v>1813</v>
      </c>
      <c r="O94" s="451"/>
      <c r="P94" s="451"/>
      <c r="Q94" s="451"/>
      <c r="R94" s="452"/>
      <c r="S94" s="709" t="s">
        <v>2054</v>
      </c>
      <c r="T94" s="355" t="s">
        <v>1530</v>
      </c>
      <c r="U94" s="455" t="str">
        <f>IF(ISERROR(VLOOKUP(T94,'Base de Datos'!$E$7:$AR$302,3,0))=TRUE," ",(VLOOKUP(T94,'Base de Datos'!$E$7:$AR$302,2,0)))</f>
        <v>CENTURY MEDIA SAS</v>
      </c>
      <c r="V94" s="458">
        <f>IF(ISERROR(VLOOKUP(T94,'Base de Datos'!$E$7:$AR$302,5,0))=TRUE," ",(VLOOKUP(T94,'Base de Datos'!$E$7:$AR$302,5,0)))</f>
        <v>249210000</v>
      </c>
      <c r="W94" s="455">
        <f>IF(ISERROR(VLOOKUP(T94,'Base de Datos'!$E$7:$AR$302,19,0))=TRUE," ",(VLOOKUP(T94,'Base de Datos'!$E$7:$AR$302,19,0)))</f>
        <v>0</v>
      </c>
      <c r="X94" s="460" t="str">
        <f>IF(ISERROR(VLOOKUP(T94,'Base de Datos'!$E$7:$AR$302,8,0))=TRUE," ",(VLOOKUP(T94,'Base de Datos'!$E$7:$AR$302,8,0)))</f>
        <v xml:space="preserve"> </v>
      </c>
      <c r="Y94" s="460">
        <f>IF(ISERROR(VLOOKUP(T94,'Base de Datos'!$E$7:$AR$302,9,0))=TRUE," ",(VLOOKUP(T94,'Base de Datos'!$E$7:$AR$302,9,0)))</f>
        <v>42017</v>
      </c>
      <c r="Z94" s="454">
        <f>IF(ISERROR(VLOOKUP(T94,'Base de Datos'!$E$7:$AR$302,10,0))=TRUE," ",(VLOOKUP(T94,'Base de Datos'!$E$7:$AR$302,10,0)))</f>
        <v>42198</v>
      </c>
      <c r="AA94" s="457">
        <f>IF(ISERROR(VLOOKUP(T94,'Base de Datos'!$E$7:$AR$302,11,0))=TRUE," ",(VLOOKUP(T94,'Base de Datos'!$E$7:$AR$302,11,0)))</f>
        <v>1</v>
      </c>
      <c r="AB94" s="454">
        <f>IF(ISERROR(VLOOKUP(T94,'Base de Datos'!$E$7:$AR$302,12,0))=TRUE," ",(VLOOKUP(T94,'Base de Datos'!$E$7:$AR$302,12,0)))</f>
        <v>60000000</v>
      </c>
      <c r="AC94" s="454">
        <f>IF(ISERROR(VLOOKUP(T94,'Base de Datos'!$E$7:$AR$302,12,0))=TRUE," ",(VLOOKUP(T94,'Base de Datos'!$E$7:$AR$302,12,0)))</f>
        <v>60000000</v>
      </c>
      <c r="AD94" s="460">
        <f>IF(ISERROR(VLOOKUP(T94,'Base de Datos'!$E$7:$AR$302,15,0))=TRUE," ",(VLOOKUP(T94,'Base de Datos'!$E$7:$AR$302,15,0)))</f>
        <v>42338</v>
      </c>
      <c r="AE94" s="465">
        <f>IF(ISERROR(VLOOKUP(T94,'Base de Datos'!$E$7:$AR$302,16,0))=TRUE," ",(VLOOKUP(T94,'Base de Datos'!$E$7:$AR$302,16,0)))</f>
        <v>42338</v>
      </c>
      <c r="AF94" s="465">
        <f>IF(ISERROR(VLOOKUP(T94,'Base de Datos'!$E$7:$AR$302,17,0))=TRUE," ",(VLOOKUP(T94,'Base de Datos'!$E$7:$AR$302,17,0)))</f>
        <v>309210000</v>
      </c>
      <c r="AG94" s="465">
        <f>IF(ISERROR(VLOOKUP(T94,'Base de Datos'!$E$7:$AR$302,18,0))=TRUE," ",(VLOOKUP(T94,'Base de Datos'!$E$7:$AR$302,18,0)))</f>
        <v>309210000</v>
      </c>
      <c r="AH94" s="466" t="str">
        <f>IF(ISERROR(VLOOKUP(T94,'Base de Datos'!$E$7:$AR$302,20,0))=TRUE," ",(VLOOKUP(T94,'Base de Datos'!$E$7:$AR$302,20,0)))</f>
        <v>Mensuales</v>
      </c>
      <c r="AI94" s="466">
        <f>IF(ISERROR(VLOOKUP(T94,'Base de Datos'!$E$7:$AR$302,21,0))=TRUE," ",(VLOOKUP(T94,'Base de Datos'!$E$7:$AR$302,21,0)))</f>
        <v>1</v>
      </c>
      <c r="AJ94" s="455"/>
      <c r="AK94" s="455" t="str">
        <f>IF(ISERROR(VLOOKUP(D94,'Base de Datos'!$C$7:$AR$400,2,0))=TRUE," ",(VLOOKUP(D94,'Base de Datos'!$C$7:$AR$400,2,0)))</f>
        <v>2015160</v>
      </c>
      <c r="AL94" s="455" t="str">
        <f>IF(ISERROR(VLOOKUP(D94,'Base de Datos'!$C$7:$AR$400,3,0))=TRUE," ",(VLOOKUP(D94,'Base de Datos'!$C$7:$AR$400,3,0)))</f>
        <v>150400-0-2015</v>
      </c>
      <c r="AM94" s="458"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8">
        <f>IF(ISERROR(VLOOKUP(D94,'Base de Datos'!$C$7:$AR$400,20,0))=TRUE," ",(VLOOKUP(D94,'Base de Datos'!$C$7:$AR$400,19,0)))</f>
        <v>517500000</v>
      </c>
      <c r="AO94" s="461">
        <f>IF(ISERROR(VLOOKUP(D94,'Base de Datos'!$C$7:$AR$400,9,0))=TRUE," ",(VLOOKUP(D94,'Base de Datos'!$C$7:$AR$400,9,0)))</f>
        <v>2015</v>
      </c>
      <c r="AP94" s="461">
        <f>IF(ISERROR(VLOOKUP(D94,'Base de Datos'!$C$7:$AR$400,10,0))=TRUE," ",(VLOOKUP(D94,'Base de Datos'!$C$7:$AR$400,10,0)))</f>
        <v>42349</v>
      </c>
      <c r="AQ94" s="463">
        <f>IF(ISERROR(VLOOKUP(D94,'Base de Datos'!$C$7:$AR$400,11,0))=TRUE," ",(VLOOKUP(D94,'Base de Datos'!$C$7:$AR$400,11,0)))</f>
        <v>42383</v>
      </c>
      <c r="AR94" s="464">
        <f>IF(ISERROR(VLOOKUP(D94,'Base de Datos'!$C$7:$AR$400,12,0))=TRUE," ",(VLOOKUP(D94,'Base de Datos'!$C$7:$AR$400,12,0)))</f>
        <v>42627</v>
      </c>
      <c r="AS94" s="463">
        <f>IF(ISERROR(VLOOKUP(D94,'Base de Datos'!$C$7:$AR$400,13,0))=TRUE," ",(VLOOKUP(D94,'Base de Datos'!$C$7:$AR$400,13,0)))</f>
        <v>1</v>
      </c>
      <c r="AT94" s="463">
        <f>IF(ISERROR(VLOOKUP(D94,'Base de Datos'!$C$7:$AR$400,14,0))=TRUE," ",(VLOOKUP(D94,'Base de Datos'!$C$7:$AR$400,14,0)))</f>
        <v>172500000</v>
      </c>
      <c r="AU94" s="461" t="str">
        <f>IF(ISERROR(VLOOKUP(D94,'Base de Datos'!$C$7:$AR$400,16,0))=TRUE," ",(VLOOKUP(D94,'Base de Datos'!$C$7:$AR$400,16,0)))</f>
        <v>4 meses             17 días</v>
      </c>
      <c r="AV94" s="465">
        <f>IF(ISERROR(VLOOKUP(D94,'Base de Datos'!$C$7:$AR$400,17,0))=TRUE," ",(VLOOKUP(D94,'Base de Datos'!$C$7:$AR$400,17,0)))</f>
        <v>42766</v>
      </c>
      <c r="AW94" s="465">
        <f>IF(ISERROR(VLOOKUP(D94,'Base de Datos'!$C$7:$AR$400,18,0))=TRUE," ",(VLOOKUP(D94,'Base de Datos'!$C$7:$AR$400,18,0)))</f>
        <v>42766</v>
      </c>
      <c r="AX94" s="465">
        <f>IF(ISERROR(VLOOKUP(D94,'Base de Datos'!$C$7:$AR$400,19,0))=TRUE," ",(VLOOKUP(D94,'Base de Datos'!$C$7:$AR$400,19,0)))</f>
        <v>517500000</v>
      </c>
      <c r="AY94" s="468">
        <f>IF(ISERROR(VLOOKUP(D94,'Base de Datos'!$C$7:$AR$400,21,0))=TRUE," ",(VLOOKUP(D94,'Base de Datos'!$C$7:$AR$400,21,0)))</f>
        <v>1105786</v>
      </c>
      <c r="AZ94" s="468" t="str">
        <f>IF(ISERROR(VLOOKUP(D94,'Base de Datos'!$C$7:$AR$400,22,0))=TRUE," ",(VLOOKUP(D94,'Base de Datos'!$C$7:$AR$400,22,0)))</f>
        <v>Mensualidades vencidas de acuerdo a los servicios prestados</v>
      </c>
      <c r="BA94" s="475"/>
      <c r="BB94" s="485"/>
    </row>
    <row r="95" spans="2:54" ht="55.5" hidden="1" customHeight="1" x14ac:dyDescent="0.25">
      <c r="B95" s="438">
        <v>88</v>
      </c>
      <c r="C95" s="446" t="s">
        <v>1645</v>
      </c>
      <c r="D95" s="438">
        <v>161</v>
      </c>
      <c r="E95" s="446" t="s">
        <v>1675</v>
      </c>
      <c r="F95" s="447">
        <f>VLOOKUP(D95,'Presupuesto - PAA 2015'!$B$10:$E$265,4,0)</f>
        <v>1291938453</v>
      </c>
      <c r="G95" s="439" t="str">
        <f>VLOOKUP(D95,'[3]Seguimiento Plan'!$C$2:$R$101,16,0)</f>
        <v>Prestar los servicios de producción y transmisión de  programas de televisión para el Concejo de Bogotá-</v>
      </c>
      <c r="H95" s="439" t="s">
        <v>1779</v>
      </c>
      <c r="I95" s="439" t="s">
        <v>1722</v>
      </c>
      <c r="J95" s="448" t="s">
        <v>908</v>
      </c>
      <c r="K95" s="449" t="s">
        <v>390</v>
      </c>
      <c r="L95" s="449" t="str">
        <f>VLOOKUP(D95,'[3]Seguimiento Plan'!$C$2:$AJ$101,30,0)</f>
        <v>SI</v>
      </c>
      <c r="M95" s="450">
        <f>VLOOKUP(D95,'[3]Seguimiento Plan'!$C$2:$AJ$101,31,0)</f>
        <v>42066</v>
      </c>
      <c r="N95" s="449" t="s">
        <v>1814</v>
      </c>
      <c r="O95" s="451"/>
      <c r="P95" s="451"/>
      <c r="Q95" s="451"/>
      <c r="R95" s="452"/>
      <c r="S95" s="452"/>
      <c r="T95" s="351" t="s">
        <v>1111</v>
      </c>
      <c r="U95" s="455" t="str">
        <f>IF(ISERROR(VLOOKUP(T95,'Base de Datos'!$E$7:$AR$302,3,0))=TRUE," ",(VLOOKUP(T95,'Base de Datos'!$E$7:$AR$302,2,0)))</f>
        <v>CANAL REGIONAL DE TELEVISION TEVEANDINA LTDA - TEVEANDINA LTDA</v>
      </c>
      <c r="V95" s="458">
        <f>IF(ISERROR(VLOOKUP(T95,'Base de Datos'!$E$7:$AR$302,5,0))=TRUE," ",(VLOOKUP(T95,'Base de Datos'!$E$7:$AR$302,5,0)))</f>
        <v>818527824</v>
      </c>
      <c r="W95" s="455">
        <f>IF(ISERROR(VLOOKUP(T95,'Base de Datos'!$E$7:$AR$302,19,0))=TRUE," ",(VLOOKUP(T95,'Base de Datos'!$E$7:$AR$302,19,0)))</f>
        <v>17737116</v>
      </c>
      <c r="X95" s="460" t="str">
        <f>IF(ISERROR(VLOOKUP(T95,'Base de Datos'!$E$7:$AR$302,8,0))=TRUE," ",(VLOOKUP(T95,'Base de Datos'!$E$7:$AR$302,8,0)))</f>
        <v xml:space="preserve"> </v>
      </c>
      <c r="Y95" s="460">
        <f>IF(ISERROR(VLOOKUP(T95,'Base de Datos'!$E$7:$AR$302,9,0))=TRUE," ",(VLOOKUP(T95,'Base de Datos'!$E$7:$AR$302,9,0)))</f>
        <v>41921</v>
      </c>
      <c r="Z95" s="454">
        <f>IF(ISERROR(VLOOKUP(T95,'Base de Datos'!$E$7:$AR$302,10,0))=TRUE," ",(VLOOKUP(T95,'Base de Datos'!$E$7:$AR$302,10,0)))</f>
        <v>42102</v>
      </c>
      <c r="AA95" s="457">
        <f>IF(ISERROR(VLOOKUP(T95,'Base de Datos'!$E$7:$AR$302,11,0))=TRUE," ",(VLOOKUP(T95,'Base de Datos'!$E$7:$AR$302,11,0)))</f>
        <v>0</v>
      </c>
      <c r="AB95" s="454">
        <f>IF(ISERROR(VLOOKUP(T95,'Base de Datos'!$E$7:$AR$302,12,0))=TRUE," ",(VLOOKUP(T95,'Base de Datos'!$E$7:$AR$302,12,0)))</f>
        <v>0</v>
      </c>
      <c r="AC95" s="454">
        <f>IF(ISERROR(VLOOKUP(T95,'Base de Datos'!$E$7:$AR$302,12,0))=TRUE," ",(VLOOKUP(T95,'Base de Datos'!$E$7:$AR$302,12,0)))</f>
        <v>0</v>
      </c>
      <c r="AD95" s="460">
        <f>IF(ISERROR(VLOOKUP(T95,'Base de Datos'!$E$7:$AR$302,15,0))=TRUE," ",(VLOOKUP(T95,'Base de Datos'!$E$7:$AR$302,15,0)))</f>
        <v>42116</v>
      </c>
      <c r="AE95" s="465">
        <f>IF(ISERROR(VLOOKUP(T95,'Base de Datos'!$E$7:$AR$302,16,0))=TRUE," ",(VLOOKUP(T95,'Base de Datos'!$E$7:$AR$302,16,0)))</f>
        <v>42116</v>
      </c>
      <c r="AF95" s="465">
        <f>IF(ISERROR(VLOOKUP(T95,'Base de Datos'!$E$7:$AR$302,17,0))=TRUE," ",(VLOOKUP(T95,'Base de Datos'!$E$7:$AR$302,17,0)))</f>
        <v>818527824</v>
      </c>
      <c r="AG95" s="465">
        <f>IF(ISERROR(VLOOKUP(T95,'Base de Datos'!$E$7:$AR$302,18,0))=TRUE," ",(VLOOKUP(T95,'Base de Datos'!$E$7:$AR$302,18,0)))</f>
        <v>800790708</v>
      </c>
      <c r="AH95" s="466">
        <f>IF(ISERROR(VLOOKUP(T95,'Base de Datos'!$E$7:$AR$302,20,0))=TRUE," ",(VLOOKUP(T95,'Base de Datos'!$E$7:$AR$302,20,0)))</f>
        <v>0</v>
      </c>
      <c r="AI95" s="466">
        <f>IF(ISERROR(VLOOKUP(T95,'Base de Datos'!$E$7:$AR$302,21,0))=TRUE," ",(VLOOKUP(T95,'Base de Datos'!$E$7:$AR$302,21,0)))</f>
        <v>0.97833046662565259</v>
      </c>
      <c r="AJ95" s="469">
        <v>42135</v>
      </c>
      <c r="AK95" s="455" t="str">
        <f>IF(ISERROR(VLOOKUP(D95,'Base de Datos'!$C$7:$AR$400,2,0))=TRUE," ",(VLOOKUP(D95,'Base de Datos'!$C$7:$AR$400,2,0)))</f>
        <v>2015161</v>
      </c>
      <c r="AL95" s="455" t="str">
        <f>IF(ISERROR(VLOOKUP(D95,'Base de Datos'!$C$7:$AR$400,3,0))=TRUE," ",(VLOOKUP(D95,'Base de Datos'!$C$7:$AR$400,3,0)))</f>
        <v>150225-0-2015</v>
      </c>
      <c r="AM95" s="458" t="str">
        <f>IF(ISERROR(VLOOKUP(D95,'Base de Datos'!$C$7:$AR$4014,6,0))=TRUE," ",(VLOOKUP(D95,'Base de Datos'!$C$7:$AR$400,6,0)))</f>
        <v>Realizar la producción y trasmisión de programas de televisión para el Concejo de Bogotá.</v>
      </c>
      <c r="AN95" s="458">
        <f>IF(ISERROR(VLOOKUP(D95,'Base de Datos'!$C$7:$AR$400,20,0))=TRUE," ",(VLOOKUP(D95,'Base de Datos'!$C$7:$AR$400,19,0)))</f>
        <v>1433352777</v>
      </c>
      <c r="AO95" s="461">
        <f>IF(ISERROR(VLOOKUP(D95,'Base de Datos'!$C$7:$AR$400,9,0))=TRUE," ",(VLOOKUP(D95,'Base de Datos'!$C$7:$AR$400,9,0)))</f>
        <v>2015</v>
      </c>
      <c r="AP95" s="461">
        <f>IF(ISERROR(VLOOKUP(D95,'Base de Datos'!$C$7:$AR$400,10,0))=TRUE," ",(VLOOKUP(D95,'Base de Datos'!$C$7:$AR$400,10,0)))</f>
        <v>42135</v>
      </c>
      <c r="AQ95" s="463">
        <f>IF(ISERROR(VLOOKUP(D95,'Base de Datos'!$C$7:$AR$400,11,0))=TRUE," ",(VLOOKUP(D95,'Base de Datos'!$C$7:$AR$400,11,0)))</f>
        <v>42139</v>
      </c>
      <c r="AR95" s="464">
        <f>IF(ISERROR(VLOOKUP(D95,'Base de Datos'!$C$7:$AR$400,12,0))=TRUE," ",(VLOOKUP(D95,'Base de Datos'!$C$7:$AR$400,12,0)))</f>
        <v>42421</v>
      </c>
      <c r="AS95" s="463">
        <f>IF(ISERROR(VLOOKUP(D95,'Base de Datos'!$C$7:$AR$400,13,0))=TRUE," ",(VLOOKUP(D95,'Base de Datos'!$C$7:$AR$400,13,0)))</f>
        <v>1</v>
      </c>
      <c r="AT95" s="463">
        <f>IF(ISERROR(VLOOKUP(D95,'Base de Datos'!$C$7:$AR$400,14,0))=TRUE," ",(VLOOKUP(D95,'Base de Datos'!$C$7:$AR$400,14,0)))</f>
        <v>141414324</v>
      </c>
      <c r="AU95" s="461" t="str">
        <f>IF(ISERROR(VLOOKUP(D95,'Base de Datos'!$C$7:$AR$400,16,0))=TRUE," ",(VLOOKUP(D95,'Base de Datos'!$C$7:$AR$400,16,0)))</f>
        <v>2 meses</v>
      </c>
      <c r="AV95" s="465">
        <f>IF(ISERROR(VLOOKUP(D95,'Base de Datos'!$C$7:$AR$400,17,0))=TRUE," ",(VLOOKUP(D95,'Base de Datos'!$C$7:$AR$400,17,0)))</f>
        <v>42450</v>
      </c>
      <c r="AW95" s="465">
        <f>IF(ISERROR(VLOOKUP(D95,'Base de Datos'!$C$7:$AR$400,18,0))=TRUE," ",(VLOOKUP(D95,'Base de Datos'!$C$7:$AR$400,18,0)))</f>
        <v>42450</v>
      </c>
      <c r="AX95" s="465">
        <f>IF(ISERROR(VLOOKUP(D95,'Base de Datos'!$C$7:$AR$400,19,0))=TRUE," ",(VLOOKUP(D95,'Base de Datos'!$C$7:$AR$400,19,0)))</f>
        <v>1433352777</v>
      </c>
      <c r="AY95" s="468">
        <f>IF(ISERROR(VLOOKUP(D95,'Base de Datos'!$C$7:$AR$400,21,0))=TRUE," ",(VLOOKUP(D95,'Base de Datos'!$C$7:$AR$400,21,0)))</f>
        <v>0</v>
      </c>
      <c r="AZ95" s="468" t="str">
        <f>IF(ISERROR(VLOOKUP(D95,'Base de Datos'!$C$7:$AR$400,22,0))=TRUE," ",(VLOOKUP(D95,'Base de Datos'!$C$7:$AR$400,22,0)))</f>
        <v>Mensualidades vencidas de acuerdo a la emisión de programas</v>
      </c>
      <c r="BA95" s="475"/>
      <c r="BB95" s="485"/>
    </row>
    <row r="96" spans="2:54" ht="55.5" hidden="1" customHeight="1" x14ac:dyDescent="0.25">
      <c r="B96" s="438">
        <v>89</v>
      </c>
      <c r="C96" s="446" t="s">
        <v>1678</v>
      </c>
      <c r="D96" s="438">
        <v>70</v>
      </c>
      <c r="E96" s="446" t="s">
        <v>1682</v>
      </c>
      <c r="F96" s="447">
        <f>VLOOKUP(D96,'Presupuesto - PAA 2015'!$B$10:$E$265,4,0)</f>
        <v>31577404</v>
      </c>
      <c r="G96" s="439" t="str">
        <f>VLOOKUP(D96,'[3]Seguimiento Plan'!$C$2:$R$101,16,0)</f>
        <v>Adquisición de la licencia TOAD para el Concejo de Bogotá.</v>
      </c>
      <c r="H96" s="439" t="s">
        <v>1780</v>
      </c>
      <c r="I96" s="439" t="s">
        <v>1715</v>
      </c>
      <c r="J96" s="448" t="s">
        <v>909</v>
      </c>
      <c r="K96" s="449" t="s">
        <v>390</v>
      </c>
      <c r="L96" s="449" t="str">
        <f>VLOOKUP(D96,'[3]Seguimiento Plan'!$C$2:$AJ$101,30,0)</f>
        <v>SI</v>
      </c>
      <c r="M96" s="450">
        <f>VLOOKUP(D96,'[3]Seguimiento Plan'!$C$2:$AJ$101,31,0)</f>
        <v>42009</v>
      </c>
      <c r="N96" s="449" t="s">
        <v>1815</v>
      </c>
      <c r="O96" s="451"/>
      <c r="P96" s="451"/>
      <c r="Q96" s="451"/>
      <c r="R96" s="452" t="s">
        <v>2067</v>
      </c>
      <c r="S96" s="709" t="s">
        <v>2066</v>
      </c>
      <c r="T96" s="453"/>
      <c r="U96" s="455" t="str">
        <f>IF(ISERROR(VLOOKUP(T96,'Base de Datos'!$E$7:$AR$302,3,0))=TRUE," ",(VLOOKUP(T96,'Base de Datos'!$E$7:$AR$302,2,0)))</f>
        <v xml:space="preserve"> </v>
      </c>
      <c r="V96" s="458" t="str">
        <f>IF(ISERROR(VLOOKUP(T96,'Base de Datos'!$E$7:$AR$302,5,0))=TRUE," ",(VLOOKUP(T96,'Base de Datos'!$E$7:$AR$302,5,0)))</f>
        <v xml:space="preserve"> </v>
      </c>
      <c r="W96" s="455" t="str">
        <f>IF(ISERROR(VLOOKUP(T96,'Base de Datos'!$E$7:$AR$302,19,0))=TRUE," ",(VLOOKUP(T96,'Base de Datos'!$E$7:$AR$302,19,0)))</f>
        <v xml:space="preserve"> </v>
      </c>
      <c r="X96" s="460" t="str">
        <f>IF(ISERROR(VLOOKUP(T96,'Base de Datos'!$E$7:$AR$302,8,0))=TRUE," ",(VLOOKUP(T96,'Base de Datos'!$E$7:$AR$302,8,0)))</f>
        <v xml:space="preserve"> </v>
      </c>
      <c r="Y96" s="460" t="str">
        <f>IF(ISERROR(VLOOKUP(T96,'Base de Datos'!$E$7:$AR$302,9,0))=TRUE," ",(VLOOKUP(T96,'Base de Datos'!$E$7:$AR$302,9,0)))</f>
        <v xml:space="preserve"> </v>
      </c>
      <c r="Z96" s="454" t="str">
        <f>IF(ISERROR(VLOOKUP(T96,'Base de Datos'!$E$7:$AR$302,10,0))=TRUE," ",(VLOOKUP(T96,'Base de Datos'!$E$7:$AR$302,10,0)))</f>
        <v xml:space="preserve"> </v>
      </c>
      <c r="AA96" s="457" t="str">
        <f>IF(ISERROR(VLOOKUP(T96,'Base de Datos'!$E$7:$AR$302,11,0))=TRUE," ",(VLOOKUP(T96,'Base de Datos'!$E$7:$AR$302,11,0)))</f>
        <v xml:space="preserve"> </v>
      </c>
      <c r="AB96" s="454" t="str">
        <f>IF(ISERROR(VLOOKUP(T96,'Base de Datos'!$E$7:$AR$302,12,0))=TRUE," ",(VLOOKUP(T96,'Base de Datos'!$E$7:$AR$302,12,0)))</f>
        <v xml:space="preserve"> </v>
      </c>
      <c r="AC96" s="454" t="str">
        <f>IF(ISERROR(VLOOKUP(T96,'Base de Datos'!$E$7:$AR$302,12,0))=TRUE," ",(VLOOKUP(T96,'Base de Datos'!$E$7:$AR$302,12,0)))</f>
        <v xml:space="preserve"> </v>
      </c>
      <c r="AD96" s="460" t="str">
        <f>IF(ISERROR(VLOOKUP(T96,'Base de Datos'!$E$7:$AR$302,15,0))=TRUE," ",(VLOOKUP(T96,'Base de Datos'!$E$7:$AR$302,15,0)))</f>
        <v xml:space="preserve"> </v>
      </c>
      <c r="AE96" s="465" t="str">
        <f>IF(ISERROR(VLOOKUP(T96,'Base de Datos'!$E$7:$AR$302,16,0))=TRUE," ",(VLOOKUP(T96,'Base de Datos'!$E$7:$AR$302,16,0)))</f>
        <v xml:space="preserve"> </v>
      </c>
      <c r="AF96" s="465" t="str">
        <f>IF(ISERROR(VLOOKUP(T96,'Base de Datos'!$E$7:$AR$302,17,0))=TRUE," ",(VLOOKUP(T96,'Base de Datos'!$E$7:$AR$302,17,0)))</f>
        <v xml:space="preserve"> </v>
      </c>
      <c r="AG96" s="465" t="str">
        <f>IF(ISERROR(VLOOKUP(T96,'Base de Datos'!$E$7:$AR$302,18,0))=TRUE," ",(VLOOKUP(T96,'Base de Datos'!$E$7:$AR$302,18,0)))</f>
        <v xml:space="preserve"> </v>
      </c>
      <c r="AH96" s="466" t="str">
        <f>IF(ISERROR(VLOOKUP(T96,'Base de Datos'!$E$7:$AR$302,20,0))=TRUE," ",(VLOOKUP(T96,'Base de Datos'!$E$7:$AR$302,20,0)))</f>
        <v xml:space="preserve"> </v>
      </c>
      <c r="AI96" s="466" t="str">
        <f>IF(ISERROR(VLOOKUP(T96,'Base de Datos'!$E$7:$AR$302,21,0))=TRUE," ",(VLOOKUP(T96,'Base de Datos'!$E$7:$AR$302,21,0)))</f>
        <v xml:space="preserve"> </v>
      </c>
      <c r="AJ96" s="455"/>
      <c r="AK96" s="455" t="str">
        <f>IF(ISERROR(VLOOKUP(D96,'Base de Datos'!$C$7:$AR$400,2,0))=TRUE," ",(VLOOKUP(D96,'Base de Datos'!$C$7:$AR$400,2,0)))</f>
        <v>201570</v>
      </c>
      <c r="AL96" s="455" t="str">
        <f>IF(ISERROR(VLOOKUP(D96,'Base de Datos'!$C$7:$AR$400,3,0))=TRUE," ",(VLOOKUP(D96,'Base de Datos'!$C$7:$AR$400,3,0)))</f>
        <v>150321-0-2015</v>
      </c>
      <c r="AM96" s="458" t="str">
        <f>IF(ISERROR(VLOOKUP(D96,'Base de Datos'!$C$7:$AR$4014,6,0))=TRUE," ",(VLOOKUP(D96,'Base de Datos'!$C$7:$AR$400,6,0)))</f>
        <v>Adquisión de la licencia TOAD para el Concejo de Bogotá.</v>
      </c>
      <c r="AN96" s="458">
        <f>IF(ISERROR(VLOOKUP(D96,'Base de Datos'!$C$7:$AR$400,20,0))=TRUE," ",(VLOOKUP(D96,'Base de Datos'!$C$7:$AR$400,19,0)))</f>
        <v>31577404</v>
      </c>
      <c r="AO96" s="461">
        <f>IF(ISERROR(VLOOKUP(D96,'Base de Datos'!$C$7:$AR$400,9,0))=TRUE," ",(VLOOKUP(D96,'Base de Datos'!$C$7:$AR$400,9,0)))</f>
        <v>2015</v>
      </c>
      <c r="AP96" s="461">
        <f>IF(ISERROR(VLOOKUP(D96,'Base de Datos'!$C$7:$AR$400,10,0))=TRUE," ",(VLOOKUP(D96,'Base de Datos'!$C$7:$AR$400,10,0)))</f>
        <v>42208</v>
      </c>
      <c r="AQ96" s="463">
        <f>IF(ISERROR(VLOOKUP(D96,'Base de Datos'!$C$7:$AR$400,11,0))=TRUE," ",(VLOOKUP(D96,'Base de Datos'!$C$7:$AR$400,11,0)))</f>
        <v>42221</v>
      </c>
      <c r="AR96" s="464">
        <f>IF(ISERROR(VLOOKUP(D96,'Base de Datos'!$C$7:$AR$400,12,0))=TRUE," ",(VLOOKUP(D96,'Base de Datos'!$C$7:$AR$400,12,0)))</f>
        <v>42282</v>
      </c>
      <c r="AS96" s="463">
        <f>IF(ISERROR(VLOOKUP(D96,'Base de Datos'!$C$7:$AR$400,13,0))=TRUE," ",(VLOOKUP(D96,'Base de Datos'!$C$7:$AR$400,13,0)))</f>
        <v>0</v>
      </c>
      <c r="AT96" s="463">
        <f>IF(ISERROR(VLOOKUP(D96,'Base de Datos'!$C$7:$AR$400,14,0))=TRUE," ",(VLOOKUP(D96,'Base de Datos'!$C$7:$AR$400,14,0)))</f>
        <v>0</v>
      </c>
      <c r="AU96" s="461" t="str">
        <f>IF(ISERROR(VLOOKUP(D96,'Base de Datos'!$C$7:$AR$400,16,0))=TRUE," ",(VLOOKUP(D96,'Base de Datos'!$C$7:$AR$400,16,0)))</f>
        <v/>
      </c>
      <c r="AV96" s="465" t="str">
        <f>IF(ISERROR(VLOOKUP(D96,'Base de Datos'!$C$7:$AR$400,17,0))=TRUE," ",(VLOOKUP(D96,'Base de Datos'!$C$7:$AR$400,17,0)))</f>
        <v/>
      </c>
      <c r="AW96" s="465">
        <f>IF(ISERROR(VLOOKUP(D96,'Base de Datos'!$C$7:$AR$400,18,0))=TRUE," ",(VLOOKUP(D96,'Base de Datos'!$C$7:$AR$400,18,0)))</f>
        <v>42282</v>
      </c>
      <c r="AX96" s="465">
        <f>IF(ISERROR(VLOOKUP(D96,'Base de Datos'!$C$7:$AR$400,19,0))=TRUE," ",(VLOOKUP(D96,'Base de Datos'!$C$7:$AR$400,19,0)))</f>
        <v>31577404</v>
      </c>
      <c r="AY96" s="468">
        <f>IF(ISERROR(VLOOKUP(D96,'Base de Datos'!$C$7:$AR$400,21,0))=TRUE," ",(VLOOKUP(D96,'Base de Datos'!$C$7:$AR$400,21,0)))</f>
        <v>31577404</v>
      </c>
      <c r="AZ96" s="468" t="str">
        <f>IF(ISERROR(VLOOKUP(D96,'Base de Datos'!$C$7:$AR$400,22,0))=TRUE," ",(VLOOKUP(D96,'Base de Datos'!$C$7:$AR$400,22,0)))</f>
        <v>Un pago único</v>
      </c>
      <c r="BA96" s="475"/>
      <c r="BB96" s="485"/>
    </row>
    <row r="97" spans="2:54" ht="55.5" hidden="1" customHeight="1" x14ac:dyDescent="0.25">
      <c r="B97" s="438">
        <v>90</v>
      </c>
      <c r="C97" s="446" t="s">
        <v>1678</v>
      </c>
      <c r="D97" s="438">
        <v>71</v>
      </c>
      <c r="E97" s="446" t="s">
        <v>1682</v>
      </c>
      <c r="F97" s="447">
        <f>VLOOKUP(D97,'Presupuesto - PAA 2015'!$B$10:$E$265,4,0)</f>
        <v>11167296</v>
      </c>
      <c r="G97" s="439" t="str">
        <f>VLOOKUP(D97,'[3]Seguimiento Plan'!$C$2:$R$101,16,0)</f>
        <v>Adquisición de licencias de servidores Windows Server 2012 para el Concejo de Bogotá.</v>
      </c>
      <c r="H97" s="439" t="s">
        <v>1780</v>
      </c>
      <c r="I97" s="439" t="s">
        <v>1715</v>
      </c>
      <c r="J97" s="448" t="s">
        <v>909</v>
      </c>
      <c r="K97" s="449" t="s">
        <v>390</v>
      </c>
      <c r="L97" s="449" t="str">
        <f>VLOOKUP(D97,'[3]Seguimiento Plan'!$C$2:$AJ$101,30,0)</f>
        <v>SI</v>
      </c>
      <c r="M97" s="450">
        <f>VLOOKUP(D97,'[3]Seguimiento Plan'!$C$2:$AJ$101,31,0)</f>
        <v>42093</v>
      </c>
      <c r="N97" s="449" t="s">
        <v>1816</v>
      </c>
      <c r="O97" s="451"/>
      <c r="P97" s="451"/>
      <c r="Q97" s="451"/>
      <c r="R97" s="452"/>
      <c r="S97" s="470" t="s">
        <v>1899</v>
      </c>
      <c r="T97" s="453"/>
      <c r="U97" s="455" t="str">
        <f>IF(ISERROR(VLOOKUP(T97,'Base de Datos'!$E$7:$AR$302,3,0))=TRUE," ",(VLOOKUP(T97,'Base de Datos'!$E$7:$AR$302,2,0)))</f>
        <v xml:space="preserve"> </v>
      </c>
      <c r="V97" s="458" t="str">
        <f>IF(ISERROR(VLOOKUP(T97,'Base de Datos'!$E$7:$AR$302,5,0))=TRUE," ",(VLOOKUP(T97,'Base de Datos'!$E$7:$AR$302,5,0)))</f>
        <v xml:space="preserve"> </v>
      </c>
      <c r="W97" s="455" t="str">
        <f>IF(ISERROR(VLOOKUP(T97,'Base de Datos'!$E$7:$AR$302,19,0))=TRUE," ",(VLOOKUP(T97,'Base de Datos'!$E$7:$AR$302,19,0)))</f>
        <v xml:space="preserve"> </v>
      </c>
      <c r="X97" s="460" t="str">
        <f>IF(ISERROR(VLOOKUP(T97,'Base de Datos'!$E$7:$AR$302,8,0))=TRUE," ",(VLOOKUP(T97,'Base de Datos'!$E$7:$AR$302,8,0)))</f>
        <v xml:space="preserve"> </v>
      </c>
      <c r="Y97" s="460" t="str">
        <f>IF(ISERROR(VLOOKUP(T97,'Base de Datos'!$E$7:$AR$302,9,0))=TRUE," ",(VLOOKUP(T97,'Base de Datos'!$E$7:$AR$302,9,0)))</f>
        <v xml:space="preserve"> </v>
      </c>
      <c r="Z97" s="454" t="str">
        <f>IF(ISERROR(VLOOKUP(T97,'Base de Datos'!$E$7:$AR$302,10,0))=TRUE," ",(VLOOKUP(T97,'Base de Datos'!$E$7:$AR$302,10,0)))</f>
        <v xml:space="preserve"> </v>
      </c>
      <c r="AA97" s="457" t="str">
        <f>IF(ISERROR(VLOOKUP(T97,'Base de Datos'!$E$7:$AR$302,11,0))=TRUE," ",(VLOOKUP(T97,'Base de Datos'!$E$7:$AR$302,11,0)))</f>
        <v xml:space="preserve"> </v>
      </c>
      <c r="AB97" s="454" t="str">
        <f>IF(ISERROR(VLOOKUP(T97,'Base de Datos'!$E$7:$AR$302,12,0))=TRUE," ",(VLOOKUP(T97,'Base de Datos'!$E$7:$AR$302,12,0)))</f>
        <v xml:space="preserve"> </v>
      </c>
      <c r="AC97" s="454" t="str">
        <f>IF(ISERROR(VLOOKUP(T97,'Base de Datos'!$E$7:$AR$302,12,0))=TRUE," ",(VLOOKUP(T97,'Base de Datos'!$E$7:$AR$302,12,0)))</f>
        <v xml:space="preserve"> </v>
      </c>
      <c r="AD97" s="460" t="str">
        <f>IF(ISERROR(VLOOKUP(T97,'Base de Datos'!$E$7:$AR$302,15,0))=TRUE," ",(VLOOKUP(T97,'Base de Datos'!$E$7:$AR$302,15,0)))</f>
        <v xml:space="preserve"> </v>
      </c>
      <c r="AE97" s="465" t="str">
        <f>IF(ISERROR(VLOOKUP(T97,'Base de Datos'!$E$7:$AR$302,16,0))=TRUE," ",(VLOOKUP(T97,'Base de Datos'!$E$7:$AR$302,16,0)))</f>
        <v xml:space="preserve"> </v>
      </c>
      <c r="AF97" s="465" t="str">
        <f>IF(ISERROR(VLOOKUP(T97,'Base de Datos'!$E$7:$AR$302,17,0))=TRUE," ",(VLOOKUP(T97,'Base de Datos'!$E$7:$AR$302,17,0)))</f>
        <v xml:space="preserve"> </v>
      </c>
      <c r="AG97" s="465" t="str">
        <f>IF(ISERROR(VLOOKUP(T97,'Base de Datos'!$E$7:$AR$302,18,0))=TRUE," ",(VLOOKUP(T97,'Base de Datos'!$E$7:$AR$302,18,0)))</f>
        <v xml:space="preserve"> </v>
      </c>
      <c r="AH97" s="466" t="str">
        <f>IF(ISERROR(VLOOKUP(T97,'Base de Datos'!$E$7:$AR$302,20,0))=TRUE," ",(VLOOKUP(T97,'Base de Datos'!$E$7:$AR$302,20,0)))</f>
        <v xml:space="preserve"> </v>
      </c>
      <c r="AI97" s="466" t="str">
        <f>IF(ISERROR(VLOOKUP(T97,'Base de Datos'!$E$7:$AR$302,21,0))=TRUE," ",(VLOOKUP(T97,'Base de Datos'!$E$7:$AR$302,21,0)))</f>
        <v xml:space="preserve"> </v>
      </c>
      <c r="AJ97" s="469">
        <v>42167</v>
      </c>
      <c r="AK97" s="455" t="str">
        <f>IF(ISERROR(VLOOKUP(D97,'Base de Datos'!$C$7:$AR$400,2,0))=TRUE," ",(VLOOKUP(D97,'Base de Datos'!$C$7:$AR$400,2,0)))</f>
        <v>201571</v>
      </c>
      <c r="AL97" s="455" t="str">
        <f>IF(ISERROR(VLOOKUP(D97,'Base de Datos'!$C$7:$AR$400,3,0))=TRUE," ",(VLOOKUP(D97,'Base de Datos'!$C$7:$AR$400,3,0)))</f>
        <v>150254-0-2015</v>
      </c>
      <c r="AM97" s="458" t="str">
        <f>IF(ISERROR(VLOOKUP(D97,'Base de Datos'!$C$7:$AR$4014,6,0))=TRUE," ",(VLOOKUP(D97,'Base de Datos'!$C$7:$AR$400,6,0)))</f>
        <v>Adquisición de licencias de servidores Windows Server 2012 para el Concejo de Bogotá, de conformidad con lo establecido en la presente invitación pública</v>
      </c>
      <c r="AN97" s="458">
        <f>IF(ISERROR(VLOOKUP(D97,'Base de Datos'!$C$7:$AR$400,20,0))=TRUE," ",(VLOOKUP(D97,'Base de Datos'!$C$7:$AR$400,19,0)))</f>
        <v>11167296</v>
      </c>
      <c r="AO97" s="461">
        <f>IF(ISERROR(VLOOKUP(D97,'Base de Datos'!$C$7:$AR$400,9,0))=TRUE," ",(VLOOKUP(D97,'Base de Datos'!$C$7:$AR$400,9,0)))</f>
        <v>2015</v>
      </c>
      <c r="AP97" s="461">
        <f>IF(ISERROR(VLOOKUP(D97,'Base de Datos'!$C$7:$AR$400,10,0))=TRUE," ",(VLOOKUP(D97,'Base de Datos'!$C$7:$AR$400,10,0)))</f>
        <v>42167</v>
      </c>
      <c r="AQ97" s="463">
        <f>IF(ISERROR(VLOOKUP(D97,'Base de Datos'!$C$7:$AR$400,11,0))=TRUE," ",(VLOOKUP(D97,'Base de Datos'!$C$7:$AR$400,11,0)))</f>
        <v>42188</v>
      </c>
      <c r="AR97" s="464">
        <f>IF(ISERROR(VLOOKUP(D97,'Base de Datos'!$C$7:$AR$400,12,0))=TRUE," ",(VLOOKUP(D97,'Base de Datos'!$C$7:$AR$400,12,0)))</f>
        <v>42250</v>
      </c>
      <c r="AS97" s="463">
        <f>IF(ISERROR(VLOOKUP(D97,'Base de Datos'!$C$7:$AR$400,13,0))=TRUE," ",(VLOOKUP(D97,'Base de Datos'!$C$7:$AR$400,13,0)))</f>
        <v>0</v>
      </c>
      <c r="AT97" s="463">
        <f>IF(ISERROR(VLOOKUP(D97,'Base de Datos'!$C$7:$AR$400,14,0))=TRUE," ",(VLOOKUP(D97,'Base de Datos'!$C$7:$AR$400,14,0)))</f>
        <v>0</v>
      </c>
      <c r="AU97" s="461" t="str">
        <f>IF(ISERROR(VLOOKUP(D97,'Base de Datos'!$C$7:$AR$400,16,0))=TRUE," ",(VLOOKUP(D97,'Base de Datos'!$C$7:$AR$400,16,0)))</f>
        <v/>
      </c>
      <c r="AV97" s="465" t="str">
        <f>IF(ISERROR(VLOOKUP(D97,'Base de Datos'!$C$7:$AR$400,17,0))=TRUE," ",(VLOOKUP(D97,'Base de Datos'!$C$7:$AR$400,17,0)))</f>
        <v/>
      </c>
      <c r="AW97" s="465">
        <f>IF(ISERROR(VLOOKUP(D97,'Base de Datos'!$C$7:$AR$400,18,0))=TRUE," ",(VLOOKUP(D97,'Base de Datos'!$C$7:$AR$400,18,0)))</f>
        <v>42250</v>
      </c>
      <c r="AX97" s="465">
        <f>IF(ISERROR(VLOOKUP(D97,'Base de Datos'!$C$7:$AR$400,19,0))=TRUE," ",(VLOOKUP(D97,'Base de Datos'!$C$7:$AR$400,19,0)))</f>
        <v>11167296</v>
      </c>
      <c r="AY97" s="468">
        <f>IF(ISERROR(VLOOKUP(D97,'Base de Datos'!$C$7:$AR$400,21,0))=TRUE," ",(VLOOKUP(D97,'Base de Datos'!$C$7:$AR$400,21,0)))</f>
        <v>11167296</v>
      </c>
      <c r="AZ97" s="468" t="str">
        <f>IF(ISERROR(VLOOKUP(D97,'Base de Datos'!$C$7:$AR$400,22,0))=TRUE," ",(VLOOKUP(D97,'Base de Datos'!$C$7:$AR$400,22,0)))</f>
        <v>Pago único</v>
      </c>
      <c r="BA97" s="475"/>
      <c r="BB97" s="485"/>
    </row>
    <row r="98" spans="2:54" ht="55.5" hidden="1" customHeight="1" x14ac:dyDescent="0.25">
      <c r="B98" s="438">
        <v>91</v>
      </c>
      <c r="C98" s="446" t="s">
        <v>1678</v>
      </c>
      <c r="D98" s="438">
        <v>72</v>
      </c>
      <c r="E98" s="446" t="s">
        <v>1682</v>
      </c>
      <c r="F98" s="447" t="e">
        <f>VLOOKUP(D98,'Presupuesto - PAA 2015'!$B$10:$E$265,4,0)</f>
        <v>#N/A</v>
      </c>
      <c r="G98" s="439" t="str">
        <f>VLOOKUP(D98,'[3]Seguimiento Plan'!$C$2:$R$101,16,0)</f>
        <v>Adquisición e instalación tableros eléctricos de red normal  del Concejo de Bogotá.</v>
      </c>
      <c r="H98" s="439" t="s">
        <v>1780</v>
      </c>
      <c r="I98" s="439" t="s">
        <v>1715</v>
      </c>
      <c r="J98" s="448" t="s">
        <v>909</v>
      </c>
      <c r="K98" s="449"/>
      <c r="L98" s="449" t="str">
        <f>VLOOKUP(D98,'[3]Seguimiento Plan'!$C$2:$AJ$101,30,0)</f>
        <v>NA</v>
      </c>
      <c r="M98" s="450">
        <f>VLOOKUP(D98,'[3]Seguimiento Plan'!$C$2:$AJ$101,31,0)</f>
        <v>0</v>
      </c>
      <c r="N98" s="449"/>
      <c r="O98" s="451"/>
      <c r="P98" s="451"/>
      <c r="Q98" s="451"/>
      <c r="R98" s="449" t="s">
        <v>1817</v>
      </c>
      <c r="S98" s="452"/>
      <c r="T98" s="453"/>
      <c r="U98" s="455" t="str">
        <f>IF(ISERROR(VLOOKUP(T98,'Base de Datos'!$E$7:$AR$302,3,0))=TRUE," ",(VLOOKUP(T98,'Base de Datos'!$E$7:$AR$302,2,0)))</f>
        <v xml:space="preserve"> </v>
      </c>
      <c r="V98" s="458" t="str">
        <f>IF(ISERROR(VLOOKUP(T98,'Base de Datos'!$E$7:$AR$302,5,0))=TRUE," ",(VLOOKUP(T98,'Base de Datos'!$E$7:$AR$302,5,0)))</f>
        <v xml:space="preserve"> </v>
      </c>
      <c r="W98" s="455" t="str">
        <f>IF(ISERROR(VLOOKUP(T98,'Base de Datos'!$E$7:$AR$302,19,0))=TRUE," ",(VLOOKUP(T98,'Base de Datos'!$E$7:$AR$302,19,0)))</f>
        <v xml:space="preserve"> </v>
      </c>
      <c r="X98" s="460" t="str">
        <f>IF(ISERROR(VLOOKUP(T98,'Base de Datos'!$E$7:$AR$302,8,0))=TRUE," ",(VLOOKUP(T98,'Base de Datos'!$E$7:$AR$302,8,0)))</f>
        <v xml:space="preserve"> </v>
      </c>
      <c r="Y98" s="460" t="str">
        <f>IF(ISERROR(VLOOKUP(T98,'Base de Datos'!$E$7:$AR$302,9,0))=TRUE," ",(VLOOKUP(T98,'Base de Datos'!$E$7:$AR$302,9,0)))</f>
        <v xml:space="preserve"> </v>
      </c>
      <c r="Z98" s="454" t="str">
        <f>IF(ISERROR(VLOOKUP(T98,'Base de Datos'!$E$7:$AR$302,10,0))=TRUE," ",(VLOOKUP(T98,'Base de Datos'!$E$7:$AR$302,10,0)))</f>
        <v xml:space="preserve"> </v>
      </c>
      <c r="AA98" s="457" t="str">
        <f>IF(ISERROR(VLOOKUP(T98,'Base de Datos'!$E$7:$AR$302,11,0))=TRUE," ",(VLOOKUP(T98,'Base de Datos'!$E$7:$AR$302,11,0)))</f>
        <v xml:space="preserve"> </v>
      </c>
      <c r="AB98" s="454" t="str">
        <f>IF(ISERROR(VLOOKUP(T98,'Base de Datos'!$E$7:$AR$302,12,0))=TRUE," ",(VLOOKUP(T98,'Base de Datos'!$E$7:$AR$302,12,0)))</f>
        <v xml:space="preserve"> </v>
      </c>
      <c r="AC98" s="454" t="str">
        <f>IF(ISERROR(VLOOKUP(T98,'Base de Datos'!$E$7:$AR$302,12,0))=TRUE," ",(VLOOKUP(T98,'Base de Datos'!$E$7:$AR$302,12,0)))</f>
        <v xml:space="preserve"> </v>
      </c>
      <c r="AD98" s="460" t="str">
        <f>IF(ISERROR(VLOOKUP(T98,'Base de Datos'!$E$7:$AR$302,15,0))=TRUE," ",(VLOOKUP(T98,'Base de Datos'!$E$7:$AR$302,15,0)))</f>
        <v xml:space="preserve"> </v>
      </c>
      <c r="AE98" s="465" t="str">
        <f>IF(ISERROR(VLOOKUP(T98,'Base de Datos'!$E$7:$AR$302,16,0))=TRUE," ",(VLOOKUP(T98,'Base de Datos'!$E$7:$AR$302,16,0)))</f>
        <v xml:space="preserve"> </v>
      </c>
      <c r="AF98" s="465" t="str">
        <f>IF(ISERROR(VLOOKUP(T98,'Base de Datos'!$E$7:$AR$302,17,0))=TRUE," ",(VLOOKUP(T98,'Base de Datos'!$E$7:$AR$302,17,0)))</f>
        <v xml:space="preserve"> </v>
      </c>
      <c r="AG98" s="465" t="str">
        <f>IF(ISERROR(VLOOKUP(T98,'Base de Datos'!$E$7:$AR$302,18,0))=TRUE," ",(VLOOKUP(T98,'Base de Datos'!$E$7:$AR$302,18,0)))</f>
        <v xml:space="preserve"> </v>
      </c>
      <c r="AH98" s="466" t="str">
        <f>IF(ISERROR(VLOOKUP(T98,'Base de Datos'!$E$7:$AR$302,20,0))=TRUE," ",(VLOOKUP(T98,'Base de Datos'!$E$7:$AR$302,20,0)))</f>
        <v xml:space="preserve"> </v>
      </c>
      <c r="AI98" s="466" t="str">
        <f>IF(ISERROR(VLOOKUP(T98,'Base de Datos'!$E$7:$AR$302,21,0))=TRUE," ",(VLOOKUP(T98,'Base de Datos'!$E$7:$AR$302,21,0)))</f>
        <v xml:space="preserve"> </v>
      </c>
      <c r="AJ98" s="455"/>
      <c r="AK98" s="455" t="str">
        <f>IF(ISERROR(VLOOKUP(D98,'Base de Datos'!$C$7:$AR$400,2,0))=TRUE," ",(VLOOKUP(D98,'Base de Datos'!$C$7:$AR$400,2,0)))</f>
        <v xml:space="preserve"> </v>
      </c>
      <c r="AL98" s="455" t="str">
        <f>IF(ISERROR(VLOOKUP(D98,'Base de Datos'!$C$7:$AR$400,3,0))=TRUE," ",(VLOOKUP(D98,'Base de Datos'!$C$7:$AR$400,3,0)))</f>
        <v xml:space="preserve"> </v>
      </c>
      <c r="AM98" s="458" t="str">
        <f>IF(ISERROR(VLOOKUP(D98,'Base de Datos'!$C$7:$AR$4014,6,0))=TRUE," ",(VLOOKUP(D98,'Base de Datos'!$C$7:$AR$400,6,0)))</f>
        <v xml:space="preserve"> </v>
      </c>
      <c r="AN98" s="458" t="str">
        <f>IF(ISERROR(VLOOKUP(D98,'Base de Datos'!$C$7:$AR$400,20,0))=TRUE," ",(VLOOKUP(D98,'Base de Datos'!$C$7:$AR$400,19,0)))</f>
        <v xml:space="preserve"> </v>
      </c>
      <c r="AO98" s="461" t="str">
        <f>IF(ISERROR(VLOOKUP(D98,'Base de Datos'!$C$7:$AR$400,9,0))=TRUE," ",(VLOOKUP(D98,'Base de Datos'!$C$7:$AR$400,9,0)))</f>
        <v xml:space="preserve"> </v>
      </c>
      <c r="AP98" s="461" t="str">
        <f>IF(ISERROR(VLOOKUP(D98,'Base de Datos'!$C$7:$AR$400,10,0))=TRUE," ",(VLOOKUP(D98,'Base de Datos'!$C$7:$AR$400,10,0)))</f>
        <v xml:space="preserve"> </v>
      </c>
      <c r="AQ98" s="463" t="str">
        <f>IF(ISERROR(VLOOKUP(D98,'Base de Datos'!$C$7:$AR$400,11,0))=TRUE," ",(VLOOKUP(D98,'Base de Datos'!$C$7:$AR$400,11,0)))</f>
        <v xml:space="preserve"> </v>
      </c>
      <c r="AR98" s="464" t="str">
        <f>IF(ISERROR(VLOOKUP(D98,'Base de Datos'!$C$7:$AR$400,12,0))=TRUE," ",(VLOOKUP(D98,'Base de Datos'!$C$7:$AR$400,12,0)))</f>
        <v xml:space="preserve"> </v>
      </c>
      <c r="AS98" s="463" t="str">
        <f>IF(ISERROR(VLOOKUP(D98,'Base de Datos'!$C$7:$AR$400,13,0))=TRUE," ",(VLOOKUP(D98,'Base de Datos'!$C$7:$AR$400,13,0)))</f>
        <v xml:space="preserve"> </v>
      </c>
      <c r="AT98" s="463" t="str">
        <f>IF(ISERROR(VLOOKUP(D98,'Base de Datos'!$C$7:$AR$400,14,0))=TRUE," ",(VLOOKUP(D98,'Base de Datos'!$C$7:$AR$400,14,0)))</f>
        <v xml:space="preserve"> </v>
      </c>
      <c r="AU98" s="461" t="str">
        <f>IF(ISERROR(VLOOKUP(D98,'Base de Datos'!$C$7:$AR$400,16,0))=TRUE," ",(VLOOKUP(D98,'Base de Datos'!$C$7:$AR$400,16,0)))</f>
        <v xml:space="preserve"> </v>
      </c>
      <c r="AV98" s="465" t="str">
        <f>IF(ISERROR(VLOOKUP(D98,'Base de Datos'!$C$7:$AR$400,17,0))=TRUE," ",(VLOOKUP(D98,'Base de Datos'!$C$7:$AR$400,17,0)))</f>
        <v xml:space="preserve"> </v>
      </c>
      <c r="AW98" s="465" t="str">
        <f>IF(ISERROR(VLOOKUP(D98,'Base de Datos'!$C$7:$AR$400,18,0))=TRUE," ",(VLOOKUP(D98,'Base de Datos'!$C$7:$AR$400,18,0)))</f>
        <v xml:space="preserve"> </v>
      </c>
      <c r="AX98" s="465" t="str">
        <f>IF(ISERROR(VLOOKUP(D98,'Base de Datos'!$C$7:$AR$400,19,0))=TRUE," ",(VLOOKUP(D98,'Base de Datos'!$C$7:$AR$400,19,0)))</f>
        <v xml:space="preserve"> </v>
      </c>
      <c r="AY98" s="468" t="str">
        <f>IF(ISERROR(VLOOKUP(D98,'Base de Datos'!$C$7:$AR$400,21,0))=TRUE," ",(VLOOKUP(D98,'Base de Datos'!$C$7:$AR$400,21,0)))</f>
        <v xml:space="preserve"> </v>
      </c>
      <c r="AZ98" s="468" t="str">
        <f>IF(ISERROR(VLOOKUP(D98,'Base de Datos'!$C$7:$AR$400,22,0))=TRUE," ",(VLOOKUP(D98,'Base de Datos'!$C$7:$AR$400,22,0)))</f>
        <v xml:space="preserve"> </v>
      </c>
      <c r="BA98" s="475"/>
      <c r="BB98" s="485"/>
    </row>
    <row r="99" spans="2:54" ht="55.5" hidden="1" customHeight="1" x14ac:dyDescent="0.25">
      <c r="B99" s="438">
        <v>92</v>
      </c>
      <c r="C99" s="446" t="s">
        <v>1678</v>
      </c>
      <c r="D99" s="438">
        <v>73</v>
      </c>
      <c r="E99" s="446" t="s">
        <v>1682</v>
      </c>
      <c r="F99" s="447">
        <f>VLOOKUP(D99,'Presupuesto - PAA 2015'!$B$10:$E$265,4,0)</f>
        <v>0</v>
      </c>
      <c r="G99" s="439" t="str">
        <f>VLOOKUP(D99,'[3]Seguimiento Plan'!$C$2:$R$101,16,0)</f>
        <v>Adquisición de licencias Oracle  para el Concejo de Bogotá.</v>
      </c>
      <c r="H99" s="439" t="s">
        <v>1780</v>
      </c>
      <c r="I99" s="439" t="s">
        <v>1715</v>
      </c>
      <c r="J99" s="448" t="s">
        <v>908</v>
      </c>
      <c r="K99" s="449" t="s">
        <v>390</v>
      </c>
      <c r="L99" s="449" t="str">
        <f>VLOOKUP(D99,'[3]Seguimiento Plan'!$C$2:$AJ$101,30,0)</f>
        <v>SI</v>
      </c>
      <c r="M99" s="450">
        <f>VLOOKUP(D99,'[3]Seguimiento Plan'!$C$2:$AJ$101,31,0)</f>
        <v>42009</v>
      </c>
      <c r="N99" s="449" t="s">
        <v>1815</v>
      </c>
      <c r="O99" s="451"/>
      <c r="P99" s="451"/>
      <c r="Q99" s="451"/>
      <c r="R99" s="452"/>
      <c r="S99" s="452"/>
      <c r="T99" s="453"/>
      <c r="U99" s="455" t="str">
        <f>IF(ISERROR(VLOOKUP(T99,'Base de Datos'!$E$7:$AR$302,3,0))=TRUE," ",(VLOOKUP(T99,'Base de Datos'!$E$7:$AR$302,2,0)))</f>
        <v xml:space="preserve"> </v>
      </c>
      <c r="V99" s="458" t="str">
        <f>IF(ISERROR(VLOOKUP(T99,'Base de Datos'!$E$7:$AR$302,5,0))=TRUE," ",(VLOOKUP(T99,'Base de Datos'!$E$7:$AR$302,5,0)))</f>
        <v xml:space="preserve"> </v>
      </c>
      <c r="W99" s="455" t="str">
        <f>IF(ISERROR(VLOOKUP(T99,'Base de Datos'!$E$7:$AR$302,19,0))=TRUE," ",(VLOOKUP(T99,'Base de Datos'!$E$7:$AR$302,19,0)))</f>
        <v xml:space="preserve"> </v>
      </c>
      <c r="X99" s="460" t="str">
        <f>IF(ISERROR(VLOOKUP(T99,'Base de Datos'!$E$7:$AR$302,8,0))=TRUE," ",(VLOOKUP(T99,'Base de Datos'!$E$7:$AR$302,8,0)))</f>
        <v xml:space="preserve"> </v>
      </c>
      <c r="Y99" s="460" t="str">
        <f>IF(ISERROR(VLOOKUP(T99,'Base de Datos'!$E$7:$AR$302,9,0))=TRUE," ",(VLOOKUP(T99,'Base de Datos'!$E$7:$AR$302,9,0)))</f>
        <v xml:space="preserve"> </v>
      </c>
      <c r="Z99" s="454" t="str">
        <f>IF(ISERROR(VLOOKUP(T99,'Base de Datos'!$E$7:$AR$302,10,0))=TRUE," ",(VLOOKUP(T99,'Base de Datos'!$E$7:$AR$302,10,0)))</f>
        <v xml:space="preserve"> </v>
      </c>
      <c r="AA99" s="457" t="str">
        <f>IF(ISERROR(VLOOKUP(T99,'Base de Datos'!$E$7:$AR$302,11,0))=TRUE," ",(VLOOKUP(T99,'Base de Datos'!$E$7:$AR$302,11,0)))</f>
        <v xml:space="preserve"> </v>
      </c>
      <c r="AB99" s="454" t="str">
        <f>IF(ISERROR(VLOOKUP(T99,'Base de Datos'!$E$7:$AR$302,12,0))=TRUE," ",(VLOOKUP(T99,'Base de Datos'!$E$7:$AR$302,12,0)))</f>
        <v xml:space="preserve"> </v>
      </c>
      <c r="AC99" s="454" t="str">
        <f>IF(ISERROR(VLOOKUP(T99,'Base de Datos'!$E$7:$AR$302,12,0))=TRUE," ",(VLOOKUP(T99,'Base de Datos'!$E$7:$AR$302,12,0)))</f>
        <v xml:space="preserve"> </v>
      </c>
      <c r="AD99" s="460" t="str">
        <f>IF(ISERROR(VLOOKUP(T99,'Base de Datos'!$E$7:$AR$302,15,0))=TRUE," ",(VLOOKUP(T99,'Base de Datos'!$E$7:$AR$302,15,0)))</f>
        <v xml:space="preserve"> </v>
      </c>
      <c r="AE99" s="465" t="str">
        <f>IF(ISERROR(VLOOKUP(T99,'Base de Datos'!$E$7:$AR$302,16,0))=TRUE," ",(VLOOKUP(T99,'Base de Datos'!$E$7:$AR$302,16,0)))</f>
        <v xml:space="preserve"> </v>
      </c>
      <c r="AF99" s="465" t="str">
        <f>IF(ISERROR(VLOOKUP(T99,'Base de Datos'!$E$7:$AR$302,17,0))=TRUE," ",(VLOOKUP(T99,'Base de Datos'!$E$7:$AR$302,17,0)))</f>
        <v xml:space="preserve"> </v>
      </c>
      <c r="AG99" s="465" t="str">
        <f>IF(ISERROR(VLOOKUP(T99,'Base de Datos'!$E$7:$AR$302,18,0))=TRUE," ",(VLOOKUP(T99,'Base de Datos'!$E$7:$AR$302,18,0)))</f>
        <v xml:space="preserve"> </v>
      </c>
      <c r="AH99" s="466" t="str">
        <f>IF(ISERROR(VLOOKUP(T99,'Base de Datos'!$E$7:$AR$302,20,0))=TRUE," ",(VLOOKUP(T99,'Base de Datos'!$E$7:$AR$302,20,0)))</f>
        <v xml:space="preserve"> </v>
      </c>
      <c r="AI99" s="466" t="str">
        <f>IF(ISERROR(VLOOKUP(T99,'Base de Datos'!$E$7:$AR$302,21,0))=TRUE," ",(VLOOKUP(T99,'Base de Datos'!$E$7:$AR$302,21,0)))</f>
        <v xml:space="preserve"> </v>
      </c>
      <c r="AJ99" s="455"/>
      <c r="AK99" s="455" t="str">
        <f>IF(ISERROR(VLOOKUP(D99,'Base de Datos'!$C$7:$AR$400,2,0))=TRUE," ",(VLOOKUP(D99,'Base de Datos'!$C$7:$AR$400,2,0)))</f>
        <v xml:space="preserve"> </v>
      </c>
      <c r="AL99" s="455" t="str">
        <f>IF(ISERROR(VLOOKUP(D99,'Base de Datos'!$C$7:$AR$400,3,0))=TRUE," ",(VLOOKUP(D99,'Base de Datos'!$C$7:$AR$400,3,0)))</f>
        <v xml:space="preserve"> </v>
      </c>
      <c r="AM99" s="458" t="e">
        <f>IF(ISERROR(VLOOKUP(D99,'Base de Datos'!$C$7:$AR$4014,6,0))=TRUE," ",(VLOOKUP(D99,'Base de Datos'!$C$7:$AR$400,6,0)))</f>
        <v>#N/A</v>
      </c>
      <c r="AN99" s="458" t="str">
        <f>IF(ISERROR(VLOOKUP(D99,'Base de Datos'!$C$7:$AR$400,20,0))=TRUE," ",(VLOOKUP(D99,'Base de Datos'!$C$7:$AR$400,19,0)))</f>
        <v xml:space="preserve"> </v>
      </c>
      <c r="AO99" s="461" t="str">
        <f>IF(ISERROR(VLOOKUP(D99,'Base de Datos'!$C$7:$AR$400,9,0))=TRUE," ",(VLOOKUP(D99,'Base de Datos'!$C$7:$AR$400,9,0)))</f>
        <v xml:space="preserve"> </v>
      </c>
      <c r="AP99" s="461" t="str">
        <f>IF(ISERROR(VLOOKUP(D99,'Base de Datos'!$C$7:$AR$400,10,0))=TRUE," ",(VLOOKUP(D99,'Base de Datos'!$C$7:$AR$400,10,0)))</f>
        <v xml:space="preserve"> </v>
      </c>
      <c r="AQ99" s="463" t="str">
        <f>IF(ISERROR(VLOOKUP(D99,'Base de Datos'!$C$7:$AR$400,11,0))=TRUE," ",(VLOOKUP(D99,'Base de Datos'!$C$7:$AR$400,11,0)))</f>
        <v xml:space="preserve"> </v>
      </c>
      <c r="AR99" s="464" t="str">
        <f>IF(ISERROR(VLOOKUP(D99,'Base de Datos'!$C$7:$AR$400,12,0))=TRUE," ",(VLOOKUP(D99,'Base de Datos'!$C$7:$AR$400,12,0)))</f>
        <v xml:space="preserve"> </v>
      </c>
      <c r="AS99" s="463" t="str">
        <f>IF(ISERROR(VLOOKUP(D99,'Base de Datos'!$C$7:$AR$400,13,0))=TRUE," ",(VLOOKUP(D99,'Base de Datos'!$C$7:$AR$400,13,0)))</f>
        <v xml:space="preserve"> </v>
      </c>
      <c r="AT99" s="463" t="str">
        <f>IF(ISERROR(VLOOKUP(D99,'Base de Datos'!$C$7:$AR$400,14,0))=TRUE," ",(VLOOKUP(D99,'Base de Datos'!$C$7:$AR$400,14,0)))</f>
        <v xml:space="preserve"> </v>
      </c>
      <c r="AU99" s="461" t="str">
        <f>IF(ISERROR(VLOOKUP(D99,'Base de Datos'!$C$7:$AR$400,16,0))=TRUE," ",(VLOOKUP(D99,'Base de Datos'!$C$7:$AR$400,16,0)))</f>
        <v xml:space="preserve"> </v>
      </c>
      <c r="AV99" s="465" t="str">
        <f>IF(ISERROR(VLOOKUP(D99,'Base de Datos'!$C$7:$AR$400,17,0))=TRUE," ",(VLOOKUP(D99,'Base de Datos'!$C$7:$AR$400,17,0)))</f>
        <v xml:space="preserve"> </v>
      </c>
      <c r="AW99" s="465" t="str">
        <f>IF(ISERROR(VLOOKUP(D99,'Base de Datos'!$C$7:$AR$400,18,0))=TRUE," ",(VLOOKUP(D99,'Base de Datos'!$C$7:$AR$400,18,0)))</f>
        <v xml:space="preserve"> </v>
      </c>
      <c r="AX99" s="465" t="str">
        <f>IF(ISERROR(VLOOKUP(D99,'Base de Datos'!$C$7:$AR$400,19,0))=TRUE," ",(VLOOKUP(D99,'Base de Datos'!$C$7:$AR$400,19,0)))</f>
        <v xml:space="preserve"> </v>
      </c>
      <c r="AY99" s="468" t="str">
        <f>IF(ISERROR(VLOOKUP(D99,'Base de Datos'!$C$7:$AR$400,21,0))=TRUE," ",(VLOOKUP(D99,'Base de Datos'!$C$7:$AR$400,21,0)))</f>
        <v xml:space="preserve"> </v>
      </c>
      <c r="AZ99" s="468" t="str">
        <f>IF(ISERROR(VLOOKUP(D99,'Base de Datos'!$C$7:$AR$400,22,0))=TRUE," ",(VLOOKUP(D99,'Base de Datos'!$C$7:$AR$400,22,0)))</f>
        <v xml:space="preserve"> </v>
      </c>
      <c r="BA99" s="475"/>
      <c r="BB99" s="485"/>
    </row>
    <row r="100" spans="2:54" ht="55.5" hidden="1" customHeight="1" x14ac:dyDescent="0.25">
      <c r="B100" s="438">
        <v>93</v>
      </c>
      <c r="C100" s="446" t="s">
        <v>1678</v>
      </c>
      <c r="D100" s="438">
        <v>74</v>
      </c>
      <c r="E100" s="446" t="s">
        <v>1682</v>
      </c>
      <c r="F100" s="447">
        <f>VLOOKUP(D100,'Presupuesto - PAA 2015'!$B$10:$E$265,4,0)</f>
        <v>1544000000</v>
      </c>
      <c r="G100" s="439" t="str">
        <f>VLOOKUP(D100,'[3]Seguimiento Plan'!$C$2:$R$101,16,0)</f>
        <v>Adquisición de los equipos de red Switches para el Concejo de Bogotá.</v>
      </c>
      <c r="H100" s="439" t="s">
        <v>1780</v>
      </c>
      <c r="I100" s="439" t="s">
        <v>1715</v>
      </c>
      <c r="J100" s="448" t="s">
        <v>1737</v>
      </c>
      <c r="K100" s="449"/>
      <c r="L100" s="449"/>
      <c r="M100" s="450"/>
      <c r="N100" s="449"/>
      <c r="O100" s="451"/>
      <c r="P100" s="451"/>
      <c r="Q100" s="451"/>
      <c r="R100" s="452"/>
      <c r="S100" s="452"/>
      <c r="T100" s="453"/>
      <c r="U100" s="455" t="str">
        <f>IF(ISERROR(VLOOKUP(T100,'Base de Datos'!$E$7:$AR$302,3,0))=TRUE," ",(VLOOKUP(T100,'Base de Datos'!$E$7:$AR$302,2,0)))</f>
        <v xml:space="preserve"> </v>
      </c>
      <c r="V100" s="458" t="str">
        <f>IF(ISERROR(VLOOKUP(T100,'Base de Datos'!$E$7:$AR$302,5,0))=TRUE," ",(VLOOKUP(T100,'Base de Datos'!$E$7:$AR$302,5,0)))</f>
        <v xml:space="preserve"> </v>
      </c>
      <c r="W100" s="455" t="str">
        <f>IF(ISERROR(VLOOKUP(T100,'Base de Datos'!$E$7:$AR$302,19,0))=TRUE," ",(VLOOKUP(T100,'Base de Datos'!$E$7:$AR$302,19,0)))</f>
        <v xml:space="preserve"> </v>
      </c>
      <c r="X100" s="460" t="str">
        <f>IF(ISERROR(VLOOKUP(T100,'Base de Datos'!$E$7:$AR$302,8,0))=TRUE," ",(VLOOKUP(T100,'Base de Datos'!$E$7:$AR$302,8,0)))</f>
        <v xml:space="preserve"> </v>
      </c>
      <c r="Y100" s="460" t="str">
        <f>IF(ISERROR(VLOOKUP(T100,'Base de Datos'!$E$7:$AR$302,9,0))=TRUE," ",(VLOOKUP(T100,'Base de Datos'!$E$7:$AR$302,9,0)))</f>
        <v xml:space="preserve"> </v>
      </c>
      <c r="Z100" s="454" t="str">
        <f>IF(ISERROR(VLOOKUP(T100,'Base de Datos'!$E$7:$AR$302,10,0))=TRUE," ",(VLOOKUP(T100,'Base de Datos'!$E$7:$AR$302,10,0)))</f>
        <v xml:space="preserve"> </v>
      </c>
      <c r="AA100" s="457" t="str">
        <f>IF(ISERROR(VLOOKUP(T100,'Base de Datos'!$E$7:$AR$302,11,0))=TRUE," ",(VLOOKUP(T100,'Base de Datos'!$E$7:$AR$302,11,0)))</f>
        <v xml:space="preserve"> </v>
      </c>
      <c r="AB100" s="454" t="str">
        <f>IF(ISERROR(VLOOKUP(T100,'Base de Datos'!$E$7:$AR$302,12,0))=TRUE," ",(VLOOKUP(T100,'Base de Datos'!$E$7:$AR$302,12,0)))</f>
        <v xml:space="preserve"> </v>
      </c>
      <c r="AC100" s="454" t="str">
        <f>IF(ISERROR(VLOOKUP(T100,'Base de Datos'!$E$7:$AR$302,12,0))=TRUE," ",(VLOOKUP(T100,'Base de Datos'!$E$7:$AR$302,12,0)))</f>
        <v xml:space="preserve"> </v>
      </c>
      <c r="AD100" s="460" t="str">
        <f>IF(ISERROR(VLOOKUP(T100,'Base de Datos'!$E$7:$AR$302,15,0))=TRUE," ",(VLOOKUP(T100,'Base de Datos'!$E$7:$AR$302,15,0)))</f>
        <v xml:space="preserve"> </v>
      </c>
      <c r="AE100" s="465" t="str">
        <f>IF(ISERROR(VLOOKUP(T100,'Base de Datos'!$E$7:$AR$302,16,0))=TRUE," ",(VLOOKUP(T100,'Base de Datos'!$E$7:$AR$302,16,0)))</f>
        <v xml:space="preserve"> </v>
      </c>
      <c r="AF100" s="465" t="str">
        <f>IF(ISERROR(VLOOKUP(T100,'Base de Datos'!$E$7:$AR$302,17,0))=TRUE," ",(VLOOKUP(T100,'Base de Datos'!$E$7:$AR$302,17,0)))</f>
        <v xml:space="preserve"> </v>
      </c>
      <c r="AG100" s="465" t="str">
        <f>IF(ISERROR(VLOOKUP(T100,'Base de Datos'!$E$7:$AR$302,18,0))=TRUE," ",(VLOOKUP(T100,'Base de Datos'!$E$7:$AR$302,18,0)))</f>
        <v xml:space="preserve"> </v>
      </c>
      <c r="AH100" s="466" t="str">
        <f>IF(ISERROR(VLOOKUP(T100,'Base de Datos'!$E$7:$AR$302,20,0))=TRUE," ",(VLOOKUP(T100,'Base de Datos'!$E$7:$AR$302,20,0)))</f>
        <v xml:space="preserve"> </v>
      </c>
      <c r="AI100" s="466" t="str">
        <f>IF(ISERROR(VLOOKUP(T100,'Base de Datos'!$E$7:$AR$302,21,0))=TRUE," ",(VLOOKUP(T100,'Base de Datos'!$E$7:$AR$302,21,0)))</f>
        <v xml:space="preserve"> </v>
      </c>
      <c r="AJ100" s="455"/>
      <c r="AK100" s="455" t="str">
        <f>IF(ISERROR(VLOOKUP(D100,'Base de Datos'!$C$7:$AR$400,2,0))=TRUE," ",(VLOOKUP(D100,'Base de Datos'!$C$7:$AR$400,2,0)))</f>
        <v>201574</v>
      </c>
      <c r="AL100" s="455" t="str">
        <f>IF(ISERROR(VLOOKUP(D100,'Base de Datos'!$C$7:$AR$400,3,0))=TRUE," ",(VLOOKUP(D100,'Base de Datos'!$C$7:$AR$400,3,0)))</f>
        <v>150382-0-2015</v>
      </c>
      <c r="AM100" s="458"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8">
        <f>IF(ISERROR(VLOOKUP(D100,'Base de Datos'!$C$7:$AR$400,20,0))=TRUE," ",(VLOOKUP(D100,'Base de Datos'!$C$7:$AR$400,19,0)))</f>
        <v>1512217703</v>
      </c>
      <c r="AO100" s="461">
        <f>IF(ISERROR(VLOOKUP(D100,'Base de Datos'!$C$7:$AR$400,9,0))=TRUE," ",(VLOOKUP(D100,'Base de Datos'!$C$7:$AR$400,9,0)))</f>
        <v>2015</v>
      </c>
      <c r="AP100" s="461">
        <f>IF(ISERROR(VLOOKUP(D100,'Base de Datos'!$C$7:$AR$400,10,0))=TRUE," ",(VLOOKUP(D100,'Base de Datos'!$C$7:$AR$400,10,0)))</f>
        <v>42311</v>
      </c>
      <c r="AQ100" s="463">
        <f>IF(ISERROR(VLOOKUP(D100,'Base de Datos'!$C$7:$AR$400,11,0))=TRUE," ",(VLOOKUP(D100,'Base de Datos'!$C$7:$AR$400,11,0)))</f>
        <v>42333</v>
      </c>
      <c r="AR100" s="464">
        <f>IF(ISERROR(VLOOKUP(D100,'Base de Datos'!$C$7:$AR$400,12,0))=TRUE," ",(VLOOKUP(D100,'Base de Datos'!$C$7:$AR$400,12,0)))</f>
        <v>42515</v>
      </c>
      <c r="AS100" s="463">
        <f>IF(ISERROR(VLOOKUP(D100,'Base de Datos'!$C$7:$AR$400,13,0))=TRUE," ",(VLOOKUP(D100,'Base de Datos'!$C$7:$AR$400,13,0)))</f>
        <v>0</v>
      </c>
      <c r="AT100" s="463">
        <f>IF(ISERROR(VLOOKUP(D100,'Base de Datos'!$C$7:$AR$400,14,0))=TRUE," ",(VLOOKUP(D100,'Base de Datos'!$C$7:$AR$400,14,0)))</f>
        <v>0</v>
      </c>
      <c r="AU100" s="461" t="str">
        <f>IF(ISERROR(VLOOKUP(D100,'Base de Datos'!$C$7:$AR$400,16,0))=TRUE," ",(VLOOKUP(D100,'Base de Datos'!$C$7:$AR$400,16,0)))</f>
        <v/>
      </c>
      <c r="AV100" s="465" t="str">
        <f>IF(ISERROR(VLOOKUP(D100,'Base de Datos'!$C$7:$AR$400,17,0))=TRUE," ",(VLOOKUP(D100,'Base de Datos'!$C$7:$AR$400,17,0)))</f>
        <v/>
      </c>
      <c r="AW100" s="465">
        <f>IF(ISERROR(VLOOKUP(D100,'Base de Datos'!$C$7:$AR$400,18,0))=TRUE," ",(VLOOKUP(D100,'Base de Datos'!$C$7:$AR$400,18,0)))</f>
        <v>42515</v>
      </c>
      <c r="AX100" s="465">
        <f>IF(ISERROR(VLOOKUP(D100,'Base de Datos'!$C$7:$AR$400,19,0))=TRUE," ",(VLOOKUP(D100,'Base de Datos'!$C$7:$AR$400,19,0)))</f>
        <v>1512217703</v>
      </c>
      <c r="AY100" s="468">
        <f>IF(ISERROR(VLOOKUP(D100,'Base de Datos'!$C$7:$AR$400,21,0))=TRUE," ",(VLOOKUP(D100,'Base de Datos'!$C$7:$AR$400,21,0)))</f>
        <v>0</v>
      </c>
      <c r="AZ100" s="468" t="str">
        <f>IF(ISERROR(VLOOKUP(D100,'Base de Datos'!$C$7:$AR$400,22,0))=TRUE," ",(VLOOKUP(D100,'Base de Datos'!$C$7:$AR$400,22,0)))</f>
        <v>Un anticipo del 30%, un segundo pago por el 40% y un tercer pago del 30%.</v>
      </c>
      <c r="BA100" s="475"/>
      <c r="BB100" s="485"/>
    </row>
    <row r="101" spans="2:54" ht="55.5" hidden="1" customHeight="1" x14ac:dyDescent="0.25">
      <c r="B101" s="438">
        <v>94</v>
      </c>
      <c r="C101" s="446" t="s">
        <v>1678</v>
      </c>
      <c r="D101" s="438">
        <v>75</v>
      </c>
      <c r="E101" s="446" t="s">
        <v>1682</v>
      </c>
      <c r="F101" s="447">
        <f>VLOOKUP(D101,'Presupuesto - PAA 2015'!$B$10:$E$265,4,0)</f>
        <v>8086410</v>
      </c>
      <c r="G101" s="439" t="s">
        <v>1781</v>
      </c>
      <c r="H101" s="439" t="s">
        <v>1780</v>
      </c>
      <c r="I101" s="439" t="s">
        <v>1715</v>
      </c>
      <c r="J101" s="448" t="s">
        <v>909</v>
      </c>
      <c r="K101" s="449" t="s">
        <v>390</v>
      </c>
      <c r="L101" s="449" t="str">
        <f>VLOOKUP(D101,'[3]Seguimiento Plan'!$C$2:$AJ$101,30,0)</f>
        <v>SI</v>
      </c>
      <c r="M101" s="450">
        <f>VLOOKUP(D101,'[3]Seguimiento Plan'!$C$2:$AJ$101,31,0)</f>
        <v>42045</v>
      </c>
      <c r="N101" s="449" t="s">
        <v>1818</v>
      </c>
      <c r="O101" s="451"/>
      <c r="P101" s="451"/>
      <c r="Q101" s="449" t="s">
        <v>390</v>
      </c>
      <c r="R101" s="452"/>
      <c r="S101" s="470" t="s">
        <v>1882</v>
      </c>
      <c r="T101" s="453"/>
      <c r="U101" s="455" t="str">
        <f>IF(ISERROR(VLOOKUP(T101,'Base de Datos'!$E$7:$AR$302,3,0))=TRUE," ",(VLOOKUP(T101,'Base de Datos'!$E$7:$AR$302,2,0)))</f>
        <v xml:space="preserve"> </v>
      </c>
      <c r="V101" s="458" t="str">
        <f>IF(ISERROR(VLOOKUP(T101,'Base de Datos'!$E$7:$AR$302,5,0))=TRUE," ",(VLOOKUP(T101,'Base de Datos'!$E$7:$AR$302,5,0)))</f>
        <v xml:space="preserve"> </v>
      </c>
      <c r="W101" s="455" t="str">
        <f>IF(ISERROR(VLOOKUP(T101,'Base de Datos'!$E$7:$AR$302,19,0))=TRUE," ",(VLOOKUP(T101,'Base de Datos'!$E$7:$AR$302,19,0)))</f>
        <v xml:space="preserve"> </v>
      </c>
      <c r="X101" s="460" t="str">
        <f>IF(ISERROR(VLOOKUP(T101,'Base de Datos'!$E$7:$AR$302,8,0))=TRUE," ",(VLOOKUP(T101,'Base de Datos'!$E$7:$AR$302,8,0)))</f>
        <v xml:space="preserve"> </v>
      </c>
      <c r="Y101" s="460" t="str">
        <f>IF(ISERROR(VLOOKUP(T101,'Base de Datos'!$E$7:$AR$302,9,0))=TRUE," ",(VLOOKUP(T101,'Base de Datos'!$E$7:$AR$302,9,0)))</f>
        <v xml:space="preserve"> </v>
      </c>
      <c r="Z101" s="454" t="str">
        <f>IF(ISERROR(VLOOKUP(T101,'Base de Datos'!$E$7:$AR$302,10,0))=TRUE," ",(VLOOKUP(T101,'Base de Datos'!$E$7:$AR$302,10,0)))</f>
        <v xml:space="preserve"> </v>
      </c>
      <c r="AA101" s="457" t="str">
        <f>IF(ISERROR(VLOOKUP(T101,'Base de Datos'!$E$7:$AR$302,11,0))=TRUE," ",(VLOOKUP(T101,'Base de Datos'!$E$7:$AR$302,11,0)))</f>
        <v xml:space="preserve"> </v>
      </c>
      <c r="AB101" s="454" t="str">
        <f>IF(ISERROR(VLOOKUP(T101,'Base de Datos'!$E$7:$AR$302,12,0))=TRUE," ",(VLOOKUP(T101,'Base de Datos'!$E$7:$AR$302,12,0)))</f>
        <v xml:space="preserve"> </v>
      </c>
      <c r="AC101" s="454" t="str">
        <f>IF(ISERROR(VLOOKUP(T101,'Base de Datos'!$E$7:$AR$302,12,0))=TRUE," ",(VLOOKUP(T101,'Base de Datos'!$E$7:$AR$302,12,0)))</f>
        <v xml:space="preserve"> </v>
      </c>
      <c r="AD101" s="460" t="str">
        <f>IF(ISERROR(VLOOKUP(T101,'Base de Datos'!$E$7:$AR$302,15,0))=TRUE," ",(VLOOKUP(T101,'Base de Datos'!$E$7:$AR$302,15,0)))</f>
        <v xml:space="preserve"> </v>
      </c>
      <c r="AE101" s="465" t="str">
        <f>IF(ISERROR(VLOOKUP(T101,'Base de Datos'!$E$7:$AR$302,16,0))=TRUE," ",(VLOOKUP(T101,'Base de Datos'!$E$7:$AR$302,16,0)))</f>
        <v xml:space="preserve"> </v>
      </c>
      <c r="AF101" s="465" t="str">
        <f>IF(ISERROR(VLOOKUP(T101,'Base de Datos'!$E$7:$AR$302,17,0))=TRUE," ",(VLOOKUP(T101,'Base de Datos'!$E$7:$AR$302,17,0)))</f>
        <v xml:space="preserve"> </v>
      </c>
      <c r="AG101" s="465" t="str">
        <f>IF(ISERROR(VLOOKUP(T101,'Base de Datos'!$E$7:$AR$302,18,0))=TRUE," ",(VLOOKUP(T101,'Base de Datos'!$E$7:$AR$302,18,0)))</f>
        <v xml:space="preserve"> </v>
      </c>
      <c r="AH101" s="466" t="str">
        <f>IF(ISERROR(VLOOKUP(T101,'Base de Datos'!$E$7:$AR$302,20,0))=TRUE," ",(VLOOKUP(T101,'Base de Datos'!$E$7:$AR$302,20,0)))</f>
        <v xml:space="preserve"> </v>
      </c>
      <c r="AI101" s="466" t="str">
        <f>IF(ISERROR(VLOOKUP(T101,'Base de Datos'!$E$7:$AR$302,21,0))=TRUE," ",(VLOOKUP(T101,'Base de Datos'!$E$7:$AR$302,21,0)))</f>
        <v xml:space="preserve"> </v>
      </c>
      <c r="AJ101" s="469">
        <v>42152</v>
      </c>
      <c r="AK101" s="455" t="str">
        <f>IF(ISERROR(VLOOKUP(D101,'Base de Datos'!$C$7:$AR$400,2,0))=TRUE," ",(VLOOKUP(D101,'Base de Datos'!$C$7:$AR$400,2,0)))</f>
        <v>201575</v>
      </c>
      <c r="AL101" s="455" t="str">
        <f>IF(ISERROR(VLOOKUP(D101,'Base de Datos'!$C$7:$AR$400,3,0))=TRUE," ",(VLOOKUP(D101,'Base de Datos'!$C$7:$AR$400,3,0)))</f>
        <v>150236-0-2015</v>
      </c>
      <c r="AM101" s="458" t="str">
        <f>IF(ISERROR(VLOOKUP(D101,'Base de Datos'!$C$7:$AR$4014,6,0))=TRUE," ",(VLOOKUP(D101,'Base de Datos'!$C$7:$AR$400,6,0)))</f>
        <v>Adquisición de memorias para repotenciación de equipos de cómputo para el Concejo de Bogotá D.C.</v>
      </c>
      <c r="AN101" s="458">
        <f>IF(ISERROR(VLOOKUP(D101,'Base de Datos'!$C$7:$AR$400,20,0))=TRUE," ",(VLOOKUP(D101,'Base de Datos'!$C$7:$AR$400,19,0)))</f>
        <v>8086410</v>
      </c>
      <c r="AO101" s="461">
        <f>IF(ISERROR(VLOOKUP(D101,'Base de Datos'!$C$7:$AR$400,9,0))=TRUE," ",(VLOOKUP(D101,'Base de Datos'!$C$7:$AR$400,9,0)))</f>
        <v>2015</v>
      </c>
      <c r="AP101" s="461">
        <f>IF(ISERROR(VLOOKUP(D101,'Base de Datos'!$C$7:$AR$400,10,0))=TRUE," ",(VLOOKUP(D101,'Base de Datos'!$C$7:$AR$400,10,0)))</f>
        <v>42152</v>
      </c>
      <c r="AQ101" s="463">
        <f>IF(ISERROR(VLOOKUP(D101,'Base de Datos'!$C$7:$AR$400,11,0))=TRUE," ",(VLOOKUP(D101,'Base de Datos'!$C$7:$AR$400,11,0)))</f>
        <v>42165</v>
      </c>
      <c r="AR101" s="464">
        <f>IF(ISERROR(VLOOKUP(D101,'Base de Datos'!$C$7:$AR$400,12,0))=TRUE," ",(VLOOKUP(D101,'Base de Datos'!$C$7:$AR$400,12,0)))</f>
        <v>42226</v>
      </c>
      <c r="AS101" s="463">
        <f>IF(ISERROR(VLOOKUP(D101,'Base de Datos'!$C$7:$AR$400,13,0))=TRUE," ",(VLOOKUP(D101,'Base de Datos'!$C$7:$AR$400,13,0)))</f>
        <v>0</v>
      </c>
      <c r="AT101" s="463">
        <f>IF(ISERROR(VLOOKUP(D101,'Base de Datos'!$C$7:$AR$400,14,0))=TRUE," ",(VLOOKUP(D101,'Base de Datos'!$C$7:$AR$400,14,0)))</f>
        <v>0</v>
      </c>
      <c r="AU101" s="461" t="str">
        <f>IF(ISERROR(VLOOKUP(D101,'Base de Datos'!$C$7:$AR$400,16,0))=TRUE," ",(VLOOKUP(D101,'Base de Datos'!$C$7:$AR$400,16,0)))</f>
        <v/>
      </c>
      <c r="AV101" s="465" t="str">
        <f>IF(ISERROR(VLOOKUP(D101,'Base de Datos'!$C$7:$AR$400,17,0))=TRUE," ",(VLOOKUP(D101,'Base de Datos'!$C$7:$AR$400,17,0)))</f>
        <v/>
      </c>
      <c r="AW101" s="465">
        <f>IF(ISERROR(VLOOKUP(D101,'Base de Datos'!$C$7:$AR$400,18,0))=TRUE," ",(VLOOKUP(D101,'Base de Datos'!$C$7:$AR$400,18,0)))</f>
        <v>42226</v>
      </c>
      <c r="AX101" s="465">
        <f>IF(ISERROR(VLOOKUP(D101,'Base de Datos'!$C$7:$AR$400,19,0))=TRUE," ",(VLOOKUP(D101,'Base de Datos'!$C$7:$AR$400,19,0)))</f>
        <v>8086410</v>
      </c>
      <c r="AY101" s="468">
        <f>IF(ISERROR(VLOOKUP(D101,'Base de Datos'!$C$7:$AR$400,21,0))=TRUE," ",(VLOOKUP(D101,'Base de Datos'!$C$7:$AR$400,21,0)))</f>
        <v>4</v>
      </c>
      <c r="AZ101" s="468" t="str">
        <f>IF(ISERROR(VLOOKUP(D101,'Base de Datos'!$C$7:$AR$400,22,0))=TRUE," ",(VLOOKUP(D101,'Base de Datos'!$C$7:$AR$400,22,0)))</f>
        <v>Pago único</v>
      </c>
      <c r="BA101" s="475"/>
      <c r="BB101" s="485"/>
    </row>
    <row r="102" spans="2:54" ht="55.5" hidden="1" customHeight="1" x14ac:dyDescent="0.25">
      <c r="B102" s="438">
        <v>95</v>
      </c>
      <c r="C102" s="446" t="s">
        <v>1678</v>
      </c>
      <c r="D102" s="438">
        <v>76</v>
      </c>
      <c r="E102" s="446" t="s">
        <v>1682</v>
      </c>
      <c r="F102" s="447" t="e">
        <f>VLOOKUP(D102,'Presupuesto - PAA 2015'!$B$10:$E$265,4,0)</f>
        <v>#N/A</v>
      </c>
      <c r="G102" s="439" t="str">
        <f>VLOOKUP(D102,'[3]Seguimiento Plan'!$C$2:$R$101,16,0)</f>
        <v>Adquisición del sistema de aire acondicionado para el salón comuneros del Concejo de Bogotá.</v>
      </c>
      <c r="H102" s="439" t="s">
        <v>1780</v>
      </c>
      <c r="I102" s="439" t="s">
        <v>1715</v>
      </c>
      <c r="J102" s="448" t="s">
        <v>1737</v>
      </c>
      <c r="K102" s="449" t="s">
        <v>390</v>
      </c>
      <c r="L102" s="449" t="str">
        <f>VLOOKUP(D102,'[3]Seguimiento Plan'!$C$2:$AJ$101,30,0)</f>
        <v>SI</v>
      </c>
      <c r="M102" s="450">
        <f>VLOOKUP(D102,'[3]Seguimiento Plan'!$C$2:$AJ$101,31,0)</f>
        <v>42081</v>
      </c>
      <c r="N102" s="449" t="s">
        <v>1819</v>
      </c>
      <c r="O102" s="451"/>
      <c r="P102" s="451"/>
      <c r="Q102" s="451"/>
      <c r="R102" s="452"/>
      <c r="S102" s="452"/>
      <c r="T102" s="453"/>
      <c r="U102" s="455" t="str">
        <f>IF(ISERROR(VLOOKUP(T102,'Base de Datos'!$E$7:$AR$302,3,0))=TRUE," ",(VLOOKUP(T102,'Base de Datos'!$E$7:$AR$302,2,0)))</f>
        <v xml:space="preserve"> </v>
      </c>
      <c r="V102" s="458" t="str">
        <f>IF(ISERROR(VLOOKUP(T102,'Base de Datos'!$E$7:$AR$302,5,0))=TRUE," ",(VLOOKUP(T102,'Base de Datos'!$E$7:$AR$302,5,0)))</f>
        <v xml:space="preserve"> </v>
      </c>
      <c r="W102" s="455" t="str">
        <f>IF(ISERROR(VLOOKUP(T102,'Base de Datos'!$E$7:$AR$302,19,0))=TRUE," ",(VLOOKUP(T102,'Base de Datos'!$E$7:$AR$302,19,0)))</f>
        <v xml:space="preserve"> </v>
      </c>
      <c r="X102" s="460" t="str">
        <f>IF(ISERROR(VLOOKUP(T102,'Base de Datos'!$E$7:$AR$302,8,0))=TRUE," ",(VLOOKUP(T102,'Base de Datos'!$E$7:$AR$302,8,0)))</f>
        <v xml:space="preserve"> </v>
      </c>
      <c r="Y102" s="460" t="str">
        <f>IF(ISERROR(VLOOKUP(T102,'Base de Datos'!$E$7:$AR$302,9,0))=TRUE," ",(VLOOKUP(T102,'Base de Datos'!$E$7:$AR$302,9,0)))</f>
        <v xml:space="preserve"> </v>
      </c>
      <c r="Z102" s="454" t="str">
        <f>IF(ISERROR(VLOOKUP(T102,'Base de Datos'!$E$7:$AR$302,10,0))=TRUE," ",(VLOOKUP(T102,'Base de Datos'!$E$7:$AR$302,10,0)))</f>
        <v xml:space="preserve"> </v>
      </c>
      <c r="AA102" s="457" t="str">
        <f>IF(ISERROR(VLOOKUP(T102,'Base de Datos'!$E$7:$AR$302,11,0))=TRUE," ",(VLOOKUP(T102,'Base de Datos'!$E$7:$AR$302,11,0)))</f>
        <v xml:space="preserve"> </v>
      </c>
      <c r="AB102" s="454" t="str">
        <f>IF(ISERROR(VLOOKUP(T102,'Base de Datos'!$E$7:$AR$302,12,0))=TRUE," ",(VLOOKUP(T102,'Base de Datos'!$E$7:$AR$302,12,0)))</f>
        <v xml:space="preserve"> </v>
      </c>
      <c r="AC102" s="454" t="str">
        <f>IF(ISERROR(VLOOKUP(T102,'Base de Datos'!$E$7:$AR$302,12,0))=TRUE," ",(VLOOKUP(T102,'Base de Datos'!$E$7:$AR$302,12,0)))</f>
        <v xml:space="preserve"> </v>
      </c>
      <c r="AD102" s="460" t="str">
        <f>IF(ISERROR(VLOOKUP(T102,'Base de Datos'!$E$7:$AR$302,15,0))=TRUE," ",(VLOOKUP(T102,'Base de Datos'!$E$7:$AR$302,15,0)))</f>
        <v xml:space="preserve"> </v>
      </c>
      <c r="AE102" s="465" t="str">
        <f>IF(ISERROR(VLOOKUP(T102,'Base de Datos'!$E$7:$AR$302,16,0))=TRUE," ",(VLOOKUP(T102,'Base de Datos'!$E$7:$AR$302,16,0)))</f>
        <v xml:space="preserve"> </v>
      </c>
      <c r="AF102" s="465" t="str">
        <f>IF(ISERROR(VLOOKUP(T102,'Base de Datos'!$E$7:$AR$302,17,0))=TRUE," ",(VLOOKUP(T102,'Base de Datos'!$E$7:$AR$302,17,0)))</f>
        <v xml:space="preserve"> </v>
      </c>
      <c r="AG102" s="465" t="str">
        <f>IF(ISERROR(VLOOKUP(T102,'Base de Datos'!$E$7:$AR$302,18,0))=TRUE," ",(VLOOKUP(T102,'Base de Datos'!$E$7:$AR$302,18,0)))</f>
        <v xml:space="preserve"> </v>
      </c>
      <c r="AH102" s="466" t="str">
        <f>IF(ISERROR(VLOOKUP(T102,'Base de Datos'!$E$7:$AR$302,20,0))=TRUE," ",(VLOOKUP(T102,'Base de Datos'!$E$7:$AR$302,20,0)))</f>
        <v xml:space="preserve"> </v>
      </c>
      <c r="AI102" s="466" t="str">
        <f>IF(ISERROR(VLOOKUP(T102,'Base de Datos'!$E$7:$AR$302,21,0))=TRUE," ",(VLOOKUP(T102,'Base de Datos'!$E$7:$AR$302,21,0)))</f>
        <v xml:space="preserve"> </v>
      </c>
      <c r="AJ102" s="455"/>
      <c r="AK102" s="455" t="str">
        <f>IF(ISERROR(VLOOKUP(D102,'Base de Datos'!$C$7:$AR$400,2,0))=TRUE," ",(VLOOKUP(D102,'Base de Datos'!$C$7:$AR$400,2,0)))</f>
        <v xml:space="preserve"> </v>
      </c>
      <c r="AL102" s="455" t="str">
        <f>IF(ISERROR(VLOOKUP(D102,'Base de Datos'!$C$7:$AR$400,3,0))=TRUE," ",(VLOOKUP(D102,'Base de Datos'!$C$7:$AR$400,3,0)))</f>
        <v xml:space="preserve"> </v>
      </c>
      <c r="AM102" s="458" t="e">
        <f>IF(ISERROR(VLOOKUP(D102,'Base de Datos'!$C$7:$AR$4014,6,0))=TRUE," ",(VLOOKUP(D102,'Base de Datos'!$C$7:$AR$400,6,0)))</f>
        <v>#N/A</v>
      </c>
      <c r="AN102" s="458" t="str">
        <f>IF(ISERROR(VLOOKUP(D102,'Base de Datos'!$C$7:$AR$400,20,0))=TRUE," ",(VLOOKUP(D102,'Base de Datos'!$C$7:$AR$400,19,0)))</f>
        <v xml:space="preserve"> </v>
      </c>
      <c r="AO102" s="461" t="str">
        <f>IF(ISERROR(VLOOKUP(D102,'Base de Datos'!$C$7:$AR$400,9,0))=TRUE," ",(VLOOKUP(D102,'Base de Datos'!$C$7:$AR$400,9,0)))</f>
        <v xml:space="preserve"> </v>
      </c>
      <c r="AP102" s="461" t="str">
        <f>IF(ISERROR(VLOOKUP(D102,'Base de Datos'!$C$7:$AR$400,10,0))=TRUE," ",(VLOOKUP(D102,'Base de Datos'!$C$7:$AR$400,10,0)))</f>
        <v xml:space="preserve"> </v>
      </c>
      <c r="AQ102" s="463" t="str">
        <f>IF(ISERROR(VLOOKUP(D102,'Base de Datos'!$C$7:$AR$400,11,0))=TRUE," ",(VLOOKUP(D102,'Base de Datos'!$C$7:$AR$400,11,0)))</f>
        <v xml:space="preserve"> </v>
      </c>
      <c r="AR102" s="464" t="str">
        <f>IF(ISERROR(VLOOKUP(D102,'Base de Datos'!$C$7:$AR$400,12,0))=TRUE," ",(VLOOKUP(D102,'Base de Datos'!$C$7:$AR$400,12,0)))</f>
        <v xml:space="preserve"> </v>
      </c>
      <c r="AS102" s="463" t="str">
        <f>IF(ISERROR(VLOOKUP(D102,'Base de Datos'!$C$7:$AR$400,13,0))=TRUE," ",(VLOOKUP(D102,'Base de Datos'!$C$7:$AR$400,13,0)))</f>
        <v xml:space="preserve"> </v>
      </c>
      <c r="AT102" s="463" t="str">
        <f>IF(ISERROR(VLOOKUP(D102,'Base de Datos'!$C$7:$AR$400,14,0))=TRUE," ",(VLOOKUP(D102,'Base de Datos'!$C$7:$AR$400,14,0)))</f>
        <v xml:space="preserve"> </v>
      </c>
      <c r="AU102" s="461" t="str">
        <f>IF(ISERROR(VLOOKUP(D102,'Base de Datos'!$C$7:$AR$400,16,0))=TRUE," ",(VLOOKUP(D102,'Base de Datos'!$C$7:$AR$400,16,0)))</f>
        <v xml:space="preserve"> </v>
      </c>
      <c r="AV102" s="465" t="str">
        <f>IF(ISERROR(VLOOKUP(D102,'Base de Datos'!$C$7:$AR$400,17,0))=TRUE," ",(VLOOKUP(D102,'Base de Datos'!$C$7:$AR$400,17,0)))</f>
        <v xml:space="preserve"> </v>
      </c>
      <c r="AW102" s="465" t="str">
        <f>IF(ISERROR(VLOOKUP(D102,'Base de Datos'!$C$7:$AR$400,18,0))=TRUE," ",(VLOOKUP(D102,'Base de Datos'!$C$7:$AR$400,18,0)))</f>
        <v xml:space="preserve"> </v>
      </c>
      <c r="AX102" s="465" t="str">
        <f>IF(ISERROR(VLOOKUP(D102,'Base de Datos'!$C$7:$AR$400,19,0))=TRUE," ",(VLOOKUP(D102,'Base de Datos'!$C$7:$AR$400,19,0)))</f>
        <v xml:space="preserve"> </v>
      </c>
      <c r="AY102" s="468" t="str">
        <f>IF(ISERROR(VLOOKUP(D102,'Base de Datos'!$C$7:$AR$400,21,0))=TRUE," ",(VLOOKUP(D102,'Base de Datos'!$C$7:$AR$400,21,0)))</f>
        <v xml:space="preserve"> </v>
      </c>
      <c r="AZ102" s="468" t="str">
        <f>IF(ISERROR(VLOOKUP(D102,'Base de Datos'!$C$7:$AR$400,22,0))=TRUE," ",(VLOOKUP(D102,'Base de Datos'!$C$7:$AR$400,22,0)))</f>
        <v xml:space="preserve"> </v>
      </c>
      <c r="BA102" s="475"/>
      <c r="BB102" s="485"/>
    </row>
    <row r="103" spans="2:54" ht="55.5" hidden="1" customHeight="1" x14ac:dyDescent="0.25">
      <c r="B103" s="438">
        <v>96</v>
      </c>
      <c r="C103" s="446" t="s">
        <v>1678</v>
      </c>
      <c r="D103" s="438">
        <v>77</v>
      </c>
      <c r="E103" s="446" t="s">
        <v>1682</v>
      </c>
      <c r="F103" s="447" t="e">
        <f>VLOOKUP(D103,'Presupuesto - PAA 2015'!$B$10:$E$265,4,0)</f>
        <v>#N/A</v>
      </c>
      <c r="G103" s="439" t="str">
        <f>VLOOKUP(D103,'[3]Seguimiento Plan'!$C$2:$R$101,16,0)</f>
        <v>Adquisición de la librería HP LTO de respaldo para el Concejo de Bogotá</v>
      </c>
      <c r="H103" s="439" t="s">
        <v>1780</v>
      </c>
      <c r="I103" s="439" t="s">
        <v>1715</v>
      </c>
      <c r="J103" s="448" t="s">
        <v>909</v>
      </c>
      <c r="K103" s="449"/>
      <c r="L103" s="449"/>
      <c r="M103" s="450"/>
      <c r="N103" s="449"/>
      <c r="O103" s="451"/>
      <c r="P103" s="451"/>
      <c r="Q103" s="451"/>
      <c r="R103" s="452"/>
      <c r="S103" s="452"/>
      <c r="T103" s="453"/>
      <c r="U103" s="455" t="str">
        <f>IF(ISERROR(VLOOKUP(T103,'Base de Datos'!$E$7:$AR$302,3,0))=TRUE," ",(VLOOKUP(T103,'Base de Datos'!$E$7:$AR$302,2,0)))</f>
        <v xml:space="preserve"> </v>
      </c>
      <c r="V103" s="458" t="str">
        <f>IF(ISERROR(VLOOKUP(T103,'Base de Datos'!$E$7:$AR$302,5,0))=TRUE," ",(VLOOKUP(T103,'Base de Datos'!$E$7:$AR$302,5,0)))</f>
        <v xml:space="preserve"> </v>
      </c>
      <c r="W103" s="455" t="str">
        <f>IF(ISERROR(VLOOKUP(T103,'Base de Datos'!$E$7:$AR$302,19,0))=TRUE," ",(VLOOKUP(T103,'Base de Datos'!$E$7:$AR$302,19,0)))</f>
        <v xml:space="preserve"> </v>
      </c>
      <c r="X103" s="460" t="str">
        <f>IF(ISERROR(VLOOKUP(T103,'Base de Datos'!$E$7:$AR$302,8,0))=TRUE," ",(VLOOKUP(T103,'Base de Datos'!$E$7:$AR$302,8,0)))</f>
        <v xml:space="preserve"> </v>
      </c>
      <c r="Y103" s="460" t="str">
        <f>IF(ISERROR(VLOOKUP(T103,'Base de Datos'!$E$7:$AR$302,9,0))=TRUE," ",(VLOOKUP(T103,'Base de Datos'!$E$7:$AR$302,9,0)))</f>
        <v xml:space="preserve"> </v>
      </c>
      <c r="Z103" s="454" t="str">
        <f>IF(ISERROR(VLOOKUP(T103,'Base de Datos'!$E$7:$AR$302,10,0))=TRUE," ",(VLOOKUP(T103,'Base de Datos'!$E$7:$AR$302,10,0)))</f>
        <v xml:space="preserve"> </v>
      </c>
      <c r="AA103" s="457" t="str">
        <f>IF(ISERROR(VLOOKUP(T103,'Base de Datos'!$E$7:$AR$302,11,0))=TRUE," ",(VLOOKUP(T103,'Base de Datos'!$E$7:$AR$302,11,0)))</f>
        <v xml:space="preserve"> </v>
      </c>
      <c r="AB103" s="454" t="str">
        <f>IF(ISERROR(VLOOKUP(T103,'Base de Datos'!$E$7:$AR$302,12,0))=TRUE," ",(VLOOKUP(T103,'Base de Datos'!$E$7:$AR$302,12,0)))</f>
        <v xml:space="preserve"> </v>
      </c>
      <c r="AC103" s="454" t="str">
        <f>IF(ISERROR(VLOOKUP(T103,'Base de Datos'!$E$7:$AR$302,12,0))=TRUE," ",(VLOOKUP(T103,'Base de Datos'!$E$7:$AR$302,12,0)))</f>
        <v xml:space="preserve"> </v>
      </c>
      <c r="AD103" s="460" t="str">
        <f>IF(ISERROR(VLOOKUP(T103,'Base de Datos'!$E$7:$AR$302,15,0))=TRUE," ",(VLOOKUP(T103,'Base de Datos'!$E$7:$AR$302,15,0)))</f>
        <v xml:space="preserve"> </v>
      </c>
      <c r="AE103" s="465" t="str">
        <f>IF(ISERROR(VLOOKUP(T103,'Base de Datos'!$E$7:$AR$302,16,0))=TRUE," ",(VLOOKUP(T103,'Base de Datos'!$E$7:$AR$302,16,0)))</f>
        <v xml:space="preserve"> </v>
      </c>
      <c r="AF103" s="465" t="str">
        <f>IF(ISERROR(VLOOKUP(T103,'Base de Datos'!$E$7:$AR$302,17,0))=TRUE," ",(VLOOKUP(T103,'Base de Datos'!$E$7:$AR$302,17,0)))</f>
        <v xml:space="preserve"> </v>
      </c>
      <c r="AG103" s="465" t="str">
        <f>IF(ISERROR(VLOOKUP(T103,'Base de Datos'!$E$7:$AR$302,18,0))=TRUE," ",(VLOOKUP(T103,'Base de Datos'!$E$7:$AR$302,18,0)))</f>
        <v xml:space="preserve"> </v>
      </c>
      <c r="AH103" s="466" t="str">
        <f>IF(ISERROR(VLOOKUP(T103,'Base de Datos'!$E$7:$AR$302,20,0))=TRUE," ",(VLOOKUP(T103,'Base de Datos'!$E$7:$AR$302,20,0)))</f>
        <v xml:space="preserve"> </v>
      </c>
      <c r="AI103" s="466" t="str">
        <f>IF(ISERROR(VLOOKUP(T103,'Base de Datos'!$E$7:$AR$302,21,0))=TRUE," ",(VLOOKUP(T103,'Base de Datos'!$E$7:$AR$302,21,0)))</f>
        <v xml:space="preserve"> </v>
      </c>
      <c r="AJ103" s="455"/>
      <c r="AK103" s="455" t="str">
        <f>IF(ISERROR(VLOOKUP(D103,'Base de Datos'!$C$7:$AR$400,2,0))=TRUE," ",(VLOOKUP(D103,'Base de Datos'!$C$7:$AR$400,2,0)))</f>
        <v xml:space="preserve"> </v>
      </c>
      <c r="AL103" s="455" t="str">
        <f>IF(ISERROR(VLOOKUP(D103,'Base de Datos'!$C$7:$AR$400,3,0))=TRUE," ",(VLOOKUP(D103,'Base de Datos'!$C$7:$AR$400,3,0)))</f>
        <v xml:space="preserve"> </v>
      </c>
      <c r="AM103" s="458" t="e">
        <f>IF(ISERROR(VLOOKUP(D103,'Base de Datos'!$C$7:$AR$4014,6,0))=TRUE," ",(VLOOKUP(D103,'Base de Datos'!$C$7:$AR$400,6,0)))</f>
        <v>#N/A</v>
      </c>
      <c r="AN103" s="458" t="str">
        <f>IF(ISERROR(VLOOKUP(D103,'Base de Datos'!$C$7:$AR$400,20,0))=TRUE," ",(VLOOKUP(D103,'Base de Datos'!$C$7:$AR$400,19,0)))</f>
        <v xml:space="preserve"> </v>
      </c>
      <c r="AO103" s="461" t="str">
        <f>IF(ISERROR(VLOOKUP(D103,'Base de Datos'!$C$7:$AR$400,9,0))=TRUE," ",(VLOOKUP(D103,'Base de Datos'!$C$7:$AR$400,9,0)))</f>
        <v xml:space="preserve"> </v>
      </c>
      <c r="AP103" s="461" t="str">
        <f>IF(ISERROR(VLOOKUP(D103,'Base de Datos'!$C$7:$AR$400,10,0))=TRUE," ",(VLOOKUP(D103,'Base de Datos'!$C$7:$AR$400,10,0)))</f>
        <v xml:space="preserve"> </v>
      </c>
      <c r="AQ103" s="463" t="str">
        <f>IF(ISERROR(VLOOKUP(D103,'Base de Datos'!$C$7:$AR$400,11,0))=TRUE," ",(VLOOKUP(D103,'Base de Datos'!$C$7:$AR$400,11,0)))</f>
        <v xml:space="preserve"> </v>
      </c>
      <c r="AR103" s="464" t="str">
        <f>IF(ISERROR(VLOOKUP(D103,'Base de Datos'!$C$7:$AR$400,12,0))=TRUE," ",(VLOOKUP(D103,'Base de Datos'!$C$7:$AR$400,12,0)))</f>
        <v xml:space="preserve"> </v>
      </c>
      <c r="AS103" s="463" t="str">
        <f>IF(ISERROR(VLOOKUP(D103,'Base de Datos'!$C$7:$AR$400,13,0))=TRUE," ",(VLOOKUP(D103,'Base de Datos'!$C$7:$AR$400,13,0)))</f>
        <v xml:space="preserve"> </v>
      </c>
      <c r="AT103" s="463" t="str">
        <f>IF(ISERROR(VLOOKUP(D103,'Base de Datos'!$C$7:$AR$400,14,0))=TRUE," ",(VLOOKUP(D103,'Base de Datos'!$C$7:$AR$400,14,0)))</f>
        <v xml:space="preserve"> </v>
      </c>
      <c r="AU103" s="461" t="str">
        <f>IF(ISERROR(VLOOKUP(D103,'Base de Datos'!$C$7:$AR$400,16,0))=TRUE," ",(VLOOKUP(D103,'Base de Datos'!$C$7:$AR$400,16,0)))</f>
        <v xml:space="preserve"> </v>
      </c>
      <c r="AV103" s="465" t="str">
        <f>IF(ISERROR(VLOOKUP(D103,'Base de Datos'!$C$7:$AR$400,17,0))=TRUE," ",(VLOOKUP(D103,'Base de Datos'!$C$7:$AR$400,17,0)))</f>
        <v xml:space="preserve"> </v>
      </c>
      <c r="AW103" s="465" t="str">
        <f>IF(ISERROR(VLOOKUP(D103,'Base de Datos'!$C$7:$AR$400,18,0))=TRUE," ",(VLOOKUP(D103,'Base de Datos'!$C$7:$AR$400,18,0)))</f>
        <v xml:space="preserve"> </v>
      </c>
      <c r="AX103" s="465" t="str">
        <f>IF(ISERROR(VLOOKUP(D103,'Base de Datos'!$C$7:$AR$400,19,0))=TRUE," ",(VLOOKUP(D103,'Base de Datos'!$C$7:$AR$400,19,0)))</f>
        <v xml:space="preserve"> </v>
      </c>
      <c r="AY103" s="468" t="str">
        <f>IF(ISERROR(VLOOKUP(D103,'Base de Datos'!$C$7:$AR$400,21,0))=TRUE," ",(VLOOKUP(D103,'Base de Datos'!$C$7:$AR$400,21,0)))</f>
        <v xml:space="preserve"> </v>
      </c>
      <c r="AZ103" s="468" t="str">
        <f>IF(ISERROR(VLOOKUP(D103,'Base de Datos'!$C$7:$AR$400,22,0))=TRUE," ",(VLOOKUP(D103,'Base de Datos'!$C$7:$AR$400,22,0)))</f>
        <v xml:space="preserve"> </v>
      </c>
      <c r="BA103" s="475"/>
      <c r="BB103" s="485"/>
    </row>
    <row r="104" spans="2:54" ht="55.5" hidden="1" customHeight="1" x14ac:dyDescent="0.25">
      <c r="B104" s="438">
        <v>97</v>
      </c>
      <c r="C104" s="446" t="s">
        <v>1678</v>
      </c>
      <c r="D104" s="438">
        <v>208</v>
      </c>
      <c r="E104" s="446" t="s">
        <v>1682</v>
      </c>
      <c r="F104" s="447">
        <f>VLOOKUP(D104,'Presupuesto - PAA 2015'!$B$10:$E$265,4,0)</f>
        <v>379200000</v>
      </c>
      <c r="G104" s="439" t="str">
        <f>VLOOKUP(D104,'[3]Seguimiento Plan'!$C$2:$R$101,16,0)</f>
        <v>Arriendo de un inmueble para uso de parqueadero de vehÍculos y motocicletas del Concejo de Bogotá.</v>
      </c>
      <c r="H104" s="439" t="s">
        <v>1779</v>
      </c>
      <c r="I104" s="439" t="s">
        <v>1723</v>
      </c>
      <c r="J104" s="448" t="s">
        <v>908</v>
      </c>
      <c r="K104" s="449" t="s">
        <v>390</v>
      </c>
      <c r="L104" s="449" t="str">
        <f>VLOOKUP(D104,'[3]Seguimiento Plan'!$C$2:$AJ$101,30,0)</f>
        <v>SI</v>
      </c>
      <c r="M104" s="450">
        <f>VLOOKUP(D104,'[3]Seguimiento Plan'!$C$2:$AJ$101,31,0)</f>
        <v>42024</v>
      </c>
      <c r="N104" s="449"/>
      <c r="O104" s="451"/>
      <c r="P104" s="451"/>
      <c r="Q104" s="451"/>
      <c r="R104" s="529"/>
      <c r="S104" s="355" t="s">
        <v>1618</v>
      </c>
      <c r="T104" s="348" t="s">
        <v>307</v>
      </c>
      <c r="U104" s="455" t="str">
        <f>IF(ISERROR(VLOOKUP(T104,'Base de Datos'!$E$7:$AR$302,3,0))=TRUE," ",(VLOOKUP(T104,'Base de Datos'!$E$7:$AR$302,2,0)))</f>
        <v>INVERSIONES MATAY SAS</v>
      </c>
      <c r="V104" s="458">
        <f>IF(ISERROR(VLOOKUP(T104,'Base de Datos'!$E$7:$AR$302,5,0))=TRUE," ",(VLOOKUP(T104,'Base de Datos'!$E$7:$AR$302,5,0)))</f>
        <v>202978686</v>
      </c>
      <c r="W104" s="455">
        <f>IF(ISERROR(VLOOKUP(T104,'Base de Datos'!$E$7:$AR$302,19,0))=TRUE," ",(VLOOKUP(T104,'Base de Datos'!$E$7:$AR$302,19,0)))</f>
        <v>0</v>
      </c>
      <c r="X104" s="460" t="str">
        <f>IF(ISERROR(VLOOKUP(T104,'Base de Datos'!$E$7:$AR$302,8,0))=TRUE," ",(VLOOKUP(T104,'Base de Datos'!$E$7:$AR$302,8,0)))</f>
        <v xml:space="preserve"> </v>
      </c>
      <c r="Y104" s="460">
        <f>IF(ISERROR(VLOOKUP(T104,'Base de Datos'!$E$7:$AR$302,9,0))=TRUE," ",(VLOOKUP(T104,'Base de Datos'!$E$7:$AR$302,9,0)))</f>
        <v>41850</v>
      </c>
      <c r="Z104" s="454">
        <f>IF(ISERROR(VLOOKUP(T104,'Base de Datos'!$E$7:$AR$302,10,0))=TRUE," ",(VLOOKUP(T104,'Base de Datos'!$E$7:$AR$302,10,0)))</f>
        <v>42034</v>
      </c>
      <c r="AA104" s="457">
        <f>IF(ISERROR(VLOOKUP(T104,'Base de Datos'!$E$7:$AR$302,11,0))=TRUE," ",(VLOOKUP(T104,'Base de Datos'!$E$7:$AR$302,11,0)))</f>
        <v>1</v>
      </c>
      <c r="AB104" s="454">
        <f>IF(ISERROR(VLOOKUP(T104,'Base de Datos'!$E$7:$AR$302,12,0))=TRUE," ",(VLOOKUP(T104,'Base de Datos'!$E$7:$AR$302,12,0)))</f>
        <v>87669877</v>
      </c>
      <c r="AC104" s="454">
        <f>IF(ISERROR(VLOOKUP(T104,'Base de Datos'!$E$7:$AR$302,12,0))=TRUE," ",(VLOOKUP(T104,'Base de Datos'!$E$7:$AR$302,12,0)))</f>
        <v>87669877</v>
      </c>
      <c r="AD104" s="460">
        <f>IF(ISERROR(VLOOKUP(T104,'Base de Datos'!$E$7:$AR$302,15,0))=TRUE," ",(VLOOKUP(T104,'Base de Datos'!$E$7:$AR$302,15,0)))</f>
        <v>42108</v>
      </c>
      <c r="AE104" s="465">
        <f>IF(ISERROR(VLOOKUP(T104,'Base de Datos'!$E$7:$AR$302,16,0))=TRUE," ",(VLOOKUP(T104,'Base de Datos'!$E$7:$AR$302,16,0)))</f>
        <v>42108</v>
      </c>
      <c r="AF104" s="465">
        <f>IF(ISERROR(VLOOKUP(T104,'Base de Datos'!$E$7:$AR$302,17,0))=TRUE," ",(VLOOKUP(T104,'Base de Datos'!$E$7:$AR$302,17,0)))</f>
        <v>290648563</v>
      </c>
      <c r="AG104" s="465">
        <f>IF(ISERROR(VLOOKUP(T104,'Base de Datos'!$E$7:$AR$302,18,0))=TRUE," ",(VLOOKUP(T104,'Base de Datos'!$E$7:$AR$302,18,0)))</f>
        <v>290648563</v>
      </c>
      <c r="AH104" s="466"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6">
        <f>IF(ISERROR(VLOOKUP(T104,'Base de Datos'!$E$7:$AR$302,21,0))=TRUE," ",(VLOOKUP(T104,'Base de Datos'!$E$7:$AR$302,21,0)))</f>
        <v>1</v>
      </c>
      <c r="AJ104" s="460">
        <v>42109</v>
      </c>
      <c r="AK104" s="455" t="str">
        <f>IF(ISERROR(VLOOKUP(D104,'Base de Datos'!$C$7:$AR$400,2,0))=TRUE," ",(VLOOKUP(D104,'Base de Datos'!$C$7:$AR$400,2,0)))</f>
        <v>2015208</v>
      </c>
      <c r="AL104" s="455" t="str">
        <f>IF(ISERROR(VLOOKUP(D104,'Base de Datos'!$C$7:$AR$400,3,0))=TRUE," ",(VLOOKUP(D104,'Base de Datos'!$C$7:$AR$400,3,0)))</f>
        <v>150192-0-2015</v>
      </c>
      <c r="AM104" s="458"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8">
        <f>IF(ISERROR(VLOOKUP(D104,'Base de Datos'!$C$7:$AR$400,20,0))=TRUE," ",(VLOOKUP(D104,'Base de Datos'!$C$7:$AR$400,19,0)))</f>
        <v>559200000</v>
      </c>
      <c r="AO104" s="461">
        <f>IF(ISERROR(VLOOKUP(D104,'Base de Datos'!$C$7:$AR$400,9,0))=TRUE," ",(VLOOKUP(D104,'Base de Datos'!$C$7:$AR$400,9,0)))</f>
        <v>2015</v>
      </c>
      <c r="AP104" s="461">
        <f>IF(ISERROR(VLOOKUP(D104,'Base de Datos'!$C$7:$AR$400,10,0))=TRUE," ",(VLOOKUP(D104,'Base de Datos'!$C$7:$AR$400,10,0)))</f>
        <v>42109</v>
      </c>
      <c r="AQ104" s="463">
        <f>IF(ISERROR(VLOOKUP(D104,'Base de Datos'!$C$7:$AR$400,11,0))=TRUE," ",(VLOOKUP(D104,'Base de Datos'!$C$7:$AR$400,11,0)))</f>
        <v>42109</v>
      </c>
      <c r="AR104" s="464">
        <f>IF(ISERROR(VLOOKUP(D104,'Base de Datos'!$C$7:$AR$400,12,0))=TRUE," ",(VLOOKUP(D104,'Base de Datos'!$C$7:$AR$400,12,0)))</f>
        <v>42429</v>
      </c>
      <c r="AS104" s="463">
        <f>IF(ISERROR(VLOOKUP(D104,'Base de Datos'!$C$7:$AR$400,13,0))=TRUE," ",(VLOOKUP(D104,'Base de Datos'!$C$7:$AR$400,13,0)))</f>
        <v>1</v>
      </c>
      <c r="AT104" s="463">
        <f>IF(ISERROR(VLOOKUP(D104,'Base de Datos'!$C$7:$AR$400,14,0))=TRUE," ",(VLOOKUP(D104,'Base de Datos'!$C$7:$AR$400,14,0)))</f>
        <v>180000000</v>
      </c>
      <c r="AU104" s="461" t="str">
        <f>IF(ISERROR(VLOOKUP(D104,'Base de Datos'!$C$7:$AR$400,16,0))=TRUE," ",(VLOOKUP(D104,'Base de Datos'!$C$7:$AR$400,16,0)))</f>
        <v>5 meses y 16 dias</v>
      </c>
      <c r="AV104" s="465">
        <f>IF(ISERROR(VLOOKUP(D104,'Base de Datos'!$C$7:$AR$400,17,0))=TRUE," ",(VLOOKUP(D104,'Base de Datos'!$C$7:$AR$400,17,0)))</f>
        <v>42582</v>
      </c>
      <c r="AW104" s="465">
        <f>IF(ISERROR(VLOOKUP(D104,'Base de Datos'!$C$7:$AR$400,18,0))=TRUE," ",(VLOOKUP(D104,'Base de Datos'!$C$7:$AR$400,18,0)))</f>
        <v>42582</v>
      </c>
      <c r="AX104" s="465">
        <f>IF(ISERROR(VLOOKUP(D104,'Base de Datos'!$C$7:$AR$400,19,0))=TRUE," ",(VLOOKUP(D104,'Base de Datos'!$C$7:$AR$400,19,0)))</f>
        <v>559200000</v>
      </c>
      <c r="AY104" s="468">
        <f>IF(ISERROR(VLOOKUP(D104,'Base de Datos'!$C$7:$AR$400,21,0))=TRUE," ",(VLOOKUP(D104,'Base de Datos'!$C$7:$AR$400,21,0)))</f>
        <v>0</v>
      </c>
      <c r="AZ104" s="468" t="str">
        <f>IF(ISERROR(VLOOKUP(D104,'Base de Datos'!$C$7:$AR$400,22,0))=TRUE," ",(VLOOKUP(D104,'Base de Datos'!$C$7:$AR$400,22,0)))</f>
        <v>Mensualidades anticipadas</v>
      </c>
      <c r="BA104" s="475"/>
      <c r="BB104" s="485"/>
    </row>
    <row r="105" spans="2:54" ht="55.5" hidden="1" customHeight="1" x14ac:dyDescent="0.25">
      <c r="B105" s="438">
        <v>98</v>
      </c>
      <c r="C105" s="446" t="s">
        <v>1678</v>
      </c>
      <c r="D105" s="438">
        <v>209</v>
      </c>
      <c r="E105" s="446" t="s">
        <v>1682</v>
      </c>
      <c r="F105" s="447">
        <f>VLOOKUP(D105,'Presupuesto - PAA 2015'!$B$10:$E$265,4,0)</f>
        <v>0</v>
      </c>
      <c r="G105" s="439" t="str">
        <f>VLOOKUP(D105,'[3]Seguimiento Plan'!$C$2:$R$101,16,0)</f>
        <v>Arriendo de instalaciones para acondicionamiento de áreas  requeridas por el Concejo Distrital</v>
      </c>
      <c r="H105" s="439" t="s">
        <v>1779</v>
      </c>
      <c r="I105" s="439" t="s">
        <v>1723</v>
      </c>
      <c r="J105" s="448" t="s">
        <v>908</v>
      </c>
      <c r="K105" s="449"/>
      <c r="L105" s="449"/>
      <c r="M105" s="450"/>
      <c r="N105" s="449"/>
      <c r="O105" s="451"/>
      <c r="P105" s="451"/>
      <c r="Q105" s="451"/>
      <c r="R105" s="452"/>
      <c r="S105" s="452"/>
      <c r="T105" s="453"/>
      <c r="U105" s="455" t="str">
        <f>IF(ISERROR(VLOOKUP(T105,'Base de Datos'!$E$7:$AR$302,3,0))=TRUE," ",(VLOOKUP(T105,'Base de Datos'!$E$7:$AR$302,2,0)))</f>
        <v xml:space="preserve"> </v>
      </c>
      <c r="V105" s="458" t="str">
        <f>IF(ISERROR(VLOOKUP(T105,'Base de Datos'!$E$7:$AR$302,5,0))=TRUE," ",(VLOOKUP(T105,'Base de Datos'!$E$7:$AR$302,5,0)))</f>
        <v xml:space="preserve"> </v>
      </c>
      <c r="W105" s="455" t="str">
        <f>IF(ISERROR(VLOOKUP(T105,'Base de Datos'!$E$7:$AR$302,19,0))=TRUE," ",(VLOOKUP(T105,'Base de Datos'!$E$7:$AR$302,19,0)))</f>
        <v xml:space="preserve"> </v>
      </c>
      <c r="X105" s="460" t="str">
        <f>IF(ISERROR(VLOOKUP(T105,'Base de Datos'!$E$7:$AR$302,8,0))=TRUE," ",(VLOOKUP(T105,'Base de Datos'!$E$7:$AR$302,8,0)))</f>
        <v xml:space="preserve"> </v>
      </c>
      <c r="Y105" s="460" t="str">
        <f>IF(ISERROR(VLOOKUP(T105,'Base de Datos'!$E$7:$AR$302,9,0))=TRUE," ",(VLOOKUP(T105,'Base de Datos'!$E$7:$AR$302,9,0)))</f>
        <v xml:space="preserve"> </v>
      </c>
      <c r="Z105" s="454" t="str">
        <f>IF(ISERROR(VLOOKUP(T105,'Base de Datos'!$E$7:$AR$302,10,0))=TRUE," ",(VLOOKUP(T105,'Base de Datos'!$E$7:$AR$302,10,0)))</f>
        <v xml:space="preserve"> </v>
      </c>
      <c r="AA105" s="457" t="str">
        <f>IF(ISERROR(VLOOKUP(T105,'Base de Datos'!$E$7:$AR$302,11,0))=TRUE," ",(VLOOKUP(T105,'Base de Datos'!$E$7:$AR$302,11,0)))</f>
        <v xml:space="preserve"> </v>
      </c>
      <c r="AB105" s="454" t="str">
        <f>IF(ISERROR(VLOOKUP(T105,'Base de Datos'!$E$7:$AR$302,12,0))=TRUE," ",(VLOOKUP(T105,'Base de Datos'!$E$7:$AR$302,12,0)))</f>
        <v xml:space="preserve"> </v>
      </c>
      <c r="AC105" s="454" t="str">
        <f>IF(ISERROR(VLOOKUP(T105,'Base de Datos'!$E$7:$AR$302,12,0))=TRUE," ",(VLOOKUP(T105,'Base de Datos'!$E$7:$AR$302,12,0)))</f>
        <v xml:space="preserve"> </v>
      </c>
      <c r="AD105" s="460" t="str">
        <f>IF(ISERROR(VLOOKUP(T105,'Base de Datos'!$E$7:$AR$302,15,0))=TRUE," ",(VLOOKUP(T105,'Base de Datos'!$E$7:$AR$302,15,0)))</f>
        <v xml:space="preserve"> </v>
      </c>
      <c r="AE105" s="465" t="str">
        <f>IF(ISERROR(VLOOKUP(T105,'Base de Datos'!$E$7:$AR$302,16,0))=TRUE," ",(VLOOKUP(T105,'Base de Datos'!$E$7:$AR$302,16,0)))</f>
        <v xml:space="preserve"> </v>
      </c>
      <c r="AF105" s="465" t="str">
        <f>IF(ISERROR(VLOOKUP(T105,'Base de Datos'!$E$7:$AR$302,17,0))=TRUE," ",(VLOOKUP(T105,'Base de Datos'!$E$7:$AR$302,17,0)))</f>
        <v xml:space="preserve"> </v>
      </c>
      <c r="AG105" s="465" t="str">
        <f>IF(ISERROR(VLOOKUP(T105,'Base de Datos'!$E$7:$AR$302,18,0))=TRUE," ",(VLOOKUP(T105,'Base de Datos'!$E$7:$AR$302,18,0)))</f>
        <v xml:space="preserve"> </v>
      </c>
      <c r="AH105" s="466" t="str">
        <f>IF(ISERROR(VLOOKUP(T105,'Base de Datos'!$E$7:$AR$302,20,0))=TRUE," ",(VLOOKUP(T105,'Base de Datos'!$E$7:$AR$302,20,0)))</f>
        <v xml:space="preserve"> </v>
      </c>
      <c r="AI105" s="466" t="str">
        <f>IF(ISERROR(VLOOKUP(T105,'Base de Datos'!$E$7:$AR$302,21,0))=TRUE," ",(VLOOKUP(T105,'Base de Datos'!$E$7:$AR$302,21,0)))</f>
        <v xml:space="preserve"> </v>
      </c>
      <c r="AJ105" s="455"/>
      <c r="AK105" s="455" t="str">
        <f>IF(ISERROR(VLOOKUP(D105,'Base de Datos'!$C$7:$AR$400,2,0))=TRUE," ",(VLOOKUP(D105,'Base de Datos'!$C$7:$AR$400,2,0)))</f>
        <v xml:space="preserve"> </v>
      </c>
      <c r="AL105" s="455" t="str">
        <f>IF(ISERROR(VLOOKUP(D105,'Base de Datos'!$C$7:$AR$400,3,0))=TRUE," ",(VLOOKUP(D105,'Base de Datos'!$C$7:$AR$400,3,0)))</f>
        <v xml:space="preserve"> </v>
      </c>
      <c r="AM105" s="458" t="e">
        <f>IF(ISERROR(VLOOKUP(D105,'Base de Datos'!$C$7:$AR$4014,6,0))=TRUE," ",(VLOOKUP(D105,'Base de Datos'!$C$7:$AR$400,6,0)))</f>
        <v>#N/A</v>
      </c>
      <c r="AN105" s="458" t="str">
        <f>IF(ISERROR(VLOOKUP(D105,'Base de Datos'!$C$7:$AR$400,20,0))=TRUE," ",(VLOOKUP(D105,'Base de Datos'!$C$7:$AR$400,19,0)))</f>
        <v xml:space="preserve"> </v>
      </c>
      <c r="AO105" s="461" t="str">
        <f>IF(ISERROR(VLOOKUP(D105,'Base de Datos'!$C$7:$AR$400,9,0))=TRUE," ",(VLOOKUP(D105,'Base de Datos'!$C$7:$AR$400,9,0)))</f>
        <v xml:space="preserve"> </v>
      </c>
      <c r="AP105" s="461" t="str">
        <f>IF(ISERROR(VLOOKUP(D105,'Base de Datos'!$C$7:$AR$400,10,0))=TRUE," ",(VLOOKUP(D105,'Base de Datos'!$C$7:$AR$400,10,0)))</f>
        <v xml:space="preserve"> </v>
      </c>
      <c r="AQ105" s="463" t="str">
        <f>IF(ISERROR(VLOOKUP(D105,'Base de Datos'!$C$7:$AR$400,11,0))=TRUE," ",(VLOOKUP(D105,'Base de Datos'!$C$7:$AR$400,11,0)))</f>
        <v xml:space="preserve"> </v>
      </c>
      <c r="AR105" s="464" t="str">
        <f>IF(ISERROR(VLOOKUP(D105,'Base de Datos'!$C$7:$AR$400,12,0))=TRUE," ",(VLOOKUP(D105,'Base de Datos'!$C$7:$AR$400,12,0)))</f>
        <v xml:space="preserve"> </v>
      </c>
      <c r="AS105" s="463" t="str">
        <f>IF(ISERROR(VLOOKUP(D105,'Base de Datos'!$C$7:$AR$400,13,0))=TRUE," ",(VLOOKUP(D105,'Base de Datos'!$C$7:$AR$400,13,0)))</f>
        <v xml:space="preserve"> </v>
      </c>
      <c r="AT105" s="463" t="str">
        <f>IF(ISERROR(VLOOKUP(D105,'Base de Datos'!$C$7:$AR$400,14,0))=TRUE," ",(VLOOKUP(D105,'Base de Datos'!$C$7:$AR$400,14,0)))</f>
        <v xml:space="preserve"> </v>
      </c>
      <c r="AU105" s="461" t="str">
        <f>IF(ISERROR(VLOOKUP(D105,'Base de Datos'!$C$7:$AR$400,16,0))=TRUE," ",(VLOOKUP(D105,'Base de Datos'!$C$7:$AR$400,16,0)))</f>
        <v xml:space="preserve"> </v>
      </c>
      <c r="AV105" s="465" t="str">
        <f>IF(ISERROR(VLOOKUP(D105,'Base de Datos'!$C$7:$AR$400,17,0))=TRUE," ",(VLOOKUP(D105,'Base de Datos'!$C$7:$AR$400,17,0)))</f>
        <v xml:space="preserve"> </v>
      </c>
      <c r="AW105" s="465" t="str">
        <f>IF(ISERROR(VLOOKUP(D105,'Base de Datos'!$C$7:$AR$400,18,0))=TRUE," ",(VLOOKUP(D105,'Base de Datos'!$C$7:$AR$400,18,0)))</f>
        <v xml:space="preserve"> </v>
      </c>
      <c r="AX105" s="465" t="str">
        <f>IF(ISERROR(VLOOKUP(D105,'Base de Datos'!$C$7:$AR$400,19,0))=TRUE," ",(VLOOKUP(D105,'Base de Datos'!$C$7:$AR$400,19,0)))</f>
        <v xml:space="preserve"> </v>
      </c>
      <c r="AY105" s="468" t="str">
        <f>IF(ISERROR(VLOOKUP(D105,'Base de Datos'!$C$7:$AR$400,21,0))=TRUE," ",(VLOOKUP(D105,'Base de Datos'!$C$7:$AR$400,21,0)))</f>
        <v xml:space="preserve"> </v>
      </c>
      <c r="AZ105" s="468" t="str">
        <f>IF(ISERROR(VLOOKUP(D105,'Base de Datos'!$C$7:$AR$400,22,0))=TRUE," ",(VLOOKUP(D105,'Base de Datos'!$C$7:$AR$400,22,0)))</f>
        <v xml:space="preserve"> </v>
      </c>
      <c r="BA105" s="475"/>
      <c r="BB105" s="485"/>
    </row>
    <row r="106" spans="2:54" ht="55.5" hidden="1" customHeight="1" x14ac:dyDescent="0.25">
      <c r="B106" s="438">
        <v>99</v>
      </c>
      <c r="C106" s="446" t="s">
        <v>1678</v>
      </c>
      <c r="D106" s="438">
        <v>210</v>
      </c>
      <c r="E106" s="446" t="s">
        <v>1682</v>
      </c>
      <c r="F106" s="447">
        <f>VLOOKUP(D106,'Presupuesto - PAA 2015'!$B$10:$E$265,4,0)</f>
        <v>4174276985</v>
      </c>
      <c r="G106" s="439"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9" t="s">
        <v>1779</v>
      </c>
      <c r="I106" s="439" t="s">
        <v>1722</v>
      </c>
      <c r="J106" s="448" t="s">
        <v>908</v>
      </c>
      <c r="K106" s="449" t="s">
        <v>390</v>
      </c>
      <c r="L106" s="449" t="str">
        <f>VLOOKUP(D106,'[3]Seguimiento Plan'!$C$2:$AJ$101,30,0)</f>
        <v>SI</v>
      </c>
      <c r="M106" s="450">
        <f>VLOOKUP(D106,'[3]Seguimiento Plan'!$C$2:$AJ$101,31,0)</f>
        <v>42087</v>
      </c>
      <c r="N106" s="449" t="s">
        <v>1820</v>
      </c>
      <c r="O106" s="451"/>
      <c r="P106" s="451"/>
      <c r="Q106" s="451"/>
      <c r="R106" s="452"/>
      <c r="S106" s="470" t="s">
        <v>1639</v>
      </c>
      <c r="T106" s="347" t="s">
        <v>291</v>
      </c>
      <c r="U106" s="455" t="str">
        <f>IF(ISERROR(VLOOKUP(T106,'Base de Datos'!$E$7:$AR$302,3,0))=TRUE," ",(VLOOKUP(T106,'Base de Datos'!$E$7:$AR$302,2,0)))</f>
        <v>UNIDAD NACIONAL DE PROTECCIÓN</v>
      </c>
      <c r="V106" s="458">
        <f>IF(ISERROR(VLOOKUP(T106,'Base de Datos'!$E$7:$AR$302,5,0))=TRUE," ",(VLOOKUP(T106,'Base de Datos'!$E$7:$AR$302,5,0)))</f>
        <v>2447846100</v>
      </c>
      <c r="W106" s="455">
        <f>IF(ISERROR(VLOOKUP(T106,'Base de Datos'!$E$7:$AR$302,19,0))=TRUE," ",(VLOOKUP(T106,'Base de Datos'!$E$7:$AR$302,19,0)))</f>
        <v>143190470</v>
      </c>
      <c r="X106" s="460" t="str">
        <f>IF(ISERROR(VLOOKUP(T106,'Base de Datos'!$E$7:$AR$302,8,0))=TRUE," ",(VLOOKUP(T106,'Base de Datos'!$E$7:$AR$302,8,0)))</f>
        <v xml:space="preserve"> </v>
      </c>
      <c r="Y106" s="460">
        <f>IF(ISERROR(VLOOKUP(T106,'Base de Datos'!$E$7:$AR$302,9,0))=TRUE," ",(VLOOKUP(T106,'Base de Datos'!$E$7:$AR$302,9,0)))</f>
        <v>41808</v>
      </c>
      <c r="Z106" s="454">
        <f>IF(ISERROR(VLOOKUP(T106,'Base de Datos'!$E$7:$AR$302,10,0))=TRUE," ",(VLOOKUP(T106,'Base de Datos'!$E$7:$AR$302,10,0)))</f>
        <v>42021</v>
      </c>
      <c r="AA106" s="457">
        <f>IF(ISERROR(VLOOKUP(T106,'Base de Datos'!$E$7:$AR$302,11,0))=TRUE," ",(VLOOKUP(T106,'Base de Datos'!$E$7:$AR$302,11,0)))</f>
        <v>1</v>
      </c>
      <c r="AB106" s="454">
        <f>IF(ISERROR(VLOOKUP(T106,'Base de Datos'!$E$7:$AR$302,12,0))=TRUE," ",(VLOOKUP(T106,'Base de Datos'!$E$7:$AR$302,12,0)))</f>
        <v>1015608000</v>
      </c>
      <c r="AC106" s="454">
        <f>IF(ISERROR(VLOOKUP(T106,'Base de Datos'!$E$7:$AR$302,12,0))=TRUE," ",(VLOOKUP(T106,'Base de Datos'!$E$7:$AR$302,12,0)))</f>
        <v>1015608000</v>
      </c>
      <c r="AD106" s="460">
        <f>IF(ISERROR(VLOOKUP(T106,'Base de Datos'!$E$7:$AR$302,15,0))=TRUE," ",(VLOOKUP(T106,'Base de Datos'!$E$7:$AR$302,15,0)))</f>
        <v>42116</v>
      </c>
      <c r="AE106" s="465">
        <f>IF(ISERROR(VLOOKUP(T106,'Base de Datos'!$E$7:$AR$302,16,0))=TRUE," ",(VLOOKUP(T106,'Base de Datos'!$E$7:$AR$302,16,0)))</f>
        <v>42116</v>
      </c>
      <c r="AF106" s="465">
        <f>IF(ISERROR(VLOOKUP(T106,'Base de Datos'!$E$7:$AR$302,17,0))=TRUE," ",(VLOOKUP(T106,'Base de Datos'!$E$7:$AR$302,17,0)))</f>
        <v>3463454100</v>
      </c>
      <c r="AG106" s="465">
        <f>IF(ISERROR(VLOOKUP(T106,'Base de Datos'!$E$7:$AR$302,18,0))=TRUE," ",(VLOOKUP(T106,'Base de Datos'!$E$7:$AR$302,18,0)))</f>
        <v>3320263630</v>
      </c>
      <c r="AH106" s="466"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6">
        <f>IF(ISERROR(VLOOKUP(T106,'Base de Datos'!$E$7:$AR$302,21,0))=TRUE," ",(VLOOKUP(T106,'Base de Datos'!$E$7:$AR$302,21,0)))</f>
        <v>0.95865674385579414</v>
      </c>
      <c r="AJ106" s="460">
        <v>42117</v>
      </c>
      <c r="AK106" s="455" t="str">
        <f>IF(ISERROR(VLOOKUP(D106,'Base de Datos'!$C$7:$AR$400,2,0))=TRUE," ",(VLOOKUP(D106,'Base de Datos'!$C$7:$AR$400,2,0)))</f>
        <v>2015210</v>
      </c>
      <c r="AL106" s="455" t="str">
        <f>IF(ISERROR(VLOOKUP(D106,'Base de Datos'!$C$7:$AR$400,3,0))=TRUE," ",(VLOOKUP(D106,'Base de Datos'!$C$7:$AR$400,3,0)))</f>
        <v>150198-0-2015</v>
      </c>
      <c r="AM106" s="458"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8">
        <f>IF(ISERROR(VLOOKUP(D106,'Base de Datos'!$C$7:$AR$400,20,0))=TRUE," ",(VLOOKUP(D106,'Base de Datos'!$C$7:$AR$400,19,0)))</f>
        <v>4174276985</v>
      </c>
      <c r="AO106" s="461">
        <f>IF(ISERROR(VLOOKUP(D106,'Base de Datos'!$C$7:$AR$400,9,0))=TRUE," ",(VLOOKUP(D106,'Base de Datos'!$C$7:$AR$400,9,0)))</f>
        <v>2015</v>
      </c>
      <c r="AP106" s="461">
        <f>IF(ISERROR(VLOOKUP(D106,'Base de Datos'!$C$7:$AR$400,10,0))=TRUE," ",(VLOOKUP(D106,'Base de Datos'!$C$7:$AR$400,10,0)))</f>
        <v>42117</v>
      </c>
      <c r="AQ106" s="463">
        <f>IF(ISERROR(VLOOKUP(D106,'Base de Datos'!$C$7:$AR$400,11,0))=TRUE," ",(VLOOKUP(D106,'Base de Datos'!$C$7:$AR$400,11,0)))</f>
        <v>42117</v>
      </c>
      <c r="AR106" s="464">
        <f>IF(ISERROR(VLOOKUP(D106,'Base de Datos'!$C$7:$AR$400,12,0))=TRUE," ",(VLOOKUP(D106,'Base de Datos'!$C$7:$AR$400,12,0)))</f>
        <v>42468</v>
      </c>
      <c r="AS106" s="463">
        <f>IF(ISERROR(VLOOKUP(D106,'Base de Datos'!$C$7:$AR$400,13,0))=TRUE," ",(VLOOKUP(D106,'Base de Datos'!$C$7:$AR$400,13,0)))</f>
        <v>0</v>
      </c>
      <c r="AT106" s="463">
        <f>IF(ISERROR(VLOOKUP(D106,'Base de Datos'!$C$7:$AR$400,14,0))=TRUE," ",(VLOOKUP(D106,'Base de Datos'!$C$7:$AR$400,14,0)))</f>
        <v>0</v>
      </c>
      <c r="AU106" s="461" t="str">
        <f>IF(ISERROR(VLOOKUP(D106,'Base de Datos'!$C$7:$AR$400,16,0))=TRUE," ",(VLOOKUP(D106,'Base de Datos'!$C$7:$AR$400,16,0)))</f>
        <v/>
      </c>
      <c r="AV106" s="465" t="str">
        <f>IF(ISERROR(VLOOKUP(D106,'Base de Datos'!$C$7:$AR$400,17,0))=TRUE," ",(VLOOKUP(D106,'Base de Datos'!$C$7:$AR$400,17,0)))</f>
        <v/>
      </c>
      <c r="AW106" s="465">
        <f>IF(ISERROR(VLOOKUP(D106,'Base de Datos'!$C$7:$AR$400,18,0))=TRUE," ",(VLOOKUP(D106,'Base de Datos'!$C$7:$AR$400,18,0)))</f>
        <v>42468</v>
      </c>
      <c r="AX106" s="465">
        <f>IF(ISERROR(VLOOKUP(D106,'Base de Datos'!$C$7:$AR$400,19,0))=TRUE," ",(VLOOKUP(D106,'Base de Datos'!$C$7:$AR$400,19,0)))</f>
        <v>4174276985</v>
      </c>
      <c r="AY106" s="468">
        <f>IF(ISERROR(VLOOKUP(D106,'Base de Datos'!$C$7:$AR$400,21,0))=TRUE," ",(VLOOKUP(D106,'Base de Datos'!$C$7:$AR$400,21,0)))</f>
        <v>417427697</v>
      </c>
      <c r="AZ106" s="468" t="str">
        <f>IF(ISERROR(VLOOKUP(D106,'Base de Datos'!$C$7:$AR$400,22,0))=TRUE," ",(VLOOKUP(D106,'Base de Datos'!$C$7:$AR$400,22,0)))</f>
        <v>Porcentaje de avance</v>
      </c>
      <c r="BA106" s="475"/>
      <c r="BB106" s="485"/>
    </row>
    <row r="107" spans="2:54" ht="55.5" hidden="1" customHeight="1" x14ac:dyDescent="0.25">
      <c r="B107" s="438">
        <v>100</v>
      </c>
      <c r="C107" s="446" t="s">
        <v>1678</v>
      </c>
      <c r="D107" s="438">
        <v>211</v>
      </c>
      <c r="E107" s="446" t="s">
        <v>1682</v>
      </c>
      <c r="F107" s="447">
        <f>VLOOKUP(D107,'Presupuesto - PAA 2015'!$B$10:$E$265,4,0)</f>
        <v>0</v>
      </c>
      <c r="G107" s="439" t="str">
        <f>VLOOKUP(D107,'[3]Seguimiento Plan'!$C$2:$R$101,16,0)</f>
        <v>Arriendo de un inmueble para la sede del Concejo de Bogotá.</v>
      </c>
      <c r="H107" s="439" t="s">
        <v>1779</v>
      </c>
      <c r="I107" s="439" t="s">
        <v>1723</v>
      </c>
      <c r="J107" s="448" t="s">
        <v>908</v>
      </c>
      <c r="K107" s="449"/>
      <c r="L107" s="449"/>
      <c r="M107" s="450"/>
      <c r="N107" s="449"/>
      <c r="O107" s="451"/>
      <c r="P107" s="451"/>
      <c r="Q107" s="451"/>
      <c r="R107" s="452"/>
      <c r="S107" s="452"/>
      <c r="T107" s="453"/>
      <c r="U107" s="455" t="str">
        <f>IF(ISERROR(VLOOKUP(T107,'Base de Datos'!$E$7:$AR$302,3,0))=TRUE," ",(VLOOKUP(T107,'Base de Datos'!$E$7:$AR$302,2,0)))</f>
        <v xml:space="preserve"> </v>
      </c>
      <c r="V107" s="458" t="str">
        <f>IF(ISERROR(VLOOKUP(T107,'Base de Datos'!$E$7:$AR$302,5,0))=TRUE," ",(VLOOKUP(T107,'Base de Datos'!$E$7:$AR$302,5,0)))</f>
        <v xml:space="preserve"> </v>
      </c>
      <c r="W107" s="455" t="str">
        <f>IF(ISERROR(VLOOKUP(T107,'Base de Datos'!$E$7:$AR$302,19,0))=TRUE," ",(VLOOKUP(T107,'Base de Datos'!$E$7:$AR$302,19,0)))</f>
        <v xml:space="preserve"> </v>
      </c>
      <c r="X107" s="460" t="str">
        <f>IF(ISERROR(VLOOKUP(T107,'Base de Datos'!$E$7:$AR$302,8,0))=TRUE," ",(VLOOKUP(T107,'Base de Datos'!$E$7:$AR$302,8,0)))</f>
        <v xml:space="preserve"> </v>
      </c>
      <c r="Y107" s="460" t="str">
        <f>IF(ISERROR(VLOOKUP(T107,'Base de Datos'!$E$7:$AR$302,9,0))=TRUE," ",(VLOOKUP(T107,'Base de Datos'!$E$7:$AR$302,9,0)))</f>
        <v xml:space="preserve"> </v>
      </c>
      <c r="Z107" s="454" t="str">
        <f>IF(ISERROR(VLOOKUP(T107,'Base de Datos'!$E$7:$AR$302,10,0))=TRUE," ",(VLOOKUP(T107,'Base de Datos'!$E$7:$AR$302,10,0)))</f>
        <v xml:space="preserve"> </v>
      </c>
      <c r="AA107" s="457" t="str">
        <f>IF(ISERROR(VLOOKUP(T107,'Base de Datos'!$E$7:$AR$302,11,0))=TRUE," ",(VLOOKUP(T107,'Base de Datos'!$E$7:$AR$302,11,0)))</f>
        <v xml:space="preserve"> </v>
      </c>
      <c r="AB107" s="454" t="str">
        <f>IF(ISERROR(VLOOKUP(T107,'Base de Datos'!$E$7:$AR$302,12,0))=TRUE," ",(VLOOKUP(T107,'Base de Datos'!$E$7:$AR$302,12,0)))</f>
        <v xml:space="preserve"> </v>
      </c>
      <c r="AC107" s="454" t="str">
        <f>IF(ISERROR(VLOOKUP(T107,'Base de Datos'!$E$7:$AR$302,12,0))=TRUE," ",(VLOOKUP(T107,'Base de Datos'!$E$7:$AR$302,12,0)))</f>
        <v xml:space="preserve"> </v>
      </c>
      <c r="AD107" s="460" t="str">
        <f>IF(ISERROR(VLOOKUP(T107,'Base de Datos'!$E$7:$AR$302,15,0))=TRUE," ",(VLOOKUP(T107,'Base de Datos'!$E$7:$AR$302,15,0)))</f>
        <v xml:space="preserve"> </v>
      </c>
      <c r="AE107" s="465" t="str">
        <f>IF(ISERROR(VLOOKUP(T107,'Base de Datos'!$E$7:$AR$302,16,0))=TRUE," ",(VLOOKUP(T107,'Base de Datos'!$E$7:$AR$302,16,0)))</f>
        <v xml:space="preserve"> </v>
      </c>
      <c r="AF107" s="465" t="str">
        <f>IF(ISERROR(VLOOKUP(T107,'Base de Datos'!$E$7:$AR$302,17,0))=TRUE," ",(VLOOKUP(T107,'Base de Datos'!$E$7:$AR$302,17,0)))</f>
        <v xml:space="preserve"> </v>
      </c>
      <c r="AG107" s="465" t="str">
        <f>IF(ISERROR(VLOOKUP(T107,'Base de Datos'!$E$7:$AR$302,18,0))=TRUE," ",(VLOOKUP(T107,'Base de Datos'!$E$7:$AR$302,18,0)))</f>
        <v xml:space="preserve"> </v>
      </c>
      <c r="AH107" s="466" t="str">
        <f>IF(ISERROR(VLOOKUP(T107,'Base de Datos'!$E$7:$AR$302,20,0))=TRUE," ",(VLOOKUP(T107,'Base de Datos'!$E$7:$AR$302,20,0)))</f>
        <v xml:space="preserve"> </v>
      </c>
      <c r="AI107" s="466" t="str">
        <f>IF(ISERROR(VLOOKUP(T107,'Base de Datos'!$E$7:$AR$302,21,0))=TRUE," ",(VLOOKUP(T107,'Base de Datos'!$E$7:$AR$302,21,0)))</f>
        <v xml:space="preserve"> </v>
      </c>
      <c r="AJ107" s="455"/>
      <c r="AK107" s="455" t="str">
        <f>IF(ISERROR(VLOOKUP(D107,'Base de Datos'!$C$7:$AR$400,2,0))=TRUE," ",(VLOOKUP(D107,'Base de Datos'!$C$7:$AR$400,2,0)))</f>
        <v xml:space="preserve"> </v>
      </c>
      <c r="AL107" s="455" t="str">
        <f>IF(ISERROR(VLOOKUP(D107,'Base de Datos'!$C$7:$AR$400,3,0))=TRUE," ",(VLOOKUP(D107,'Base de Datos'!$C$7:$AR$400,3,0)))</f>
        <v xml:space="preserve"> </v>
      </c>
      <c r="AM107" s="458" t="e">
        <f>IF(ISERROR(VLOOKUP(D107,'Base de Datos'!$C$7:$AR$4014,6,0))=TRUE," ",(VLOOKUP(D107,'Base de Datos'!$C$7:$AR$400,6,0)))</f>
        <v>#N/A</v>
      </c>
      <c r="AN107" s="458" t="str">
        <f>IF(ISERROR(VLOOKUP(D107,'Base de Datos'!$C$7:$AR$400,20,0))=TRUE," ",(VLOOKUP(D107,'Base de Datos'!$C$7:$AR$400,19,0)))</f>
        <v xml:space="preserve"> </v>
      </c>
      <c r="AO107" s="461" t="str">
        <f>IF(ISERROR(VLOOKUP(D107,'Base de Datos'!$C$7:$AR$400,9,0))=TRUE," ",(VLOOKUP(D107,'Base de Datos'!$C$7:$AR$400,9,0)))</f>
        <v xml:space="preserve"> </v>
      </c>
      <c r="AP107" s="461" t="str">
        <f>IF(ISERROR(VLOOKUP(D107,'Base de Datos'!$C$7:$AR$400,10,0))=TRUE," ",(VLOOKUP(D107,'Base de Datos'!$C$7:$AR$400,10,0)))</f>
        <v xml:space="preserve"> </v>
      </c>
      <c r="AQ107" s="463" t="str">
        <f>IF(ISERROR(VLOOKUP(D107,'Base de Datos'!$C$7:$AR$400,11,0))=TRUE," ",(VLOOKUP(D107,'Base de Datos'!$C$7:$AR$400,11,0)))</f>
        <v xml:space="preserve"> </v>
      </c>
      <c r="AR107" s="464" t="str">
        <f>IF(ISERROR(VLOOKUP(D107,'Base de Datos'!$C$7:$AR$400,12,0))=TRUE," ",(VLOOKUP(D107,'Base de Datos'!$C$7:$AR$400,12,0)))</f>
        <v xml:space="preserve"> </v>
      </c>
      <c r="AS107" s="463" t="str">
        <f>IF(ISERROR(VLOOKUP(D107,'Base de Datos'!$C$7:$AR$400,13,0))=TRUE," ",(VLOOKUP(D107,'Base de Datos'!$C$7:$AR$400,13,0)))</f>
        <v xml:space="preserve"> </v>
      </c>
      <c r="AT107" s="463" t="str">
        <f>IF(ISERROR(VLOOKUP(D107,'Base de Datos'!$C$7:$AR$400,14,0))=TRUE," ",(VLOOKUP(D107,'Base de Datos'!$C$7:$AR$400,14,0)))</f>
        <v xml:space="preserve"> </v>
      </c>
      <c r="AU107" s="461" t="str">
        <f>IF(ISERROR(VLOOKUP(D107,'Base de Datos'!$C$7:$AR$400,16,0))=TRUE," ",(VLOOKUP(D107,'Base de Datos'!$C$7:$AR$400,16,0)))</f>
        <v xml:space="preserve"> </v>
      </c>
      <c r="AV107" s="465" t="str">
        <f>IF(ISERROR(VLOOKUP(D107,'Base de Datos'!$C$7:$AR$400,17,0))=TRUE," ",(VLOOKUP(D107,'Base de Datos'!$C$7:$AR$400,17,0)))</f>
        <v xml:space="preserve"> </v>
      </c>
      <c r="AW107" s="465" t="str">
        <f>IF(ISERROR(VLOOKUP(D107,'Base de Datos'!$C$7:$AR$400,18,0))=TRUE," ",(VLOOKUP(D107,'Base de Datos'!$C$7:$AR$400,18,0)))</f>
        <v xml:space="preserve"> </v>
      </c>
      <c r="AX107" s="465" t="str">
        <f>IF(ISERROR(VLOOKUP(D107,'Base de Datos'!$C$7:$AR$400,19,0))=TRUE," ",(VLOOKUP(D107,'Base de Datos'!$C$7:$AR$400,19,0)))</f>
        <v xml:space="preserve"> </v>
      </c>
      <c r="AY107" s="468" t="str">
        <f>IF(ISERROR(VLOOKUP(D107,'Base de Datos'!$C$7:$AR$400,21,0))=TRUE," ",(VLOOKUP(D107,'Base de Datos'!$C$7:$AR$400,21,0)))</f>
        <v xml:space="preserve"> </v>
      </c>
      <c r="AZ107" s="468" t="str">
        <f>IF(ISERROR(VLOOKUP(D107,'Base de Datos'!$C$7:$AR$400,22,0))=TRUE," ",(VLOOKUP(D107,'Base de Datos'!$C$7:$AR$400,22,0)))</f>
        <v xml:space="preserve"> </v>
      </c>
      <c r="BA107" s="475"/>
      <c r="BB107" s="485"/>
    </row>
    <row r="108" spans="2:54" ht="55.5" hidden="1" customHeight="1" x14ac:dyDescent="0.25">
      <c r="B108" s="438">
        <v>101</v>
      </c>
      <c r="C108" s="446" t="s">
        <v>1678</v>
      </c>
      <c r="D108" s="438">
        <v>212</v>
      </c>
      <c r="E108" s="446" t="s">
        <v>1682</v>
      </c>
      <c r="F108" s="447">
        <f>VLOOKUP(D108,'Presupuesto - PAA 2015'!$B$10:$E$265,4,0)</f>
        <v>0</v>
      </c>
      <c r="G108" s="439" t="str">
        <f>VLOOKUP(D108,'[3]Seguimiento Plan'!$C$2:$R$101,16,0)</f>
        <v>Efectuar los estudios de viabilidad técnica y presupuestal para la compra o construcción de la sede Administrativa del Concejo de Bogotá</v>
      </c>
      <c r="H108" s="439" t="s">
        <v>1779</v>
      </c>
      <c r="I108" s="439" t="s">
        <v>1719</v>
      </c>
      <c r="J108" s="448" t="s">
        <v>1740</v>
      </c>
      <c r="K108" s="449"/>
      <c r="L108" s="449"/>
      <c r="M108" s="450"/>
      <c r="N108" s="449"/>
      <c r="O108" s="451"/>
      <c r="P108" s="451"/>
      <c r="Q108" s="451"/>
      <c r="R108" s="452"/>
      <c r="S108" s="452"/>
      <c r="T108" s="453"/>
      <c r="U108" s="455" t="str">
        <f>IF(ISERROR(VLOOKUP(T108,'Base de Datos'!$E$7:$AR$302,3,0))=TRUE," ",(VLOOKUP(T108,'Base de Datos'!$E$7:$AR$302,2,0)))</f>
        <v xml:space="preserve"> </v>
      </c>
      <c r="V108" s="458" t="str">
        <f>IF(ISERROR(VLOOKUP(T108,'Base de Datos'!$E$7:$AR$302,5,0))=TRUE," ",(VLOOKUP(T108,'Base de Datos'!$E$7:$AR$302,5,0)))</f>
        <v xml:space="preserve"> </v>
      </c>
      <c r="W108" s="455" t="str">
        <f>IF(ISERROR(VLOOKUP(T108,'Base de Datos'!$E$7:$AR$302,19,0))=TRUE," ",(VLOOKUP(T108,'Base de Datos'!$E$7:$AR$302,19,0)))</f>
        <v xml:space="preserve"> </v>
      </c>
      <c r="X108" s="460" t="str">
        <f>IF(ISERROR(VLOOKUP(T108,'Base de Datos'!$E$7:$AR$302,8,0))=TRUE," ",(VLOOKUP(T108,'Base de Datos'!$E$7:$AR$302,8,0)))</f>
        <v xml:space="preserve"> </v>
      </c>
      <c r="Y108" s="460" t="str">
        <f>IF(ISERROR(VLOOKUP(T108,'Base de Datos'!$E$7:$AR$302,9,0))=TRUE," ",(VLOOKUP(T108,'Base de Datos'!$E$7:$AR$302,9,0)))</f>
        <v xml:space="preserve"> </v>
      </c>
      <c r="Z108" s="454" t="str">
        <f>IF(ISERROR(VLOOKUP(T108,'Base de Datos'!$E$7:$AR$302,10,0))=TRUE," ",(VLOOKUP(T108,'Base de Datos'!$E$7:$AR$302,10,0)))</f>
        <v xml:space="preserve"> </v>
      </c>
      <c r="AA108" s="457" t="str">
        <f>IF(ISERROR(VLOOKUP(T108,'Base de Datos'!$E$7:$AR$302,11,0))=TRUE," ",(VLOOKUP(T108,'Base de Datos'!$E$7:$AR$302,11,0)))</f>
        <v xml:space="preserve"> </v>
      </c>
      <c r="AB108" s="454" t="str">
        <f>IF(ISERROR(VLOOKUP(T108,'Base de Datos'!$E$7:$AR$302,12,0))=TRUE," ",(VLOOKUP(T108,'Base de Datos'!$E$7:$AR$302,12,0)))</f>
        <v xml:space="preserve"> </v>
      </c>
      <c r="AC108" s="454" t="str">
        <f>IF(ISERROR(VLOOKUP(T108,'Base de Datos'!$E$7:$AR$302,12,0))=TRUE," ",(VLOOKUP(T108,'Base de Datos'!$E$7:$AR$302,12,0)))</f>
        <v xml:space="preserve"> </v>
      </c>
      <c r="AD108" s="460" t="str">
        <f>IF(ISERROR(VLOOKUP(T108,'Base de Datos'!$E$7:$AR$302,15,0))=TRUE," ",(VLOOKUP(T108,'Base de Datos'!$E$7:$AR$302,15,0)))</f>
        <v xml:space="preserve"> </v>
      </c>
      <c r="AE108" s="465" t="str">
        <f>IF(ISERROR(VLOOKUP(T108,'Base de Datos'!$E$7:$AR$302,16,0))=TRUE," ",(VLOOKUP(T108,'Base de Datos'!$E$7:$AR$302,16,0)))</f>
        <v xml:space="preserve"> </v>
      </c>
      <c r="AF108" s="465" t="str">
        <f>IF(ISERROR(VLOOKUP(T108,'Base de Datos'!$E$7:$AR$302,17,0))=TRUE," ",(VLOOKUP(T108,'Base de Datos'!$E$7:$AR$302,17,0)))</f>
        <v xml:space="preserve"> </v>
      </c>
      <c r="AG108" s="465" t="str">
        <f>IF(ISERROR(VLOOKUP(T108,'Base de Datos'!$E$7:$AR$302,18,0))=TRUE," ",(VLOOKUP(T108,'Base de Datos'!$E$7:$AR$302,18,0)))</f>
        <v xml:space="preserve"> </v>
      </c>
      <c r="AH108" s="466" t="str">
        <f>IF(ISERROR(VLOOKUP(T108,'Base de Datos'!$E$7:$AR$302,20,0))=TRUE," ",(VLOOKUP(T108,'Base de Datos'!$E$7:$AR$302,20,0)))</f>
        <v xml:space="preserve"> </v>
      </c>
      <c r="AI108" s="466" t="str">
        <f>IF(ISERROR(VLOOKUP(T108,'Base de Datos'!$E$7:$AR$302,21,0))=TRUE," ",(VLOOKUP(T108,'Base de Datos'!$E$7:$AR$302,21,0)))</f>
        <v xml:space="preserve"> </v>
      </c>
      <c r="AJ108" s="455"/>
      <c r="AK108" s="455" t="str">
        <f>IF(ISERROR(VLOOKUP(D108,'Base de Datos'!$C$7:$AR$400,2,0))=TRUE," ",(VLOOKUP(D108,'Base de Datos'!$C$7:$AR$400,2,0)))</f>
        <v xml:space="preserve"> </v>
      </c>
      <c r="AL108" s="455" t="str">
        <f>IF(ISERROR(VLOOKUP(D108,'Base de Datos'!$C$7:$AR$400,3,0))=TRUE," ",(VLOOKUP(D108,'Base de Datos'!$C$7:$AR$400,3,0)))</f>
        <v xml:space="preserve"> </v>
      </c>
      <c r="AM108" s="458" t="str">
        <f>IF(ISERROR(VLOOKUP(D108,'Base de Datos'!$C$7:$AR$4014,6,0))=TRUE," ",(VLOOKUP(D108,'Base de Datos'!$C$7:$AR$400,6,0)))</f>
        <v xml:space="preserve"> </v>
      </c>
      <c r="AN108" s="458" t="str">
        <f>IF(ISERROR(VLOOKUP(D108,'Base de Datos'!$C$7:$AR$400,20,0))=TRUE," ",(VLOOKUP(D108,'Base de Datos'!$C$7:$AR$400,19,0)))</f>
        <v xml:space="preserve"> </v>
      </c>
      <c r="AO108" s="461" t="str">
        <f>IF(ISERROR(VLOOKUP(D108,'Base de Datos'!$C$7:$AR$400,9,0))=TRUE," ",(VLOOKUP(D108,'Base de Datos'!$C$7:$AR$400,9,0)))</f>
        <v xml:space="preserve"> </v>
      </c>
      <c r="AP108" s="461" t="str">
        <f>IF(ISERROR(VLOOKUP(D108,'Base de Datos'!$C$7:$AR$400,10,0))=TRUE," ",(VLOOKUP(D108,'Base de Datos'!$C$7:$AR$400,10,0)))</f>
        <v xml:space="preserve"> </v>
      </c>
      <c r="AQ108" s="463" t="str">
        <f>IF(ISERROR(VLOOKUP(D108,'Base de Datos'!$C$7:$AR$400,11,0))=TRUE," ",(VLOOKUP(D108,'Base de Datos'!$C$7:$AR$400,11,0)))</f>
        <v xml:space="preserve"> </v>
      </c>
      <c r="AR108" s="464" t="str">
        <f>IF(ISERROR(VLOOKUP(D108,'Base de Datos'!$C$7:$AR$400,12,0))=TRUE," ",(VLOOKUP(D108,'Base de Datos'!$C$7:$AR$400,12,0)))</f>
        <v xml:space="preserve"> </v>
      </c>
      <c r="AS108" s="463" t="str">
        <f>IF(ISERROR(VLOOKUP(D108,'Base de Datos'!$C$7:$AR$400,13,0))=TRUE," ",(VLOOKUP(D108,'Base de Datos'!$C$7:$AR$400,13,0)))</f>
        <v xml:space="preserve"> </v>
      </c>
      <c r="AT108" s="463" t="str">
        <f>IF(ISERROR(VLOOKUP(D108,'Base de Datos'!$C$7:$AR$400,14,0))=TRUE," ",(VLOOKUP(D108,'Base de Datos'!$C$7:$AR$400,14,0)))</f>
        <v xml:space="preserve"> </v>
      </c>
      <c r="AU108" s="461" t="str">
        <f>IF(ISERROR(VLOOKUP(D108,'Base de Datos'!$C$7:$AR$400,16,0))=TRUE," ",(VLOOKUP(D108,'Base de Datos'!$C$7:$AR$400,16,0)))</f>
        <v xml:space="preserve"> </v>
      </c>
      <c r="AV108" s="465" t="str">
        <f>IF(ISERROR(VLOOKUP(D108,'Base de Datos'!$C$7:$AR$400,17,0))=TRUE," ",(VLOOKUP(D108,'Base de Datos'!$C$7:$AR$400,17,0)))</f>
        <v xml:space="preserve"> </v>
      </c>
      <c r="AW108" s="465" t="str">
        <f>IF(ISERROR(VLOOKUP(D108,'Base de Datos'!$C$7:$AR$400,18,0))=TRUE," ",(VLOOKUP(D108,'Base de Datos'!$C$7:$AR$400,18,0)))</f>
        <v xml:space="preserve"> </v>
      </c>
      <c r="AX108" s="465" t="str">
        <f>IF(ISERROR(VLOOKUP(D108,'Base de Datos'!$C$7:$AR$400,19,0))=TRUE," ",(VLOOKUP(D108,'Base de Datos'!$C$7:$AR$400,19,0)))</f>
        <v xml:space="preserve"> </v>
      </c>
      <c r="AY108" s="468" t="str">
        <f>IF(ISERROR(VLOOKUP(D108,'Base de Datos'!$C$7:$AR$400,21,0))=TRUE," ",(VLOOKUP(D108,'Base de Datos'!$C$7:$AR$400,21,0)))</f>
        <v xml:space="preserve"> </v>
      </c>
      <c r="AZ108" s="468" t="str">
        <f>IF(ISERROR(VLOOKUP(D108,'Base de Datos'!$C$7:$AR$400,22,0))=TRUE," ",(VLOOKUP(D108,'Base de Datos'!$C$7:$AR$400,22,0)))</f>
        <v xml:space="preserve"> </v>
      </c>
      <c r="BA108" s="475"/>
      <c r="BB108" s="485"/>
    </row>
    <row r="109" spans="2:54" ht="55.5" hidden="1" customHeight="1" x14ac:dyDescent="0.25">
      <c r="B109" s="438">
        <v>102</v>
      </c>
      <c r="C109" s="446" t="s">
        <v>1678</v>
      </c>
      <c r="D109" s="438">
        <v>213</v>
      </c>
      <c r="E109" s="446" t="s">
        <v>1682</v>
      </c>
      <c r="F109" s="447">
        <f>VLOOKUP(D109,'Presupuesto - PAA 2015'!$B$10:$E$265,4,0)</f>
        <v>450477000</v>
      </c>
      <c r="G109" s="439" t="str">
        <f>VLOOKUP(D109,'[3]Seguimiento Plan'!$C$2:$R$101,16,0)</f>
        <v>Adquisición, entrega y montaje de mobiliario y equipo de oficina para la sede del Concejo de Bogotá</v>
      </c>
      <c r="H109" s="439" t="s">
        <v>1779</v>
      </c>
      <c r="I109" s="439" t="s">
        <v>1715</v>
      </c>
      <c r="J109" s="448" t="s">
        <v>1737</v>
      </c>
      <c r="K109" s="449" t="s">
        <v>390</v>
      </c>
      <c r="L109" s="449" t="s">
        <v>390</v>
      </c>
      <c r="M109" s="450">
        <v>42062</v>
      </c>
      <c r="N109" s="449" t="s">
        <v>1822</v>
      </c>
      <c r="O109" s="451"/>
      <c r="P109" s="451"/>
      <c r="Q109" s="451"/>
      <c r="R109" s="452"/>
      <c r="S109" s="470" t="s">
        <v>2205</v>
      </c>
      <c r="T109" s="139" t="s">
        <v>260</v>
      </c>
      <c r="U109" s="455" t="str">
        <f>IF(ISERROR(VLOOKUP(T109,'Base de Datos'!$E$7:$AR$302,3,0))=TRUE," ",(VLOOKUP(T109,'Base de Datos'!$E$7:$AR$302,2,0)))</f>
        <v>K 10 DESIGN   S.A.S</v>
      </c>
      <c r="V109" s="458">
        <f>IF(ISERROR(VLOOKUP(T109,'Base de Datos'!$E$7:$AR$302,5,0))=TRUE," ",(VLOOKUP(T109,'Base de Datos'!$E$7:$AR$302,5,0)))</f>
        <v>248000000</v>
      </c>
      <c r="W109" s="455">
        <f>IF(ISERROR(VLOOKUP(T109,'Base de Datos'!$E$7:$AR$302,19,0))=TRUE," ",(VLOOKUP(T109,'Base de Datos'!$E$7:$AR$302,19,0)))</f>
        <v>100423</v>
      </c>
      <c r="X109" s="460" t="str">
        <f>IF(ISERROR(VLOOKUP(T109,'Base de Datos'!$E$7:$AR$302,8,0))=TRUE," ",(VLOOKUP(T109,'Base de Datos'!$E$7:$AR$302,8,0)))</f>
        <v xml:space="preserve"> </v>
      </c>
      <c r="Y109" s="460">
        <f>IF(ISERROR(VLOOKUP(T109,'Base de Datos'!$E$7:$AR$302,9,0))=TRUE," ",(VLOOKUP(T109,'Base de Datos'!$E$7:$AR$302,9,0)))</f>
        <v>41708</v>
      </c>
      <c r="Z109" s="454">
        <f>IF(ISERROR(VLOOKUP(T109,'Base de Datos'!$E$7:$AR$302,10,0))=TRUE," ",(VLOOKUP(T109,'Base de Datos'!$E$7:$AR$302,10,0)))</f>
        <v>41738</v>
      </c>
      <c r="AA109" s="457">
        <f>IF(ISERROR(VLOOKUP(T109,'Base de Datos'!$E$7:$AR$302,11,0))=TRUE," ",(VLOOKUP(T109,'Base de Datos'!$E$7:$AR$302,11,0)))</f>
        <v>1</v>
      </c>
      <c r="AB109" s="454">
        <f>IF(ISERROR(VLOOKUP(T109,'Base de Datos'!$E$7:$AR$302,12,0))=TRUE," ",(VLOOKUP(T109,'Base de Datos'!$E$7:$AR$302,12,0)))</f>
        <v>77128875</v>
      </c>
      <c r="AC109" s="454">
        <f>IF(ISERROR(VLOOKUP(T109,'Base de Datos'!$E$7:$AR$302,12,0))=TRUE," ",(VLOOKUP(T109,'Base de Datos'!$E$7:$AR$302,12,0)))</f>
        <v>77128875</v>
      </c>
      <c r="AD109" s="460" t="str">
        <f>IF(ISERROR(VLOOKUP(T109,'Base de Datos'!$E$7:$AR$302,15,0))=TRUE," ",(VLOOKUP(T109,'Base de Datos'!$E$7:$AR$302,15,0)))</f>
        <v/>
      </c>
      <c r="AE109" s="465">
        <f>IF(ISERROR(VLOOKUP(T109,'Base de Datos'!$E$7:$AR$302,16,0))=TRUE," ",(VLOOKUP(T109,'Base de Datos'!$E$7:$AR$302,16,0)))</f>
        <v>41738</v>
      </c>
      <c r="AF109" s="465">
        <f>IF(ISERROR(VLOOKUP(T109,'Base de Datos'!$E$7:$AR$302,17,0))=TRUE," ",(VLOOKUP(T109,'Base de Datos'!$E$7:$AR$302,17,0)))</f>
        <v>325128875</v>
      </c>
      <c r="AG109" s="465">
        <f>IF(ISERROR(VLOOKUP(T109,'Base de Datos'!$E$7:$AR$302,18,0))=TRUE," ",(VLOOKUP(T109,'Base de Datos'!$E$7:$AR$302,18,0)))</f>
        <v>325028452</v>
      </c>
      <c r="AH109" s="466">
        <f>IF(ISERROR(VLOOKUP(T109,'Base de Datos'!$E$7:$AR$302,20,0))=TRUE," ",(VLOOKUP(T109,'Base de Datos'!$E$7:$AR$302,20,0)))</f>
        <v>0</v>
      </c>
      <c r="AI109" s="466">
        <f>IF(ISERROR(VLOOKUP(T109,'Base de Datos'!$E$7:$AR$302,21,0))=TRUE," ",(VLOOKUP(T109,'Base de Datos'!$E$7:$AR$302,21,0)))</f>
        <v>0.99969112863322274</v>
      </c>
      <c r="AJ109" s="455"/>
      <c r="AK109" s="455" t="str">
        <f>IF(ISERROR(VLOOKUP(D109,'Base de Datos'!$C$7:$AR$400,2,0))=TRUE," ",(VLOOKUP(D109,'Base de Datos'!$C$7:$AR$400,2,0)))</f>
        <v xml:space="preserve"> </v>
      </c>
      <c r="AL109" s="455" t="str">
        <f>IF(ISERROR(VLOOKUP(D109,'Base de Datos'!$C$7:$AR$400,3,0))=TRUE," ",(VLOOKUP(D109,'Base de Datos'!$C$7:$AR$400,3,0)))</f>
        <v xml:space="preserve"> </v>
      </c>
      <c r="AM109" s="458" t="str">
        <f>IF(ISERROR(VLOOKUP(D109,'Base de Datos'!$C$7:$AR$4014,6,0))=TRUE," ",(VLOOKUP(D109,'Base de Datos'!$C$7:$AR$400,6,0)))</f>
        <v xml:space="preserve"> </v>
      </c>
      <c r="AN109" s="458" t="str">
        <f>IF(ISERROR(VLOOKUP(D109,'Base de Datos'!$C$7:$AR$400,20,0))=TRUE," ",(VLOOKUP(D109,'Base de Datos'!$C$7:$AR$400,19,0)))</f>
        <v xml:space="preserve"> </v>
      </c>
      <c r="AO109" s="461" t="str">
        <f>IF(ISERROR(VLOOKUP(D109,'Base de Datos'!$C$7:$AR$400,9,0))=TRUE," ",(VLOOKUP(D109,'Base de Datos'!$C$7:$AR$400,9,0)))</f>
        <v xml:space="preserve"> </v>
      </c>
      <c r="AP109" s="461" t="str">
        <f>IF(ISERROR(VLOOKUP(D109,'Base de Datos'!$C$7:$AR$400,10,0))=TRUE," ",(VLOOKUP(D109,'Base de Datos'!$C$7:$AR$400,10,0)))</f>
        <v xml:space="preserve"> </v>
      </c>
      <c r="AQ109" s="463" t="str">
        <f>IF(ISERROR(VLOOKUP(D109,'Base de Datos'!$C$7:$AR$400,11,0))=TRUE," ",(VLOOKUP(D109,'Base de Datos'!$C$7:$AR$400,11,0)))</f>
        <v xml:space="preserve"> </v>
      </c>
      <c r="AR109" s="464" t="str">
        <f>IF(ISERROR(VLOOKUP(D109,'Base de Datos'!$C$7:$AR$400,12,0))=TRUE," ",(VLOOKUP(D109,'Base de Datos'!$C$7:$AR$400,12,0)))</f>
        <v xml:space="preserve"> </v>
      </c>
      <c r="AS109" s="463" t="str">
        <f>IF(ISERROR(VLOOKUP(D109,'Base de Datos'!$C$7:$AR$400,13,0))=TRUE," ",(VLOOKUP(D109,'Base de Datos'!$C$7:$AR$400,13,0)))</f>
        <v xml:space="preserve"> </v>
      </c>
      <c r="AT109" s="463" t="str">
        <f>IF(ISERROR(VLOOKUP(D109,'Base de Datos'!$C$7:$AR$400,14,0))=TRUE," ",(VLOOKUP(D109,'Base de Datos'!$C$7:$AR$400,14,0)))</f>
        <v xml:space="preserve"> </v>
      </c>
      <c r="AU109" s="461" t="str">
        <f>IF(ISERROR(VLOOKUP(D109,'Base de Datos'!$C$7:$AR$400,16,0))=TRUE," ",(VLOOKUP(D109,'Base de Datos'!$C$7:$AR$400,16,0)))</f>
        <v xml:space="preserve"> </v>
      </c>
      <c r="AV109" s="465" t="str">
        <f>IF(ISERROR(VLOOKUP(D109,'Base de Datos'!$C$7:$AR$400,17,0))=TRUE," ",(VLOOKUP(D109,'Base de Datos'!$C$7:$AR$400,17,0)))</f>
        <v xml:space="preserve"> </v>
      </c>
      <c r="AW109" s="465" t="str">
        <f>IF(ISERROR(VLOOKUP(D109,'Base de Datos'!$C$7:$AR$400,18,0))=TRUE," ",(VLOOKUP(D109,'Base de Datos'!$C$7:$AR$400,18,0)))</f>
        <v xml:space="preserve"> </v>
      </c>
      <c r="AX109" s="465" t="str">
        <f>IF(ISERROR(VLOOKUP(D109,'Base de Datos'!$C$7:$AR$400,19,0))=TRUE," ",(VLOOKUP(D109,'Base de Datos'!$C$7:$AR$400,19,0)))</f>
        <v xml:space="preserve"> </v>
      </c>
      <c r="AY109" s="468" t="str">
        <f>IF(ISERROR(VLOOKUP(D109,'Base de Datos'!$C$7:$AR$400,21,0))=TRUE," ",(VLOOKUP(D109,'Base de Datos'!$C$7:$AR$400,21,0)))</f>
        <v xml:space="preserve"> </v>
      </c>
      <c r="AZ109" s="468" t="str">
        <f>IF(ISERROR(VLOOKUP(D109,'Base de Datos'!$C$7:$AR$400,22,0))=TRUE," ",(VLOOKUP(D109,'Base de Datos'!$C$7:$AR$400,22,0)))</f>
        <v xml:space="preserve"> </v>
      </c>
      <c r="BA109" s="475"/>
      <c r="BB109" s="485"/>
    </row>
    <row r="110" spans="2:54" ht="55.5" hidden="1" customHeight="1" x14ac:dyDescent="0.25">
      <c r="B110" s="438">
        <v>103</v>
      </c>
      <c r="C110" s="446" t="s">
        <v>1678</v>
      </c>
      <c r="D110" s="438">
        <v>214</v>
      </c>
      <c r="E110" s="446" t="s">
        <v>1682</v>
      </c>
      <c r="F110" s="447" t="e">
        <f>VLOOKUP(D110,'Presupuesto - PAA 2015'!$B$10:$E$265,4,0)</f>
        <v>#N/A</v>
      </c>
      <c r="G110" s="439" t="str">
        <f>VLOOKUP(D110,'[3]Seguimiento Plan'!$C$2:$R$101,16,0)</f>
        <v>Desarrollar actividades para fortalecer los Sistemas de Gestión Institucional del Concejo de Bogotá- Subsistema Responsabilidad Social.</v>
      </c>
      <c r="H110" s="439" t="s">
        <v>1779</v>
      </c>
      <c r="I110" s="439" t="s">
        <v>1713</v>
      </c>
      <c r="J110" s="448" t="s">
        <v>909</v>
      </c>
      <c r="K110" s="449"/>
      <c r="L110" s="449" t="s">
        <v>390</v>
      </c>
      <c r="M110" s="450"/>
      <c r="N110" s="449"/>
      <c r="O110" s="451"/>
      <c r="P110" s="451"/>
      <c r="Q110" s="451"/>
      <c r="R110" s="452"/>
      <c r="S110" s="452"/>
      <c r="T110" s="453"/>
      <c r="U110" s="455" t="str">
        <f>IF(ISERROR(VLOOKUP(T110,'Base de Datos'!$E$7:$AR$302,3,0))=TRUE," ",(VLOOKUP(T110,'Base de Datos'!$E$7:$AR$302,2,0)))</f>
        <v xml:space="preserve"> </v>
      </c>
      <c r="V110" s="458" t="str">
        <f>IF(ISERROR(VLOOKUP(T110,'Base de Datos'!$E$7:$AR$302,5,0))=TRUE," ",(VLOOKUP(T110,'Base de Datos'!$E$7:$AR$302,5,0)))</f>
        <v xml:space="preserve"> </v>
      </c>
      <c r="W110" s="455" t="str">
        <f>IF(ISERROR(VLOOKUP(T110,'Base de Datos'!$E$7:$AR$302,19,0))=TRUE," ",(VLOOKUP(T110,'Base de Datos'!$E$7:$AR$302,19,0)))</f>
        <v xml:space="preserve"> </v>
      </c>
      <c r="X110" s="460" t="str">
        <f>IF(ISERROR(VLOOKUP(T110,'Base de Datos'!$E$7:$AR$302,8,0))=TRUE," ",(VLOOKUP(T110,'Base de Datos'!$E$7:$AR$302,8,0)))</f>
        <v xml:space="preserve"> </v>
      </c>
      <c r="Y110" s="460" t="str">
        <f>IF(ISERROR(VLOOKUP(T110,'Base de Datos'!$E$7:$AR$302,9,0))=TRUE," ",(VLOOKUP(T110,'Base de Datos'!$E$7:$AR$302,9,0)))</f>
        <v xml:space="preserve"> </v>
      </c>
      <c r="Z110" s="454" t="str">
        <f>IF(ISERROR(VLOOKUP(T110,'Base de Datos'!$E$7:$AR$302,10,0))=TRUE," ",(VLOOKUP(T110,'Base de Datos'!$E$7:$AR$302,10,0)))</f>
        <v xml:space="preserve"> </v>
      </c>
      <c r="AA110" s="457" t="str">
        <f>IF(ISERROR(VLOOKUP(T110,'Base de Datos'!$E$7:$AR$302,11,0))=TRUE," ",(VLOOKUP(T110,'Base de Datos'!$E$7:$AR$302,11,0)))</f>
        <v xml:space="preserve"> </v>
      </c>
      <c r="AB110" s="454" t="str">
        <f>IF(ISERROR(VLOOKUP(T110,'Base de Datos'!$E$7:$AR$302,12,0))=TRUE," ",(VLOOKUP(T110,'Base de Datos'!$E$7:$AR$302,12,0)))</f>
        <v xml:space="preserve"> </v>
      </c>
      <c r="AC110" s="454" t="str">
        <f>IF(ISERROR(VLOOKUP(T110,'Base de Datos'!$E$7:$AR$302,12,0))=TRUE," ",(VLOOKUP(T110,'Base de Datos'!$E$7:$AR$302,12,0)))</f>
        <v xml:space="preserve"> </v>
      </c>
      <c r="AD110" s="460" t="str">
        <f>IF(ISERROR(VLOOKUP(T110,'Base de Datos'!$E$7:$AR$302,15,0))=TRUE," ",(VLOOKUP(T110,'Base de Datos'!$E$7:$AR$302,15,0)))</f>
        <v xml:space="preserve"> </v>
      </c>
      <c r="AE110" s="465" t="str">
        <f>IF(ISERROR(VLOOKUP(T110,'Base de Datos'!$E$7:$AR$302,16,0))=TRUE," ",(VLOOKUP(T110,'Base de Datos'!$E$7:$AR$302,16,0)))</f>
        <v xml:space="preserve"> </v>
      </c>
      <c r="AF110" s="465" t="str">
        <f>IF(ISERROR(VLOOKUP(T110,'Base de Datos'!$E$7:$AR$302,17,0))=TRUE," ",(VLOOKUP(T110,'Base de Datos'!$E$7:$AR$302,17,0)))</f>
        <v xml:space="preserve"> </v>
      </c>
      <c r="AG110" s="465" t="str">
        <f>IF(ISERROR(VLOOKUP(T110,'Base de Datos'!$E$7:$AR$302,18,0))=TRUE," ",(VLOOKUP(T110,'Base de Datos'!$E$7:$AR$302,18,0)))</f>
        <v xml:space="preserve"> </v>
      </c>
      <c r="AH110" s="466" t="str">
        <f>IF(ISERROR(VLOOKUP(T110,'Base de Datos'!$E$7:$AR$302,20,0))=TRUE," ",(VLOOKUP(T110,'Base de Datos'!$E$7:$AR$302,20,0)))</f>
        <v xml:space="preserve"> </v>
      </c>
      <c r="AI110" s="466" t="str">
        <f>IF(ISERROR(VLOOKUP(T110,'Base de Datos'!$E$7:$AR$302,21,0))=TRUE," ",(VLOOKUP(T110,'Base de Datos'!$E$7:$AR$302,21,0)))</f>
        <v xml:space="preserve"> </v>
      </c>
      <c r="AJ110" s="455"/>
      <c r="AK110" s="455" t="str">
        <f>IF(ISERROR(VLOOKUP(D110,'Base de Datos'!$C$7:$AR$400,2,0))=TRUE," ",(VLOOKUP(D110,'Base de Datos'!$C$7:$AR$400,2,0)))</f>
        <v xml:space="preserve"> </v>
      </c>
      <c r="AL110" s="455" t="str">
        <f>IF(ISERROR(VLOOKUP(D110,'Base de Datos'!$C$7:$AR$400,3,0))=TRUE," ",(VLOOKUP(D110,'Base de Datos'!$C$7:$AR$400,3,0)))</f>
        <v xml:space="preserve"> </v>
      </c>
      <c r="AM110" s="458" t="e">
        <f>IF(ISERROR(VLOOKUP(D110,'Base de Datos'!$C$7:$AR$4014,6,0))=TRUE," ",(VLOOKUP(D110,'Base de Datos'!$C$7:$AR$400,6,0)))</f>
        <v>#N/A</v>
      </c>
      <c r="AN110" s="458" t="str">
        <f>IF(ISERROR(VLOOKUP(D110,'Base de Datos'!$C$7:$AR$400,20,0))=TRUE," ",(VLOOKUP(D110,'Base de Datos'!$C$7:$AR$400,19,0)))</f>
        <v xml:space="preserve"> </v>
      </c>
      <c r="AO110" s="461" t="str">
        <f>IF(ISERROR(VLOOKUP(D110,'Base de Datos'!$C$7:$AR$400,9,0))=TRUE," ",(VLOOKUP(D110,'Base de Datos'!$C$7:$AR$400,9,0)))</f>
        <v xml:space="preserve"> </v>
      </c>
      <c r="AP110" s="461" t="str">
        <f>IF(ISERROR(VLOOKUP(D110,'Base de Datos'!$C$7:$AR$400,10,0))=TRUE," ",(VLOOKUP(D110,'Base de Datos'!$C$7:$AR$400,10,0)))</f>
        <v xml:space="preserve"> </v>
      </c>
      <c r="AQ110" s="463" t="str">
        <f>IF(ISERROR(VLOOKUP(D110,'Base de Datos'!$C$7:$AR$400,11,0))=TRUE," ",(VLOOKUP(D110,'Base de Datos'!$C$7:$AR$400,11,0)))</f>
        <v xml:space="preserve"> </v>
      </c>
      <c r="AR110" s="464" t="str">
        <f>IF(ISERROR(VLOOKUP(D110,'Base de Datos'!$C$7:$AR$400,12,0))=TRUE," ",(VLOOKUP(D110,'Base de Datos'!$C$7:$AR$400,12,0)))</f>
        <v xml:space="preserve"> </v>
      </c>
      <c r="AS110" s="463" t="str">
        <f>IF(ISERROR(VLOOKUP(D110,'Base de Datos'!$C$7:$AR$400,13,0))=TRUE," ",(VLOOKUP(D110,'Base de Datos'!$C$7:$AR$400,13,0)))</f>
        <v xml:space="preserve"> </v>
      </c>
      <c r="AT110" s="463" t="str">
        <f>IF(ISERROR(VLOOKUP(D110,'Base de Datos'!$C$7:$AR$400,14,0))=TRUE," ",(VLOOKUP(D110,'Base de Datos'!$C$7:$AR$400,14,0)))</f>
        <v xml:space="preserve"> </v>
      </c>
      <c r="AU110" s="461" t="str">
        <f>IF(ISERROR(VLOOKUP(D110,'Base de Datos'!$C$7:$AR$400,16,0))=TRUE," ",(VLOOKUP(D110,'Base de Datos'!$C$7:$AR$400,16,0)))</f>
        <v xml:space="preserve"> </v>
      </c>
      <c r="AV110" s="465" t="str">
        <f>IF(ISERROR(VLOOKUP(D110,'Base de Datos'!$C$7:$AR$400,17,0))=TRUE," ",(VLOOKUP(D110,'Base de Datos'!$C$7:$AR$400,17,0)))</f>
        <v xml:space="preserve"> </v>
      </c>
      <c r="AW110" s="465" t="str">
        <f>IF(ISERROR(VLOOKUP(D110,'Base de Datos'!$C$7:$AR$400,18,0))=TRUE," ",(VLOOKUP(D110,'Base de Datos'!$C$7:$AR$400,18,0)))</f>
        <v xml:space="preserve"> </v>
      </c>
      <c r="AX110" s="465" t="str">
        <f>IF(ISERROR(VLOOKUP(D110,'Base de Datos'!$C$7:$AR$400,19,0))=TRUE," ",(VLOOKUP(D110,'Base de Datos'!$C$7:$AR$400,19,0)))</f>
        <v xml:space="preserve"> </v>
      </c>
      <c r="AY110" s="468" t="str">
        <f>IF(ISERROR(VLOOKUP(D110,'Base de Datos'!$C$7:$AR$400,21,0))=TRUE," ",(VLOOKUP(D110,'Base de Datos'!$C$7:$AR$400,21,0)))</f>
        <v xml:space="preserve"> </v>
      </c>
      <c r="AZ110" s="468" t="str">
        <f>IF(ISERROR(VLOOKUP(D110,'Base de Datos'!$C$7:$AR$400,22,0))=TRUE," ",(VLOOKUP(D110,'Base de Datos'!$C$7:$AR$400,22,0)))</f>
        <v xml:space="preserve"> </v>
      </c>
      <c r="BA110" s="475"/>
      <c r="BB110" s="485"/>
    </row>
    <row r="111" spans="2:54" ht="55.5" hidden="1" customHeight="1" x14ac:dyDescent="0.25">
      <c r="B111" s="438">
        <v>104</v>
      </c>
      <c r="C111" s="446" t="s">
        <v>1678</v>
      </c>
      <c r="D111" s="438">
        <v>263</v>
      </c>
      <c r="E111" s="446" t="s">
        <v>1682</v>
      </c>
      <c r="F111" s="447">
        <f>VLOOKUP(D111,'Presupuesto - PAA 2015'!$B$10:$E$265,4,0)</f>
        <v>87669877</v>
      </c>
      <c r="G111" s="439" t="str">
        <f>VLOOKUP(D111,'[3]Seguimiento Plan'!$C$2:$R$101,16,0)</f>
        <v>Adicion y Prorroga al contrato 140249-0-2014 suscrito con Inversiones Matay cuyo objeto es: Contratar a título de arrendamiento un inmueble para uso de parqueadero, por parte del Concejo de Bogotá D.C.</v>
      </c>
      <c r="H111" s="439" t="s">
        <v>1779</v>
      </c>
      <c r="I111" s="439" t="s">
        <v>1723</v>
      </c>
      <c r="J111" s="448" t="s">
        <v>908</v>
      </c>
      <c r="K111" s="449" t="s">
        <v>390</v>
      </c>
      <c r="L111" s="449" t="str">
        <f>VLOOKUP(D111,'[3]Seguimiento Plan'!$C$2:$AJ$101,30,0)</f>
        <v>SI</v>
      </c>
      <c r="M111" s="450" t="s">
        <v>1243</v>
      </c>
      <c r="N111" s="449"/>
      <c r="O111" s="451"/>
      <c r="P111" s="451"/>
      <c r="Q111" s="451"/>
      <c r="R111" s="452"/>
      <c r="S111" s="452"/>
      <c r="T111" s="347" t="s">
        <v>307</v>
      </c>
      <c r="U111" s="455" t="str">
        <f>IF(ISERROR(VLOOKUP(T111,'Base de Datos'!$E$7:$AR$302,3,0))=TRUE," ",(VLOOKUP(T111,'Base de Datos'!$E$7:$AR$302,2,0)))</f>
        <v>INVERSIONES MATAY SAS</v>
      </c>
      <c r="V111" s="458">
        <f>IF(ISERROR(VLOOKUP(T111,'Base de Datos'!$E$7:$AR$302,5,0))=TRUE," ",(VLOOKUP(T111,'Base de Datos'!$E$7:$AR$302,5,0)))</f>
        <v>202978686</v>
      </c>
      <c r="W111" s="455">
        <f>IF(ISERROR(VLOOKUP(T111,'Base de Datos'!$E$7:$AR$302,19,0))=TRUE," ",(VLOOKUP(T111,'Base de Datos'!$E$7:$AR$302,19,0)))</f>
        <v>0</v>
      </c>
      <c r="X111" s="460" t="str">
        <f>IF(ISERROR(VLOOKUP(T111,'Base de Datos'!$E$7:$AR$302,8,0))=TRUE," ",(VLOOKUP(T111,'Base de Datos'!$E$7:$AR$302,8,0)))</f>
        <v xml:space="preserve"> </v>
      </c>
      <c r="Y111" s="460">
        <f>IF(ISERROR(VLOOKUP(T111,'Base de Datos'!$E$7:$AR$302,9,0))=TRUE," ",(VLOOKUP(T111,'Base de Datos'!$E$7:$AR$302,9,0)))</f>
        <v>41850</v>
      </c>
      <c r="Z111" s="454">
        <f>IF(ISERROR(VLOOKUP(T111,'Base de Datos'!$E$7:$AR$302,10,0))=TRUE," ",(VLOOKUP(T111,'Base de Datos'!$E$7:$AR$302,10,0)))</f>
        <v>42034</v>
      </c>
      <c r="AA111" s="457">
        <f>IF(ISERROR(VLOOKUP(T111,'Base de Datos'!$E$7:$AR$302,11,0))=TRUE," ",(VLOOKUP(T111,'Base de Datos'!$E$7:$AR$302,11,0)))</f>
        <v>1</v>
      </c>
      <c r="AB111" s="454">
        <f>IF(ISERROR(VLOOKUP(T111,'Base de Datos'!$E$7:$AR$302,12,0))=TRUE," ",(VLOOKUP(T111,'Base de Datos'!$E$7:$AR$302,12,0)))</f>
        <v>87669877</v>
      </c>
      <c r="AC111" s="454">
        <f>IF(ISERROR(VLOOKUP(T111,'Base de Datos'!$E$7:$AR$302,12,0))=TRUE," ",(VLOOKUP(T111,'Base de Datos'!$E$7:$AR$302,12,0)))</f>
        <v>87669877</v>
      </c>
      <c r="AD111" s="460">
        <f>IF(ISERROR(VLOOKUP(T111,'Base de Datos'!$E$7:$AR$302,15,0))=TRUE," ",(VLOOKUP(T111,'Base de Datos'!$E$7:$AR$302,15,0)))</f>
        <v>42108</v>
      </c>
      <c r="AE111" s="465">
        <f>IF(ISERROR(VLOOKUP(T111,'Base de Datos'!$E$7:$AR$302,16,0))=TRUE," ",(VLOOKUP(T111,'Base de Datos'!$E$7:$AR$302,16,0)))</f>
        <v>42108</v>
      </c>
      <c r="AF111" s="465">
        <f>IF(ISERROR(VLOOKUP(T111,'Base de Datos'!$E$7:$AR$302,17,0))=TRUE," ",(VLOOKUP(T111,'Base de Datos'!$E$7:$AR$302,17,0)))</f>
        <v>290648563</v>
      </c>
      <c r="AG111" s="465">
        <f>IF(ISERROR(VLOOKUP(T111,'Base de Datos'!$E$7:$AR$302,18,0))=TRUE," ",(VLOOKUP(T111,'Base de Datos'!$E$7:$AR$302,18,0)))</f>
        <v>290648563</v>
      </c>
      <c r="AH111" s="466"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6">
        <f>IF(ISERROR(VLOOKUP(T111,'Base de Datos'!$E$7:$AR$302,21,0))=TRUE," ",(VLOOKUP(T111,'Base de Datos'!$E$7:$AR$302,21,0)))</f>
        <v>1</v>
      </c>
      <c r="AJ111" s="455"/>
      <c r="AK111" s="455" t="str">
        <f>IF(ISERROR(VLOOKUP(D111,'Base de Datos'!$C$7:$AR$400,2,0))=TRUE," ",(VLOOKUP(D111,'Base de Datos'!$C$7:$AR$400,2,0)))</f>
        <v xml:space="preserve"> </v>
      </c>
      <c r="AL111" s="455" t="str">
        <f>IF(ISERROR(VLOOKUP(D111,'Base de Datos'!$C$7:$AR$400,3,0))=TRUE," ",(VLOOKUP(D111,'Base de Datos'!$C$7:$AR$400,3,0)))</f>
        <v xml:space="preserve"> </v>
      </c>
      <c r="AM111" s="458" t="e">
        <f>IF(ISERROR(VLOOKUP(D111,'Base de Datos'!$C$7:$AR$4014,6,0))=TRUE," ",(VLOOKUP(D111,'Base de Datos'!$C$7:$AR$400,6,0)))</f>
        <v>#N/A</v>
      </c>
      <c r="AN111" s="458" t="str">
        <f>IF(ISERROR(VLOOKUP(D111,'Base de Datos'!$C$7:$AR$400,20,0))=TRUE," ",(VLOOKUP(D111,'Base de Datos'!$C$7:$AR$400,19,0)))</f>
        <v xml:space="preserve"> </v>
      </c>
      <c r="AO111" s="461" t="str">
        <f>IF(ISERROR(VLOOKUP(D111,'Base de Datos'!$C$7:$AR$400,9,0))=TRUE," ",(VLOOKUP(D111,'Base de Datos'!$C$7:$AR$400,9,0)))</f>
        <v xml:space="preserve"> </v>
      </c>
      <c r="AP111" s="461" t="str">
        <f>IF(ISERROR(VLOOKUP(D111,'Base de Datos'!$C$7:$AR$400,10,0))=TRUE," ",(VLOOKUP(D111,'Base de Datos'!$C$7:$AR$400,10,0)))</f>
        <v xml:space="preserve"> </v>
      </c>
      <c r="AQ111" s="463" t="str">
        <f>IF(ISERROR(VLOOKUP(D111,'Base de Datos'!$C$7:$AR$400,11,0))=TRUE," ",(VLOOKUP(D111,'Base de Datos'!$C$7:$AR$400,11,0)))</f>
        <v xml:space="preserve"> </v>
      </c>
      <c r="AR111" s="464" t="str">
        <f>IF(ISERROR(VLOOKUP(D111,'Base de Datos'!$C$7:$AR$400,12,0))=TRUE," ",(VLOOKUP(D111,'Base de Datos'!$C$7:$AR$400,12,0)))</f>
        <v xml:space="preserve"> </v>
      </c>
      <c r="AS111" s="463" t="str">
        <f>IF(ISERROR(VLOOKUP(D111,'Base de Datos'!$C$7:$AR$400,13,0))=TRUE," ",(VLOOKUP(D111,'Base de Datos'!$C$7:$AR$400,13,0)))</f>
        <v xml:space="preserve"> </v>
      </c>
      <c r="AT111" s="463" t="str">
        <f>IF(ISERROR(VLOOKUP(D111,'Base de Datos'!$C$7:$AR$400,14,0))=TRUE," ",(VLOOKUP(D111,'Base de Datos'!$C$7:$AR$400,14,0)))</f>
        <v xml:space="preserve"> </v>
      </c>
      <c r="AU111" s="461" t="str">
        <f>IF(ISERROR(VLOOKUP(D111,'Base de Datos'!$C$7:$AR$400,16,0))=TRUE," ",(VLOOKUP(D111,'Base de Datos'!$C$7:$AR$400,16,0)))</f>
        <v xml:space="preserve"> </v>
      </c>
      <c r="AV111" s="465" t="str">
        <f>IF(ISERROR(VLOOKUP(D111,'Base de Datos'!$C$7:$AR$400,17,0))=TRUE," ",(VLOOKUP(D111,'Base de Datos'!$C$7:$AR$400,17,0)))</f>
        <v xml:space="preserve"> </v>
      </c>
      <c r="AW111" s="465" t="str">
        <f>IF(ISERROR(VLOOKUP(D111,'Base de Datos'!$C$7:$AR$400,18,0))=TRUE," ",(VLOOKUP(D111,'Base de Datos'!$C$7:$AR$400,18,0)))</f>
        <v xml:space="preserve"> </v>
      </c>
      <c r="AX111" s="465" t="str">
        <f>IF(ISERROR(VLOOKUP(D111,'Base de Datos'!$C$7:$AR$400,19,0))=TRUE," ",(VLOOKUP(D111,'Base de Datos'!$C$7:$AR$400,19,0)))</f>
        <v xml:space="preserve"> </v>
      </c>
      <c r="AY111" s="468" t="str">
        <f>IF(ISERROR(VLOOKUP(D111,'Base de Datos'!$C$7:$AR$400,21,0))=TRUE," ",(VLOOKUP(D111,'Base de Datos'!$C$7:$AR$400,21,0)))</f>
        <v xml:space="preserve"> </v>
      </c>
      <c r="AZ111" s="468" t="str">
        <f>IF(ISERROR(VLOOKUP(D111,'Base de Datos'!$C$7:$AR$400,22,0))=TRUE," ",(VLOOKUP(D111,'Base de Datos'!$C$7:$AR$400,22,0)))</f>
        <v xml:space="preserve"> </v>
      </c>
      <c r="BA111" s="475"/>
      <c r="BB111" s="485"/>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32" customWidth="1"/>
    <col min="2" max="2" width="45.7109375" style="532" customWidth="1"/>
    <col min="3" max="3" width="18.5703125" style="532" bestFit="1" customWidth="1"/>
    <col min="4" max="4" width="15.85546875" style="532" bestFit="1" customWidth="1"/>
    <col min="5" max="5" width="17.5703125" style="532" bestFit="1" customWidth="1"/>
    <col min="6" max="6" width="11.42578125" style="532" customWidth="1"/>
    <col min="7" max="7" width="17.5703125" style="532" bestFit="1" customWidth="1"/>
    <col min="8" max="8" width="17.140625" style="532" hidden="1" customWidth="1"/>
    <col min="9" max="9" width="14.5703125" style="532" customWidth="1"/>
    <col min="10" max="10" width="16.85546875" style="532" customWidth="1"/>
    <col min="11" max="12" width="11.42578125" style="532" customWidth="1"/>
    <col min="13" max="16384" width="11.42578125" style="532" hidden="1"/>
  </cols>
  <sheetData>
    <row r="1" spans="1:12" s="487" customFormat="1" x14ac:dyDescent="0.2">
      <c r="A1" s="532"/>
      <c r="B1" s="532"/>
      <c r="C1" s="532"/>
      <c r="D1" s="532"/>
      <c r="E1" s="532"/>
      <c r="F1" s="532"/>
      <c r="G1" s="532"/>
      <c r="H1" s="532"/>
      <c r="I1" s="532"/>
      <c r="J1" s="532"/>
      <c r="K1" s="532"/>
      <c r="L1" s="532"/>
    </row>
    <row r="2" spans="1:12" s="487" customFormat="1" x14ac:dyDescent="0.2">
      <c r="A2" s="532"/>
      <c r="B2" s="532"/>
      <c r="C2" s="532"/>
      <c r="D2" s="532"/>
      <c r="E2" s="532"/>
      <c r="F2" s="532"/>
      <c r="G2" s="532"/>
      <c r="H2" s="532"/>
      <c r="I2" s="532"/>
      <c r="J2" s="532"/>
      <c r="K2" s="532"/>
      <c r="L2" s="532"/>
    </row>
    <row r="3" spans="1:12" s="487" customFormat="1" x14ac:dyDescent="0.2">
      <c r="A3" s="532"/>
      <c r="B3" s="532"/>
      <c r="C3" s="532"/>
      <c r="D3" s="532"/>
      <c r="E3" s="532"/>
      <c r="F3" s="532"/>
      <c r="G3" s="532"/>
      <c r="H3" s="532"/>
      <c r="I3" s="532"/>
      <c r="J3" s="532"/>
      <c r="K3" s="532"/>
      <c r="L3" s="532"/>
    </row>
    <row r="4" spans="1:12" s="487" customFormat="1" x14ac:dyDescent="0.2">
      <c r="A4" s="532"/>
      <c r="B4" s="532"/>
      <c r="C4" s="532"/>
      <c r="D4" s="532"/>
      <c r="E4" s="532"/>
      <c r="F4" s="532"/>
      <c r="G4" s="532"/>
      <c r="H4" s="532"/>
      <c r="I4" s="532"/>
      <c r="J4" s="532"/>
      <c r="K4" s="532"/>
      <c r="L4" s="532"/>
    </row>
    <row r="5" spans="1:12" s="487" customFormat="1" x14ac:dyDescent="0.2">
      <c r="A5" s="532"/>
      <c r="B5" s="535"/>
      <c r="C5" s="536"/>
      <c r="D5" s="537"/>
      <c r="E5" s="532"/>
      <c r="F5" s="532"/>
      <c r="G5" s="532"/>
      <c r="H5" s="532"/>
      <c r="I5" s="532"/>
      <c r="J5" s="532"/>
      <c r="K5" s="532"/>
      <c r="L5" s="532"/>
    </row>
    <row r="6" spans="1:12" s="487" customFormat="1" ht="15" x14ac:dyDescent="0.2">
      <c r="A6" s="532"/>
      <c r="B6" s="1117" t="s">
        <v>1797</v>
      </c>
      <c r="C6" s="1117"/>
      <c r="D6" s="1117"/>
      <c r="E6" s="1117"/>
      <c r="F6" s="1117"/>
      <c r="G6" s="1117"/>
      <c r="H6" s="1117"/>
      <c r="I6" s="1117"/>
      <c r="J6" s="1117"/>
      <c r="K6" s="1117"/>
      <c r="L6" s="532"/>
    </row>
    <row r="7" spans="1:12" s="487" customFormat="1" ht="15" x14ac:dyDescent="0.2">
      <c r="A7" s="532"/>
      <c r="B7" s="1117" t="s">
        <v>1798</v>
      </c>
      <c r="C7" s="1117"/>
      <c r="D7" s="1117"/>
      <c r="E7" s="1117"/>
      <c r="F7" s="1117"/>
      <c r="G7" s="1117"/>
      <c r="H7" s="1117"/>
      <c r="I7" s="1117"/>
      <c r="J7" s="1117"/>
      <c r="K7" s="1117"/>
      <c r="L7" s="532"/>
    </row>
    <row r="8" spans="1:12" s="487" customFormat="1" ht="51" x14ac:dyDescent="0.2">
      <c r="A8" s="532"/>
      <c r="B8" s="533" t="s">
        <v>1786</v>
      </c>
      <c r="C8" s="533" t="s">
        <v>1791</v>
      </c>
      <c r="D8" s="533" t="s">
        <v>1787</v>
      </c>
      <c r="E8" s="533" t="s">
        <v>1788</v>
      </c>
      <c r="F8" s="533" t="s">
        <v>1789</v>
      </c>
      <c r="G8" s="533" t="s">
        <v>1790</v>
      </c>
      <c r="H8" s="533" t="s">
        <v>1792</v>
      </c>
      <c r="I8" s="534" t="s">
        <v>1793</v>
      </c>
      <c r="J8" s="533" t="s">
        <v>1794</v>
      </c>
      <c r="K8" s="534" t="s">
        <v>1795</v>
      </c>
      <c r="L8" s="532"/>
    </row>
    <row r="9" spans="1:12" s="487" customFormat="1" x14ac:dyDescent="0.2">
      <c r="A9" s="532"/>
      <c r="B9" s="501" t="s">
        <v>1689</v>
      </c>
      <c r="C9" s="503">
        <v>29809977000</v>
      </c>
      <c r="D9" s="491"/>
      <c r="E9" s="490"/>
      <c r="F9" s="492"/>
      <c r="G9" s="493"/>
      <c r="H9" s="489"/>
      <c r="I9" s="494"/>
      <c r="J9" s="494"/>
      <c r="K9" s="494"/>
      <c r="L9" s="532"/>
    </row>
    <row r="10" spans="1:12" s="487" customFormat="1" x14ac:dyDescent="0.2">
      <c r="A10" s="532"/>
      <c r="B10" s="497" t="s">
        <v>1687</v>
      </c>
      <c r="C10" s="507">
        <v>22267500000</v>
      </c>
      <c r="D10" s="655">
        <f>C11+C17</f>
        <v>22267500000</v>
      </c>
      <c r="E10" s="490"/>
      <c r="F10" s="492"/>
      <c r="G10" s="493"/>
      <c r="H10" s="489"/>
      <c r="I10" s="494"/>
      <c r="J10" s="494"/>
      <c r="K10" s="494"/>
      <c r="L10" s="532"/>
    </row>
    <row r="11" spans="1:12" s="487" customFormat="1" x14ac:dyDescent="0.2">
      <c r="A11" s="532"/>
      <c r="B11" s="501" t="s">
        <v>1686</v>
      </c>
      <c r="C11" s="503">
        <v>13495500000</v>
      </c>
      <c r="D11" s="491"/>
      <c r="E11" s="490"/>
      <c r="F11" s="492"/>
      <c r="G11" s="493"/>
      <c r="H11" s="489"/>
      <c r="I11" s="494"/>
      <c r="J11" s="494"/>
      <c r="K11" s="494"/>
      <c r="L11" s="532"/>
    </row>
    <row r="12" spans="1:12" s="487" customFormat="1" x14ac:dyDescent="0.2">
      <c r="A12" s="532"/>
      <c r="B12" s="502" t="s">
        <v>1685</v>
      </c>
      <c r="C12" s="503">
        <v>13495500000</v>
      </c>
      <c r="D12" s="491"/>
      <c r="E12" s="490"/>
      <c r="F12" s="492"/>
      <c r="G12" s="493"/>
      <c r="H12" s="489"/>
      <c r="I12" s="494"/>
      <c r="J12" s="494"/>
      <c r="K12" s="494"/>
      <c r="L12" s="532"/>
    </row>
    <row r="13" spans="1:12" s="487" customFormat="1" x14ac:dyDescent="0.2">
      <c r="A13" s="532"/>
      <c r="B13" s="504" t="s">
        <v>1684</v>
      </c>
      <c r="C13" s="505">
        <v>13475500000</v>
      </c>
      <c r="D13" s="491"/>
      <c r="E13" s="490"/>
      <c r="F13" s="492"/>
      <c r="G13" s="493"/>
      <c r="H13" s="489"/>
      <c r="I13" s="494"/>
      <c r="J13" s="494"/>
      <c r="K13" s="494"/>
      <c r="L13" s="532"/>
    </row>
    <row r="14" spans="1:12" s="487" customFormat="1" x14ac:dyDescent="0.2">
      <c r="A14" s="532"/>
      <c r="B14" s="488" t="s">
        <v>1646</v>
      </c>
      <c r="C14" s="490">
        <v>730500000</v>
      </c>
      <c r="D14" s="491">
        <f>COUNTIF('Actualizada - presupuesto'!$E$7:$E$111,'Resumen_Seguimiento Presupuesto'!B14)</f>
        <v>16</v>
      </c>
      <c r="E14" s="490">
        <f>SUMIFS('Actualizada - presupuesto'!$F$7:$F$111,'Actualizada - presupuesto'!$E$7:$E$111,B14)</f>
        <v>727229972</v>
      </c>
      <c r="F14" s="492">
        <f>COUNTIFS('Actualizada - presupuesto'!$L$7:$L$111,"SI",'Actualizada - presupuesto'!$E$7:$E$111,B14)</f>
        <v>15</v>
      </c>
      <c r="G14" s="493">
        <f>SUMIFS('Actualizada - presupuesto'!$F$7:$F$111,'Actualizada - presupuesto'!$E$7:$E$111,B14,'Actualizada - presupuesto'!$L$7:$L$111,"SI")</f>
        <v>720569972</v>
      </c>
      <c r="H14" s="489">
        <f>SUMIFS('Actualizada - presupuesto'!$AM$7:$AM$111,'Actualizada - presupuesto'!$E$7:$E$111,B14)</f>
        <v>0</v>
      </c>
      <c r="I14" s="495">
        <f>(H14/C14)*100%</f>
        <v>0</v>
      </c>
      <c r="J14" s="490">
        <f>SUMIFS('Actualizada - presupuesto'!$AW$7:$AW$111,'Actualizada - presupuesto'!$E$7:$E$111,B14)</f>
        <v>678466</v>
      </c>
      <c r="K14" s="496">
        <f t="shared" ref="K14:K52" si="0">(J14/C14)*100%</f>
        <v>9.2876933607118409E-4</v>
      </c>
      <c r="L14" s="532"/>
    </row>
    <row r="15" spans="1:12" s="487" customFormat="1" x14ac:dyDescent="0.2">
      <c r="A15" s="532"/>
      <c r="B15" s="488" t="s">
        <v>1647</v>
      </c>
      <c r="C15" s="490">
        <v>12745000000</v>
      </c>
      <c r="D15" s="491">
        <f>COUNTIF('Actualizada - presupuesto'!$E$7:$E$111,'Resumen_Seguimiento Presupuesto'!B15)</f>
        <v>0</v>
      </c>
      <c r="E15" s="490">
        <f>SUMIFS('Actualizada - presupuesto'!$F$7:$F$111,'Actualizada - presupuesto'!$E$7:$E$111,B15)</f>
        <v>0</v>
      </c>
      <c r="F15" s="492">
        <f>COUNTIFS('Actualizada - presupuesto'!$L$7:$L$111,"SI",'Actualizada - presupuesto'!$E$7:$E$111,B15)</f>
        <v>0</v>
      </c>
      <c r="G15" s="493">
        <f>SUMIFS('Actualizada - presupuesto'!$F$7:$F$111,'Actualizada - presupuesto'!$E$7:$E$111,B15,'Actualizada - presupuesto'!$L$7:$L$111,"SI")</f>
        <v>0</v>
      </c>
      <c r="H15" s="489">
        <f>SUMIFS('Actualizada - presupuesto'!$AM$7:$AM$111,'Actualizada - presupuesto'!$E$7:$E$111,B15)</f>
        <v>0</v>
      </c>
      <c r="I15" s="495">
        <f>(H15/C15)*100%</f>
        <v>0</v>
      </c>
      <c r="J15" s="490">
        <f>SUMIFS('Actualizada - presupuesto'!$AW$7:$AW$111,'Actualizada - presupuesto'!$E$7:$E$111,B15)</f>
        <v>0</v>
      </c>
      <c r="K15" s="496">
        <f t="shared" si="0"/>
        <v>0</v>
      </c>
      <c r="L15" s="532"/>
    </row>
    <row r="16" spans="1:12" s="487" customFormat="1" x14ac:dyDescent="0.2">
      <c r="A16" s="532"/>
      <c r="B16" s="488" t="s">
        <v>1648</v>
      </c>
      <c r="C16" s="490">
        <v>20000000</v>
      </c>
      <c r="D16" s="491">
        <f>COUNTIF('Actualizada - presupuesto'!$E$7:$E$111,'Resumen_Seguimiento Presupuesto'!B16)</f>
        <v>1</v>
      </c>
      <c r="E16" s="490">
        <f>SUMIFS('Actualizada - presupuesto'!$F$7:$F$111,'Actualizada - presupuesto'!$E$7:$E$111,B16)</f>
        <v>18000000</v>
      </c>
      <c r="F16" s="492">
        <f>COUNTIFS('Actualizada - presupuesto'!$L$7:$L$111,"SI",'Actualizada - presupuesto'!$E$7:$E$111,B16)</f>
        <v>1</v>
      </c>
      <c r="G16" s="493">
        <f>SUMIFS('Actualizada - presupuesto'!$F$7:$F$111,'Actualizada - presupuesto'!$E$7:$E$111,B16,'Actualizada - presupuesto'!$L$7:$L$111,"SI")</f>
        <v>18000000</v>
      </c>
      <c r="H16" s="489">
        <f>SUMIFS('Actualizada - presupuesto'!$AM$7:$AM$111,'Actualizada - presupuesto'!$E$7:$E$111,B16)</f>
        <v>0</v>
      </c>
      <c r="I16" s="495">
        <f>(H16/C16)*100%</f>
        <v>0</v>
      </c>
      <c r="J16" s="490">
        <f>SUMIFS('Actualizada - presupuesto'!$AW$7:$AW$111,'Actualizada - presupuesto'!$E$7:$E$111,B16)</f>
        <v>42413</v>
      </c>
      <c r="K16" s="496">
        <f t="shared" si="0"/>
        <v>2.12065E-3</v>
      </c>
      <c r="L16" s="532"/>
    </row>
    <row r="17" spans="1:12" s="487" customFormat="1" x14ac:dyDescent="0.2">
      <c r="A17" s="532"/>
      <c r="B17" s="498" t="s">
        <v>1796</v>
      </c>
      <c r="C17" s="506">
        <v>8772000000</v>
      </c>
      <c r="D17" s="491"/>
      <c r="E17" s="490"/>
      <c r="F17" s="492"/>
      <c r="G17" s="493"/>
      <c r="H17" s="489"/>
      <c r="I17" s="495"/>
      <c r="J17" s="490"/>
      <c r="K17" s="496"/>
      <c r="L17" s="532"/>
    </row>
    <row r="18" spans="1:12" s="487" customFormat="1" x14ac:dyDescent="0.2">
      <c r="A18" s="532"/>
      <c r="B18" s="508" t="s">
        <v>1650</v>
      </c>
      <c r="C18" s="505">
        <v>1589000000</v>
      </c>
      <c r="D18" s="491"/>
      <c r="E18" s="490"/>
      <c r="F18" s="492"/>
      <c r="G18" s="493"/>
      <c r="H18" s="489"/>
      <c r="I18" s="495"/>
      <c r="J18" s="490"/>
      <c r="K18" s="496"/>
      <c r="L18" s="532"/>
    </row>
    <row r="19" spans="1:12" s="487" customFormat="1" x14ac:dyDescent="0.2">
      <c r="A19" s="532"/>
      <c r="B19" s="488" t="s">
        <v>1651</v>
      </c>
      <c r="C19" s="490">
        <v>914000000</v>
      </c>
      <c r="D19" s="491">
        <f>COUNTIF('Actualizada - presupuesto'!$E$7:$E$111,'Resumen_Seguimiento Presupuesto'!B19)</f>
        <v>15</v>
      </c>
      <c r="E19" s="490">
        <f>SUMIFS('Actualizada - presupuesto'!$F$7:$F$111,'Actualizada - presupuesto'!$E$7:$E$111,B19)</f>
        <v>1314726924</v>
      </c>
      <c r="F19" s="492">
        <f>COUNTIFS('Actualizada - presupuesto'!$L$7:$L$111,"SI",'Actualizada - presupuesto'!$E$7:$E$111,B19)</f>
        <v>11</v>
      </c>
      <c r="G19" s="493">
        <f>SUMIFS('Actualizada - presupuesto'!$F$7:$F$111,'Actualizada - presupuesto'!$E$7:$E$111,B19,'Actualizada - presupuesto'!$L$7:$L$111,"SI")</f>
        <v>1088361990</v>
      </c>
      <c r="H19" s="489">
        <f>SUMIFS('Actualizada - presupuesto'!$AM$7:$AM$111,'Actualizada - presupuesto'!$E$7:$E$111,B19)</f>
        <v>0</v>
      </c>
      <c r="I19" s="495">
        <f t="shared" ref="I19:I52" si="1">(H19/C19)*100%</f>
        <v>0</v>
      </c>
      <c r="J19" s="490">
        <f>SUMIFS('Actualizada - presupuesto'!$AW$7:$AW$111,'Actualizada - presupuesto'!$E$7:$E$111,B19)</f>
        <v>382283</v>
      </c>
      <c r="K19" s="496">
        <f t="shared" si="0"/>
        <v>4.1825273522975932E-4</v>
      </c>
      <c r="L19" s="532"/>
    </row>
    <row r="20" spans="1:12" s="487" customFormat="1" x14ac:dyDescent="0.2">
      <c r="A20" s="532"/>
      <c r="B20" s="488" t="s">
        <v>1652</v>
      </c>
      <c r="C20" s="490">
        <v>452000000</v>
      </c>
      <c r="D20" s="491">
        <f>COUNTIF('Actualizada - presupuesto'!$E$7:$E$111,'Resumen_Seguimiento Presupuesto'!B20)</f>
        <v>3</v>
      </c>
      <c r="E20" s="490">
        <f>SUMIFS('Actualizada - presupuesto'!$F$7:$F$111,'Actualizada - presupuesto'!$E$7:$E$111,B20)</f>
        <v>448015000</v>
      </c>
      <c r="F20" s="492">
        <f>COUNTIFS('Actualizada - presupuesto'!$L$7:$L$111,"SI",'Actualizada - presupuesto'!$E$7:$E$111,B20)</f>
        <v>2</v>
      </c>
      <c r="G20" s="493">
        <f>SUMIFS('Actualizada - presupuesto'!$F$7:$F$111,'Actualizada - presupuesto'!$E$7:$E$111,B20,'Actualizada - presupuesto'!$L$7:$L$111,"SI")</f>
        <v>448015000</v>
      </c>
      <c r="H20" s="489" t="e">
        <f>SUMIFS('Actualizada - presupuesto'!$AM$7:$AM$111,'Actualizada - presupuesto'!$E$7:$E$111,B20)</f>
        <v>#N/A</v>
      </c>
      <c r="I20" s="495" t="e">
        <f t="shared" si="1"/>
        <v>#N/A</v>
      </c>
      <c r="J20" s="490">
        <f>SUMIFS('Actualizada - presupuesto'!$AW$7:$AW$111,'Actualizada - presupuesto'!$E$7:$E$111,B20)</f>
        <v>85074</v>
      </c>
      <c r="K20" s="496">
        <f t="shared" si="0"/>
        <v>1.8821681415929204E-4</v>
      </c>
      <c r="L20" s="532"/>
    </row>
    <row r="21" spans="1:12" s="487" customFormat="1" x14ac:dyDescent="0.2">
      <c r="A21" s="532"/>
      <c r="B21" s="488" t="s">
        <v>1653</v>
      </c>
      <c r="C21" s="490">
        <v>223000000</v>
      </c>
      <c r="D21" s="491">
        <f>COUNTIF('Actualizada - presupuesto'!$E$7:$E$111,'Resumen_Seguimiento Presupuesto'!B21)</f>
        <v>4</v>
      </c>
      <c r="E21" s="490">
        <f>SUMIFS('Actualizada - presupuesto'!$F$7:$F$111,'Actualizada - presupuesto'!$E$7:$E$111,B21)</f>
        <v>208212000</v>
      </c>
      <c r="F21" s="492">
        <f>COUNTIFS('Actualizada - presupuesto'!$L$7:$L$111,"SI",'Actualizada - presupuesto'!$E$7:$E$111,B21)</f>
        <v>4</v>
      </c>
      <c r="G21" s="493">
        <f>SUMIFS('Actualizada - presupuesto'!$F$7:$F$111,'Actualizada - presupuesto'!$E$7:$E$111,B21,'Actualizada - presupuesto'!$L$7:$L$111,"SI")</f>
        <v>208212000</v>
      </c>
      <c r="H21" s="489">
        <f>SUMIFS('Actualizada - presupuesto'!$AM$7:$AM$111,'Actualizada - presupuesto'!$E$7:$E$111,B21)</f>
        <v>0</v>
      </c>
      <c r="I21" s="495">
        <f t="shared" si="1"/>
        <v>0</v>
      </c>
      <c r="J21" s="490">
        <f>SUMIFS('Actualizada - presupuesto'!$AW$7:$AW$111,'Actualizada - presupuesto'!$E$7:$E$111,B21)</f>
        <v>169874</v>
      </c>
      <c r="K21" s="496">
        <f t="shared" si="0"/>
        <v>7.6176681614349771E-4</v>
      </c>
      <c r="L21" s="532"/>
    </row>
    <row r="22" spans="1:12" s="487" customFormat="1" x14ac:dyDescent="0.2">
      <c r="A22" s="532"/>
      <c r="B22" s="508" t="s">
        <v>1654</v>
      </c>
      <c r="C22" s="505">
        <v>7182000000</v>
      </c>
      <c r="D22" s="491"/>
      <c r="E22" s="490"/>
      <c r="F22" s="492"/>
      <c r="G22" s="493"/>
      <c r="H22" s="489"/>
      <c r="I22" s="495"/>
      <c r="J22" s="490"/>
      <c r="K22" s="496"/>
      <c r="L22" s="532"/>
    </row>
    <row r="23" spans="1:12" s="487" customFormat="1" x14ac:dyDescent="0.2">
      <c r="A23" s="532"/>
      <c r="B23" s="488" t="s">
        <v>1655</v>
      </c>
      <c r="C23" s="490">
        <v>229000000</v>
      </c>
      <c r="D23" s="491">
        <f>COUNTIF('Actualizada - presupuesto'!$E$7:$E$111,'Resumen_Seguimiento Presupuesto'!B23)</f>
        <v>5</v>
      </c>
      <c r="E23" s="490">
        <f>SUMIFS('Actualizada - presupuesto'!$F$7:$F$111,'Actualizada - presupuesto'!$E$7:$E$111,B23)</f>
        <v>201208146</v>
      </c>
      <c r="F23" s="492">
        <f>COUNTIFS('Actualizada - presupuesto'!$L$7:$L$111,"SI",'Actualizada - presupuesto'!$E$7:$E$111,B23)</f>
        <v>5</v>
      </c>
      <c r="G23" s="493">
        <f>SUMIFS('Actualizada - presupuesto'!$F$7:$F$111,'Actualizada - presupuesto'!$E$7:$E$111,B23,'Actualizada - presupuesto'!$L$7:$L$111,"SI")</f>
        <v>201208146</v>
      </c>
      <c r="H23" s="489" t="e">
        <f>SUMIFS('Actualizada - presupuesto'!$AM$7:$AM$111,'Actualizada - presupuesto'!$E$7:$E$111,B23)</f>
        <v>#N/A</v>
      </c>
      <c r="I23" s="495" t="e">
        <f t="shared" si="1"/>
        <v>#N/A</v>
      </c>
      <c r="J23" s="490">
        <f>SUMIFS('Actualizada - presupuesto'!$AW$7:$AW$111,'Actualizada - presupuesto'!$E$7:$E$111,B23)</f>
        <v>127533</v>
      </c>
      <c r="K23" s="496">
        <f t="shared" si="0"/>
        <v>5.5691266375545848E-4</v>
      </c>
      <c r="L23" s="532"/>
    </row>
    <row r="24" spans="1:12" s="487" customFormat="1" x14ac:dyDescent="0.2">
      <c r="A24" s="532"/>
      <c r="B24" s="488" t="s">
        <v>1656</v>
      </c>
      <c r="C24" s="490">
        <v>54000000</v>
      </c>
      <c r="D24" s="491">
        <f>COUNTIF('Actualizada - presupuesto'!$E$7:$E$111,'Resumen_Seguimiento Presupuesto'!B24)</f>
        <v>11</v>
      </c>
      <c r="E24" s="490">
        <f>SUMIFS('Actualizada - presupuesto'!$F$7:$F$111,'Actualizada - presupuesto'!$E$7:$E$111,B24)</f>
        <v>48599594</v>
      </c>
      <c r="F24" s="492">
        <f>COUNTIFS('Actualizada - presupuesto'!$L$7:$L$111,"SI",'Actualizada - presupuesto'!$E$7:$E$111,B24)</f>
        <v>10</v>
      </c>
      <c r="G24" s="493">
        <f>SUMIFS('Actualizada - presupuesto'!$F$7:$F$111,'Actualizada - presupuesto'!$E$7:$E$111,B24,'Actualizada - presupuesto'!$L$7:$L$111,"SI")</f>
        <v>48599594</v>
      </c>
      <c r="H24" s="489" t="e">
        <f>SUMIFS('Actualizada - presupuesto'!$AM$7:$AM$111,'Actualizada - presupuesto'!$E$7:$E$111,B24)</f>
        <v>#N/A</v>
      </c>
      <c r="I24" s="495" t="e">
        <f t="shared" si="1"/>
        <v>#N/A</v>
      </c>
      <c r="J24" s="490">
        <f>SUMIFS('Actualizada - presupuesto'!$AW$7:$AW$111,'Actualizada - presupuesto'!$E$7:$E$111,B24)</f>
        <v>382969</v>
      </c>
      <c r="K24" s="496">
        <f t="shared" si="0"/>
        <v>7.0920185185185183E-3</v>
      </c>
      <c r="L24" s="532"/>
    </row>
    <row r="25" spans="1:12" s="487" customFormat="1" x14ac:dyDescent="0.2">
      <c r="A25" s="532"/>
      <c r="B25" s="508" t="s">
        <v>1657</v>
      </c>
      <c r="C25" s="505">
        <v>1243000000</v>
      </c>
      <c r="D25" s="491"/>
      <c r="E25" s="490"/>
      <c r="F25" s="492"/>
      <c r="G25" s="493"/>
      <c r="H25" s="489"/>
      <c r="I25" s="495"/>
      <c r="J25" s="490"/>
      <c r="K25" s="496"/>
      <c r="L25" s="532"/>
    </row>
    <row r="26" spans="1:12" s="487" customFormat="1" x14ac:dyDescent="0.2">
      <c r="A26" s="532"/>
      <c r="B26" s="488" t="s">
        <v>1658</v>
      </c>
      <c r="C26" s="490">
        <v>1243000000</v>
      </c>
      <c r="D26" s="491">
        <f>COUNTIF('Actualizada - presupuesto'!$E$7:$E$111,'Resumen_Seguimiento Presupuesto'!B26)</f>
        <v>17</v>
      </c>
      <c r="E26" s="490" t="e">
        <f>SUMIFS('Actualizada - presupuesto'!$F$7:$F$111,'Actualizada - presupuesto'!$E$7:$E$111,B26)</f>
        <v>#N/A</v>
      </c>
      <c r="F26" s="492">
        <f>COUNTIFS('Actualizada - presupuesto'!$L$7:$L$111,"SI",'Actualizada - presupuesto'!$E$7:$E$111,B26)</f>
        <v>16</v>
      </c>
      <c r="G26" s="493">
        <f>SUMIFS('Actualizada - presupuesto'!$F$7:$F$111,'Actualizada - presupuesto'!$E$7:$E$111,B26,'Actualizada - presupuesto'!$L$7:$L$111,"SI")</f>
        <v>1068156710</v>
      </c>
      <c r="H26" s="489">
        <f>SUMIFS('Actualizada - presupuesto'!$AM$7:$AM$111,'Actualizada - presupuesto'!$E$7:$E$111,B26)</f>
        <v>0</v>
      </c>
      <c r="I26" s="495">
        <f t="shared" si="1"/>
        <v>0</v>
      </c>
      <c r="J26" s="490">
        <f>SUMIFS('Actualizada - presupuesto'!$AW$7:$AW$111,'Actualizada - presupuesto'!$E$7:$E$111,B26)</f>
        <v>723787</v>
      </c>
      <c r="K26" s="496">
        <f t="shared" si="0"/>
        <v>5.8229042638777151E-4</v>
      </c>
      <c r="L26" s="532"/>
    </row>
    <row r="27" spans="1:12" s="487" customFormat="1" x14ac:dyDescent="0.2">
      <c r="A27" s="532"/>
      <c r="B27" s="508" t="s">
        <v>1659</v>
      </c>
      <c r="C27" s="505">
        <v>1488000000</v>
      </c>
      <c r="D27" s="491"/>
      <c r="E27" s="490"/>
      <c r="F27" s="492"/>
      <c r="G27" s="493"/>
      <c r="H27" s="489"/>
      <c r="I27" s="495"/>
      <c r="J27" s="490"/>
      <c r="K27" s="496"/>
      <c r="L27" s="532"/>
    </row>
    <row r="28" spans="1:12" s="487" customFormat="1" x14ac:dyDescent="0.2">
      <c r="A28" s="532"/>
      <c r="B28" s="488" t="s">
        <v>1660</v>
      </c>
      <c r="C28" s="490">
        <v>194693000</v>
      </c>
      <c r="D28" s="491">
        <f>COUNTIF('Actualizada - presupuesto'!$E$7:$E$111,'Resumen_Seguimiento Presupuesto'!B28)</f>
        <v>2</v>
      </c>
      <c r="E28" s="490">
        <f>SUMIFS('Actualizada - presupuesto'!$F$7:$F$111,'Actualizada - presupuesto'!$E$7:$E$111,B28)</f>
        <v>178692210</v>
      </c>
      <c r="F28" s="492">
        <f>COUNTIFS('Actualizada - presupuesto'!$L$7:$L$111,"SI",'Actualizada - presupuesto'!$E$7:$E$111,B28)</f>
        <v>0</v>
      </c>
      <c r="G28" s="493">
        <f>SUMIFS('Actualizada - presupuesto'!$F$7:$F$111,'Actualizada - presupuesto'!$E$7:$E$111,B28,'Actualizada - presupuesto'!$L$7:$L$111,"SI")</f>
        <v>0</v>
      </c>
      <c r="H28" s="489">
        <f>SUMIFS('Actualizada - presupuesto'!$AM$7:$AM$111,'Actualizada - presupuesto'!$E$7:$E$111,B28)</f>
        <v>0</v>
      </c>
      <c r="I28" s="495">
        <f t="shared" si="1"/>
        <v>0</v>
      </c>
      <c r="J28" s="490">
        <f>SUMIFS('Actualizada - presupuesto'!$AW$7:$AW$111,'Actualizada - presupuesto'!$E$7:$E$111,B28)</f>
        <v>0</v>
      </c>
      <c r="K28" s="496">
        <f t="shared" si="0"/>
        <v>0</v>
      </c>
      <c r="L28" s="532"/>
    </row>
    <row r="29" spans="1:12" s="487" customFormat="1" x14ac:dyDescent="0.2">
      <c r="A29" s="532"/>
      <c r="B29" s="488" t="s">
        <v>1661</v>
      </c>
      <c r="C29" s="490">
        <v>212307000</v>
      </c>
      <c r="D29" s="491">
        <f>COUNTIF('Actualizada - presupuesto'!$E$7:$E$111,'Resumen_Seguimiento Presupuesto'!B29)</f>
        <v>2</v>
      </c>
      <c r="E29" s="490">
        <f>SUMIFS('Actualizada - presupuesto'!$F$7:$F$111,'Actualizada - presupuesto'!$E$7:$E$111,B29)</f>
        <v>200314259</v>
      </c>
      <c r="F29" s="492">
        <f>COUNTIFS('Actualizada - presupuesto'!$L$7:$L$111,"SI",'Actualizada - presupuesto'!$E$7:$E$111,B29)</f>
        <v>0</v>
      </c>
      <c r="G29" s="493">
        <f>SUMIFS('Actualizada - presupuesto'!$F$7:$F$111,'Actualizada - presupuesto'!$E$7:$E$111,B29,'Actualizada - presupuesto'!$L$7:$L$111,"SI")</f>
        <v>0</v>
      </c>
      <c r="H29" s="489" t="e">
        <f>SUMIFS('Actualizada - presupuesto'!$AM$7:$AM$111,'Actualizada - presupuesto'!$E$7:$E$111,B29)</f>
        <v>#N/A</v>
      </c>
      <c r="I29" s="495" t="e">
        <f t="shared" si="1"/>
        <v>#N/A</v>
      </c>
      <c r="J29" s="490">
        <f>SUMIFS('Actualizada - presupuesto'!$AW$7:$AW$111,'Actualizada - presupuesto'!$E$7:$E$111,B29)</f>
        <v>0</v>
      </c>
      <c r="K29" s="496">
        <f t="shared" si="0"/>
        <v>0</v>
      </c>
      <c r="L29" s="532"/>
    </row>
    <row r="30" spans="1:12" s="487" customFormat="1" x14ac:dyDescent="0.2">
      <c r="A30" s="532"/>
      <c r="B30" s="488" t="s">
        <v>1662</v>
      </c>
      <c r="C30" s="490">
        <v>1081000000</v>
      </c>
      <c r="D30" s="491">
        <f>COUNTIF('Actualizada - presupuesto'!$E$7:$E$111,'Resumen_Seguimiento Presupuesto'!B30)</f>
        <v>0</v>
      </c>
      <c r="E30" s="490">
        <f>SUMIFS('Actualizada - presupuesto'!$F$7:$F$111,'Actualizada - presupuesto'!$E$7:$E$111,B30)</f>
        <v>0</v>
      </c>
      <c r="F30" s="492">
        <f>COUNTIFS('Actualizada - presupuesto'!$L$7:$L$111,"SI",'Actualizada - presupuesto'!$E$7:$E$111,B30)</f>
        <v>0</v>
      </c>
      <c r="G30" s="493">
        <f>SUMIFS('Actualizada - presupuesto'!$F$7:$F$111,'Actualizada - presupuesto'!$E$7:$E$111,B30,'Actualizada - presupuesto'!$L$7:$L$111,"SI")</f>
        <v>0</v>
      </c>
      <c r="H30" s="489">
        <f>SUMIFS('Actualizada - presupuesto'!$AM$7:$AM$111,'Actualizada - presupuesto'!$E$7:$E$111,B30)</f>
        <v>0</v>
      </c>
      <c r="I30" s="495">
        <f t="shared" si="1"/>
        <v>0</v>
      </c>
      <c r="J30" s="490">
        <f>SUMIFS('Actualizada - presupuesto'!$AW$7:$AW$111,'Actualizada - presupuesto'!$E$7:$E$111,B30)</f>
        <v>0</v>
      </c>
      <c r="K30" s="496">
        <f t="shared" si="0"/>
        <v>0</v>
      </c>
      <c r="L30" s="532"/>
    </row>
    <row r="31" spans="1:12" s="487" customFormat="1" x14ac:dyDescent="0.2">
      <c r="A31" s="532"/>
      <c r="B31" s="508" t="s">
        <v>1663</v>
      </c>
      <c r="C31" s="505">
        <v>430000000</v>
      </c>
      <c r="D31" s="491"/>
      <c r="E31" s="490"/>
      <c r="F31" s="492"/>
      <c r="G31" s="493"/>
      <c r="H31" s="489"/>
      <c r="I31" s="495"/>
      <c r="J31" s="490"/>
      <c r="K31" s="496"/>
      <c r="L31" s="532"/>
    </row>
    <row r="32" spans="1:12" s="487" customFormat="1" x14ac:dyDescent="0.2">
      <c r="A32" s="532"/>
      <c r="B32" s="488" t="s">
        <v>1664</v>
      </c>
      <c r="C32" s="490">
        <v>206250000</v>
      </c>
      <c r="D32" s="491">
        <f>COUNTIF('Actualizada - presupuesto'!$E$7:$E$111,'Resumen_Seguimiento Presupuesto'!B32)</f>
        <v>0</v>
      </c>
      <c r="E32" s="490">
        <f>SUMIFS('Actualizada - presupuesto'!$F$7:$F$111,'Actualizada - presupuesto'!$E$7:$E$111,B32)</f>
        <v>0</v>
      </c>
      <c r="F32" s="492">
        <f>COUNTIFS('Actualizada - presupuesto'!$L$7:$L$111,"SI",'Actualizada - presupuesto'!$E$7:$E$111,B32)</f>
        <v>0</v>
      </c>
      <c r="G32" s="493">
        <f>SUMIFS('Actualizada - presupuesto'!$F$7:$F$111,'Actualizada - presupuesto'!$E$7:$E$111,B32,'Actualizada - presupuesto'!$L$7:$L$111,"SI")</f>
        <v>0</v>
      </c>
      <c r="H32" s="489">
        <f>SUMIFS('Actualizada - presupuesto'!$AM$7:$AM$111,'Actualizada - presupuesto'!$E$7:$E$111,B32)</f>
        <v>0</v>
      </c>
      <c r="I32" s="495">
        <f t="shared" si="1"/>
        <v>0</v>
      </c>
      <c r="J32" s="490">
        <f>SUMIFS('Actualizada - presupuesto'!$AW$7:$AW$111,'Actualizada - presupuesto'!$E$7:$E$111,B32)</f>
        <v>0</v>
      </c>
      <c r="K32" s="496">
        <f t="shared" si="0"/>
        <v>0</v>
      </c>
      <c r="L32" s="532"/>
    </row>
    <row r="33" spans="1:12" s="487" customFormat="1" x14ac:dyDescent="0.2">
      <c r="A33" s="532"/>
      <c r="B33" s="488" t="s">
        <v>1665</v>
      </c>
      <c r="C33" s="490">
        <v>36750000</v>
      </c>
      <c r="D33" s="491">
        <f>COUNTIF('Actualizada - presupuesto'!$E$7:$E$111,'Resumen_Seguimiento Presupuesto'!B33)</f>
        <v>0</v>
      </c>
      <c r="E33" s="490">
        <f>SUMIFS('Actualizada - presupuesto'!$F$7:$F$111,'Actualizada - presupuesto'!$E$7:$E$111,B33)</f>
        <v>0</v>
      </c>
      <c r="F33" s="492">
        <f>COUNTIFS('Actualizada - presupuesto'!$L$7:$L$111,"SI",'Actualizada - presupuesto'!$E$7:$E$111,B33)</f>
        <v>0</v>
      </c>
      <c r="G33" s="493">
        <f>SUMIFS('Actualizada - presupuesto'!$F$7:$F$111,'Actualizada - presupuesto'!$E$7:$E$111,B33,'Actualizada - presupuesto'!$L$7:$L$111,"SI")</f>
        <v>0</v>
      </c>
      <c r="H33" s="489">
        <f>SUMIFS('Actualizada - presupuesto'!$AM$7:$AM$111,'Actualizada - presupuesto'!$E$7:$E$111,B33)</f>
        <v>0</v>
      </c>
      <c r="I33" s="495">
        <f t="shared" si="1"/>
        <v>0</v>
      </c>
      <c r="J33" s="490">
        <f>SUMIFS('Actualizada - presupuesto'!$AW$7:$AW$111,'Actualizada - presupuesto'!$E$7:$E$111,B33)</f>
        <v>0</v>
      </c>
      <c r="K33" s="496">
        <f t="shared" si="0"/>
        <v>0</v>
      </c>
      <c r="L33" s="532"/>
    </row>
    <row r="34" spans="1:12" s="487" customFormat="1" x14ac:dyDescent="0.2">
      <c r="A34" s="532"/>
      <c r="B34" s="488" t="s">
        <v>1666</v>
      </c>
      <c r="C34" s="490">
        <v>58000000</v>
      </c>
      <c r="D34" s="491">
        <f>COUNTIF('Actualizada - presupuesto'!$E$7:$E$111,'Resumen_Seguimiento Presupuesto'!B34)</f>
        <v>0</v>
      </c>
      <c r="E34" s="490">
        <f>SUMIFS('Actualizada - presupuesto'!$F$7:$F$111,'Actualizada - presupuesto'!$E$7:$E$111,B34)</f>
        <v>0</v>
      </c>
      <c r="F34" s="492">
        <f>COUNTIFS('Actualizada - presupuesto'!$L$7:$L$111,"SI",'Actualizada - presupuesto'!$E$7:$E$111,B34)</f>
        <v>0</v>
      </c>
      <c r="G34" s="493">
        <f>SUMIFS('Actualizada - presupuesto'!$F$7:$F$111,'Actualizada - presupuesto'!$E$7:$E$111,B34,'Actualizada - presupuesto'!$L$7:$L$111,"SI")</f>
        <v>0</v>
      </c>
      <c r="H34" s="489">
        <f>SUMIFS('Actualizada - presupuesto'!$AM$7:$AM$111,'Actualizada - presupuesto'!$E$7:$E$111,B34)</f>
        <v>0</v>
      </c>
      <c r="I34" s="495">
        <f t="shared" si="1"/>
        <v>0</v>
      </c>
      <c r="J34" s="490">
        <f>SUMIFS('Actualizada - presupuesto'!$AW$7:$AW$111,'Actualizada - presupuesto'!$E$7:$E$111,B34)</f>
        <v>0</v>
      </c>
      <c r="K34" s="496">
        <f t="shared" si="0"/>
        <v>0</v>
      </c>
      <c r="L34" s="532"/>
    </row>
    <row r="35" spans="1:12" s="487" customFormat="1" x14ac:dyDescent="0.2">
      <c r="A35" s="532"/>
      <c r="B35" s="488" t="s">
        <v>1667</v>
      </c>
      <c r="C35" s="490">
        <v>129000000</v>
      </c>
      <c r="D35" s="491">
        <f>COUNTIF('Actualizada - presupuesto'!$E$7:$E$111,'Resumen_Seguimiento Presupuesto'!B35)</f>
        <v>0</v>
      </c>
      <c r="E35" s="490">
        <f>SUMIFS('Actualizada - presupuesto'!$F$7:$F$111,'Actualizada - presupuesto'!$E$7:$E$111,B35)</f>
        <v>0</v>
      </c>
      <c r="F35" s="492">
        <f>COUNTIFS('Actualizada - presupuesto'!$L$7:$L$111,"SI",'Actualizada - presupuesto'!$E$7:$E$111,B35)</f>
        <v>0</v>
      </c>
      <c r="G35" s="493">
        <f>SUMIFS('Actualizada - presupuesto'!$F$7:$F$111,'Actualizada - presupuesto'!$E$7:$E$111,B35,'Actualizada - presupuesto'!$L$7:$L$111,"SI")</f>
        <v>0</v>
      </c>
      <c r="H35" s="489">
        <f>SUMIFS('Actualizada - presupuesto'!$AM$7:$AM$111,'Actualizada - presupuesto'!$E$7:$E$111,B35)</f>
        <v>0</v>
      </c>
      <c r="I35" s="495">
        <f t="shared" si="1"/>
        <v>0</v>
      </c>
      <c r="J35" s="490">
        <f>SUMIFS('Actualizada - presupuesto'!$AW$7:$AW$111,'Actualizada - presupuesto'!$E$7:$E$111,B35)</f>
        <v>0</v>
      </c>
      <c r="K35" s="496">
        <f t="shared" si="0"/>
        <v>0</v>
      </c>
      <c r="L35" s="532"/>
    </row>
    <row r="36" spans="1:12" s="487" customFormat="1" x14ac:dyDescent="0.2">
      <c r="A36" s="532"/>
      <c r="B36" s="508" t="s">
        <v>1668</v>
      </c>
      <c r="C36" s="505">
        <v>478000000</v>
      </c>
      <c r="D36" s="491"/>
      <c r="E36" s="490"/>
      <c r="F36" s="492"/>
      <c r="G36" s="493"/>
      <c r="H36" s="489"/>
      <c r="I36" s="495"/>
      <c r="J36" s="490"/>
      <c r="K36" s="496"/>
      <c r="L36" s="532"/>
    </row>
    <row r="37" spans="1:12" s="487" customFormat="1" x14ac:dyDescent="0.2">
      <c r="A37" s="532"/>
      <c r="B37" s="488" t="s">
        <v>1669</v>
      </c>
      <c r="C37" s="490">
        <v>478000000</v>
      </c>
      <c r="D37" s="491">
        <f>COUNTIF('Actualizada - presupuesto'!$E$7:$E$111,'Resumen_Seguimiento Presupuesto'!B37)</f>
        <v>1</v>
      </c>
      <c r="E37" s="490">
        <f>SUMIFS('Actualizada - presupuesto'!$F$7:$F$111,'Actualizada - presupuesto'!$E$7:$E$111,B37)</f>
        <v>478000000</v>
      </c>
      <c r="F37" s="492">
        <f>COUNTIFS('Actualizada - presupuesto'!$L$7:$L$111,"SI",'Actualizada - presupuesto'!$E$7:$E$111,B37)</f>
        <v>1</v>
      </c>
      <c r="G37" s="493">
        <f>SUMIFS('Actualizada - presupuesto'!$F$7:$F$111,'Actualizada - presupuesto'!$E$7:$E$111,B37,'Actualizada - presupuesto'!$L$7:$L$111,"SI")</f>
        <v>478000000</v>
      </c>
      <c r="H37" s="489">
        <f>SUMIFS('Actualizada - presupuesto'!$AM$7:$AM$111,'Actualizada - presupuesto'!$E$7:$E$111,B37)</f>
        <v>0</v>
      </c>
      <c r="I37" s="495">
        <f t="shared" si="1"/>
        <v>0</v>
      </c>
      <c r="J37" s="490">
        <f>SUMIFS('Actualizada - presupuesto'!$AW$7:$AW$111,'Actualizada - presupuesto'!$E$7:$E$111,B37)</f>
        <v>42704</v>
      </c>
      <c r="K37" s="496">
        <f t="shared" si="0"/>
        <v>8.9338912133891208E-5</v>
      </c>
      <c r="L37" s="532"/>
    </row>
    <row r="38" spans="1:12" s="487" customFormat="1" x14ac:dyDescent="0.2">
      <c r="A38" s="532"/>
      <c r="B38" s="488" t="s">
        <v>1670</v>
      </c>
      <c r="C38" s="490">
        <v>834000000</v>
      </c>
      <c r="D38" s="491">
        <f>COUNTIF('Actualizada - presupuesto'!$E$7:$E$111,'Resumen_Seguimiento Presupuesto'!B38)</f>
        <v>3</v>
      </c>
      <c r="E38" s="490">
        <f>SUMIFS('Actualizada - presupuesto'!$F$7:$F$111,'Actualizada - presupuesto'!$E$7:$E$111,B38)</f>
        <v>606630800</v>
      </c>
      <c r="F38" s="492">
        <f>COUNTIFS('Actualizada - presupuesto'!$L$7:$L$111,"SI",'Actualizada - presupuesto'!$E$7:$E$111,B38)</f>
        <v>3</v>
      </c>
      <c r="G38" s="493">
        <f>SUMIFS('Actualizada - presupuesto'!$F$7:$F$111,'Actualizada - presupuesto'!$E$7:$E$111,B38,'Actualizada - presupuesto'!$L$7:$L$111,"SI")</f>
        <v>606630800</v>
      </c>
      <c r="H38" s="489">
        <f>SUMIFS('Actualizada - presupuesto'!$AM$7:$AM$111,'Actualizada - presupuesto'!$E$7:$E$111,B38)</f>
        <v>0</v>
      </c>
      <c r="I38" s="495">
        <f t="shared" si="1"/>
        <v>0</v>
      </c>
      <c r="J38" s="490">
        <f>SUMIFS('Actualizada - presupuesto'!$AW$7:$AW$111,'Actualizada - presupuesto'!$E$7:$E$111,B38)</f>
        <v>85177</v>
      </c>
      <c r="K38" s="496">
        <f t="shared" si="0"/>
        <v>1.0213069544364508E-4</v>
      </c>
      <c r="L38" s="532"/>
    </row>
    <row r="39" spans="1:12" s="487" customFormat="1" x14ac:dyDescent="0.2">
      <c r="A39" s="532"/>
      <c r="B39" s="488" t="s">
        <v>1671</v>
      </c>
      <c r="C39" s="490">
        <v>478000000</v>
      </c>
      <c r="D39" s="491">
        <f>COUNTIF('Actualizada - presupuesto'!$E$7:$E$111,'Resumen_Seguimiento Presupuesto'!B39)</f>
        <v>4</v>
      </c>
      <c r="E39" s="490">
        <f>SUMIFS('Actualizada - presupuesto'!$F$7:$F$111,'Actualizada - presupuesto'!$E$7:$E$111,B39)</f>
        <v>343600000</v>
      </c>
      <c r="F39" s="492">
        <f>COUNTIFS('Actualizada - presupuesto'!$L$7:$L$111,"SI",'Actualizada - presupuesto'!$E$7:$E$111,B39)</f>
        <v>3</v>
      </c>
      <c r="G39" s="493">
        <f>SUMIFS('Actualizada - presupuesto'!$F$7:$F$111,'Actualizada - presupuesto'!$E$7:$E$111,B39,'Actualizada - presupuesto'!$L$7:$L$111,"SI")</f>
        <v>163600000</v>
      </c>
      <c r="H39" s="489">
        <f>SUMIFS('Actualizada - presupuesto'!$AM$7:$AM$111,'Actualizada - presupuesto'!$E$7:$E$111,B39)</f>
        <v>0</v>
      </c>
      <c r="I39" s="495">
        <f t="shared" si="1"/>
        <v>0</v>
      </c>
      <c r="J39" s="490">
        <f>SUMIFS('Actualizada - presupuesto'!$AW$7:$AW$111,'Actualizada - presupuesto'!$E$7:$E$111,B39)</f>
        <v>128016</v>
      </c>
      <c r="K39" s="496">
        <f t="shared" si="0"/>
        <v>2.6781589958158996E-4</v>
      </c>
      <c r="L39" s="532"/>
    </row>
    <row r="40" spans="1:12" s="487" customFormat="1" x14ac:dyDescent="0.2">
      <c r="A40" s="532"/>
      <c r="B40" s="488" t="s">
        <v>1672</v>
      </c>
      <c r="C40" s="490">
        <v>108000000</v>
      </c>
      <c r="D40" s="491">
        <f>COUNTIF('Actualizada - presupuesto'!$E$7:$E$111,'Resumen_Seguimiento Presupuesto'!B40)</f>
        <v>3</v>
      </c>
      <c r="E40" s="490">
        <f>SUMIFS('Actualizada - presupuesto'!$F$7:$F$111,'Actualizada - presupuesto'!$E$7:$E$111,B40)</f>
        <v>77531000</v>
      </c>
      <c r="F40" s="492">
        <f>COUNTIFS('Actualizada - presupuesto'!$L$7:$L$111,"SI",'Actualizada - presupuesto'!$E$7:$E$111,B40)</f>
        <v>3</v>
      </c>
      <c r="G40" s="493">
        <f>SUMIFS('Actualizada - presupuesto'!$F$7:$F$111,'Actualizada - presupuesto'!$E$7:$E$111,B40,'Actualizada - presupuesto'!$L$7:$L$111,"SI")</f>
        <v>77531000</v>
      </c>
      <c r="H40" s="489">
        <f>SUMIFS('Actualizada - presupuesto'!$AM$7:$AM$111,'Actualizada - presupuesto'!$E$7:$E$111,B40)</f>
        <v>0</v>
      </c>
      <c r="I40" s="495">
        <f t="shared" si="1"/>
        <v>0</v>
      </c>
      <c r="J40" s="490">
        <f>SUMIFS('Actualizada - presupuesto'!$AW$7:$AW$111,'Actualizada - presupuesto'!$E$7:$E$111,B40)</f>
        <v>127211</v>
      </c>
      <c r="K40" s="496">
        <f t="shared" si="0"/>
        <v>1.1778796296296296E-3</v>
      </c>
      <c r="L40" s="532"/>
    </row>
    <row r="41" spans="1:12" s="487" customFormat="1" ht="25.5" x14ac:dyDescent="0.2">
      <c r="A41" s="532"/>
      <c r="B41" s="508" t="s">
        <v>1673</v>
      </c>
      <c r="C41" s="505">
        <v>40000000</v>
      </c>
      <c r="D41" s="491"/>
      <c r="E41" s="490"/>
      <c r="F41" s="492"/>
      <c r="G41" s="493"/>
      <c r="H41" s="489"/>
      <c r="I41" s="495"/>
      <c r="J41" s="490"/>
      <c r="K41" s="496"/>
      <c r="L41" s="532"/>
    </row>
    <row r="42" spans="1:12" s="487" customFormat="1" ht="25.5" x14ac:dyDescent="0.2">
      <c r="A42" s="532"/>
      <c r="B42" s="488" t="s">
        <v>1674</v>
      </c>
      <c r="C42" s="490">
        <v>40000000</v>
      </c>
      <c r="D42" s="491">
        <f>COUNTIF('Actualizada - presupuesto'!$E$7:$E$111,'Resumen_Seguimiento Presupuesto'!B42)</f>
        <v>0</v>
      </c>
      <c r="E42" s="490">
        <f>SUMIFS('Actualizada - presupuesto'!$F$7:$F$111,'Actualizada - presupuesto'!$E$7:$E$111,B42)</f>
        <v>0</v>
      </c>
      <c r="F42" s="492">
        <f>COUNTIFS('Actualizada - presupuesto'!$L$7:$L$111,"SI",'Actualizada - presupuesto'!$E$7:$E$111,B42)</f>
        <v>0</v>
      </c>
      <c r="G42" s="493">
        <f>SUMIFS('Actualizada - presupuesto'!$F$7:$F$111,'Actualizada - presupuesto'!$E$7:$E$111,B42,'Actualizada - presupuesto'!$L$7:$L$111,"SI")</f>
        <v>0</v>
      </c>
      <c r="H42" s="489">
        <f>SUMIFS('Actualizada - presupuesto'!$AM$7:$AM$111,'Actualizada - presupuesto'!$E$7:$E$111,B42)</f>
        <v>0</v>
      </c>
      <c r="I42" s="495">
        <f t="shared" si="1"/>
        <v>0</v>
      </c>
      <c r="J42" s="490">
        <f>SUMIFS('Actualizada - presupuesto'!$AW$7:$AW$111,'Actualizada - presupuesto'!$E$7:$E$111,B42)</f>
        <v>0</v>
      </c>
      <c r="K42" s="496">
        <f t="shared" si="0"/>
        <v>0</v>
      </c>
      <c r="L42" s="532"/>
    </row>
    <row r="43" spans="1:12" s="487" customFormat="1" x14ac:dyDescent="0.2">
      <c r="A43" s="532"/>
      <c r="B43" s="488" t="s">
        <v>1675</v>
      </c>
      <c r="C43" s="490">
        <v>1800000000</v>
      </c>
      <c r="D43" s="491">
        <f>COUNTIF('Actualizada - presupuesto'!$E$7:$E$111,'Resumen_Seguimiento Presupuesto'!B43)</f>
        <v>2</v>
      </c>
      <c r="E43" s="490">
        <f>SUMIFS('Actualizada - presupuesto'!$F$7:$F$111,'Actualizada - presupuesto'!$E$7:$E$111,B43)</f>
        <v>1727938453</v>
      </c>
      <c r="F43" s="492">
        <f>COUNTIFS('Actualizada - presupuesto'!$L$7:$L$111,"SI",'Actualizada - presupuesto'!$E$7:$E$111,B43)</f>
        <v>2</v>
      </c>
      <c r="G43" s="493">
        <f>SUMIFS('Actualizada - presupuesto'!$F$7:$F$111,'Actualizada - presupuesto'!$E$7:$E$111,B43,'Actualizada - presupuesto'!$L$7:$L$111,"SI")</f>
        <v>1727938453</v>
      </c>
      <c r="H43" s="489">
        <f>SUMIFS('Actualizada - presupuesto'!$AM$7:$AM$111,'Actualizada - presupuesto'!$E$7:$E$111,B43)</f>
        <v>0</v>
      </c>
      <c r="I43" s="495">
        <f t="shared" si="1"/>
        <v>0</v>
      </c>
      <c r="J43" s="490">
        <f>SUMIFS('Actualizada - presupuesto'!$AW$7:$AW$111,'Actualizada - presupuesto'!$E$7:$E$111,B43)</f>
        <v>85216</v>
      </c>
      <c r="K43" s="496">
        <f t="shared" si="0"/>
        <v>4.734222222222222E-5</v>
      </c>
      <c r="L43" s="532"/>
    </row>
    <row r="44" spans="1:12" s="487" customFormat="1" x14ac:dyDescent="0.2">
      <c r="A44" s="532"/>
      <c r="B44" s="508" t="s">
        <v>1676</v>
      </c>
      <c r="C44" s="505">
        <v>1000000</v>
      </c>
      <c r="D44" s="491"/>
      <c r="E44" s="490"/>
      <c r="F44" s="492"/>
      <c r="G44" s="493"/>
      <c r="H44" s="489"/>
      <c r="I44" s="495"/>
      <c r="J44" s="490"/>
      <c r="K44" s="496"/>
      <c r="L44" s="532"/>
    </row>
    <row r="45" spans="1:12" s="487" customFormat="1" ht="25.5" x14ac:dyDescent="0.2">
      <c r="A45" s="532"/>
      <c r="B45" s="488" t="s">
        <v>1677</v>
      </c>
      <c r="C45" s="490">
        <v>1000000</v>
      </c>
      <c r="D45" s="491">
        <f>COUNTIF('Actualizada - presupuesto'!$E$7:$E$111,'Resumen_Seguimiento Presupuesto'!B45)</f>
        <v>0</v>
      </c>
      <c r="E45" s="490">
        <f>SUMIFS('Actualizada - presupuesto'!$F$7:$F$111,'Actualizada - presupuesto'!$E$7:$E$111,B45)</f>
        <v>0</v>
      </c>
      <c r="F45" s="492">
        <f>COUNTIFS('Actualizada - presupuesto'!$L$7:$L$111,"SI",'Actualizada - presupuesto'!$E$7:$E$111,B45)</f>
        <v>0</v>
      </c>
      <c r="G45" s="493">
        <f>SUMIFS('Actualizada - presupuesto'!$F$7:$F$111,'Actualizada - presupuesto'!$E$7:$E$111,B45,'Actualizada - presupuesto'!$L$7:$L$111,"SI")</f>
        <v>0</v>
      </c>
      <c r="H45" s="489">
        <f>SUMIFS('Actualizada - presupuesto'!$AM$7:$AM$111,'Actualizada - presupuesto'!$E$7:$E$111,B45)</f>
        <v>0</v>
      </c>
      <c r="I45" s="495">
        <f t="shared" si="1"/>
        <v>0</v>
      </c>
      <c r="J45" s="490">
        <f>SUMIFS('Actualizada - presupuesto'!$AW$7:$AW$111,'Actualizada - presupuesto'!$E$7:$E$111,B45)</f>
        <v>0</v>
      </c>
      <c r="K45" s="496">
        <f t="shared" si="0"/>
        <v>0</v>
      </c>
      <c r="L45" s="532"/>
    </row>
    <row r="46" spans="1:12" s="487" customFormat="1" x14ac:dyDescent="0.2">
      <c r="A46" s="532"/>
      <c r="B46" s="499" t="s">
        <v>1691</v>
      </c>
      <c r="C46" s="507">
        <v>7542477000</v>
      </c>
      <c r="D46" s="491"/>
      <c r="E46" s="490"/>
      <c r="F46" s="492"/>
      <c r="G46" s="493"/>
      <c r="H46" s="489"/>
      <c r="I46" s="495"/>
      <c r="J46" s="490"/>
      <c r="K46" s="496"/>
      <c r="L46" s="532"/>
    </row>
    <row r="47" spans="1:12" s="487" customFormat="1" x14ac:dyDescent="0.2">
      <c r="A47" s="532"/>
      <c r="B47" s="500" t="s">
        <v>1690</v>
      </c>
      <c r="C47" s="503">
        <v>7542477000</v>
      </c>
      <c r="D47" s="491"/>
      <c r="E47" s="490"/>
      <c r="F47" s="492"/>
      <c r="G47" s="493"/>
      <c r="H47" s="489"/>
      <c r="I47" s="495"/>
      <c r="J47" s="490"/>
      <c r="K47" s="496"/>
      <c r="L47" s="532"/>
    </row>
    <row r="48" spans="1:12" s="487" customFormat="1" x14ac:dyDescent="0.2">
      <c r="A48" s="532"/>
      <c r="B48" s="488" t="s">
        <v>1679</v>
      </c>
      <c r="C48" s="490">
        <v>7542477000</v>
      </c>
      <c r="D48" s="491">
        <f>COUNTIF('Actualizada - presupuesto'!$E$7:$E$111,'Resumen_Seguimiento Presupuesto'!B48)</f>
        <v>0</v>
      </c>
      <c r="E48" s="490">
        <f>SUMIFS('Actualizada - presupuesto'!$F$7:$F$111,'Actualizada - presupuesto'!$E$7:$E$111,B48)</f>
        <v>0</v>
      </c>
      <c r="F48" s="492">
        <f>COUNTIFS('Actualizada - presupuesto'!$L$7:$L$111,"SI",'Actualizada - presupuesto'!$E$7:$E$111,B48)</f>
        <v>0</v>
      </c>
      <c r="G48" s="493">
        <f>SUMIFS('Actualizada - presupuesto'!$F$7:$F$111,'Actualizada - presupuesto'!$E$7:$E$111,B48,'Actualizada - presupuesto'!$L$7:$L$111,"SI")</f>
        <v>0</v>
      </c>
      <c r="H48" s="489">
        <f>SUMIFS('Actualizada - presupuesto'!$AM$7:$AM$111,'Actualizada - presupuesto'!$E$7:$E$111,B48)</f>
        <v>0</v>
      </c>
      <c r="I48" s="495">
        <f t="shared" si="1"/>
        <v>0</v>
      </c>
      <c r="J48" s="490">
        <f>SUMIFS('Actualizada - presupuesto'!$AW$7:$AW$111,'Actualizada - presupuesto'!$E$7:$E$111,B48)</f>
        <v>0</v>
      </c>
      <c r="K48" s="496">
        <f t="shared" si="0"/>
        <v>0</v>
      </c>
      <c r="L48" s="532"/>
    </row>
    <row r="49" spans="1:12" s="487" customFormat="1" ht="25.5" x14ac:dyDescent="0.2">
      <c r="A49" s="532"/>
      <c r="B49" s="488" t="s">
        <v>1680</v>
      </c>
      <c r="C49" s="490">
        <v>7542477000</v>
      </c>
      <c r="D49" s="491">
        <f>COUNTIF('Actualizada - presupuesto'!$E$7:$E$111,'Resumen_Seguimiento Presupuesto'!B49)</f>
        <v>0</v>
      </c>
      <c r="E49" s="490">
        <f>SUMIFS('Actualizada - presupuesto'!$F$7:$F$111,'Actualizada - presupuesto'!$E$7:$E$111,B49)</f>
        <v>0</v>
      </c>
      <c r="F49" s="492">
        <f>COUNTIFS('Actualizada - presupuesto'!$L$7:$L$111,"SI",'Actualizada - presupuesto'!$E$7:$E$111,B49)</f>
        <v>0</v>
      </c>
      <c r="G49" s="493">
        <f>SUMIFS('Actualizada - presupuesto'!$F$7:$F$111,'Actualizada - presupuesto'!$E$7:$E$111,B49,'Actualizada - presupuesto'!$L$7:$L$111,"SI")</f>
        <v>0</v>
      </c>
      <c r="H49" s="489">
        <f>SUMIFS('Actualizada - presupuesto'!$AM$7:$AM$111,'Actualizada - presupuesto'!$E$7:$E$111,B49)</f>
        <v>0</v>
      </c>
      <c r="I49" s="495">
        <f t="shared" si="1"/>
        <v>0</v>
      </c>
      <c r="J49" s="490">
        <f>SUMIFS('Actualizada - presupuesto'!$AW$7:$AW$111,'Actualizada - presupuesto'!$E$7:$E$111,B49)</f>
        <v>0</v>
      </c>
      <c r="K49" s="496">
        <f t="shared" si="0"/>
        <v>0</v>
      </c>
      <c r="L49" s="532"/>
    </row>
    <row r="50" spans="1:12" s="487" customFormat="1" ht="25.5" x14ac:dyDescent="0.2">
      <c r="A50" s="532"/>
      <c r="B50" s="488" t="s">
        <v>1681</v>
      </c>
      <c r="C50" s="490">
        <v>7542477000</v>
      </c>
      <c r="D50" s="491">
        <f>COUNTIF('Actualizada - presupuesto'!$E$7:$E$111,'Resumen_Seguimiento Presupuesto'!B50)</f>
        <v>0</v>
      </c>
      <c r="E50" s="490">
        <f>SUMIFS('Actualizada - presupuesto'!$F$7:$F$111,'Actualizada - presupuesto'!$E$7:$E$111,B50)</f>
        <v>0</v>
      </c>
      <c r="F50" s="492">
        <f>COUNTIFS('Actualizada - presupuesto'!$L$7:$L$111,"SI",'Actualizada - presupuesto'!$E$7:$E$111,B50)</f>
        <v>0</v>
      </c>
      <c r="G50" s="493">
        <f>SUMIFS('Actualizada - presupuesto'!$F$7:$F$111,'Actualizada - presupuesto'!$E$7:$E$111,B50,'Actualizada - presupuesto'!$L$7:$L$111,"SI")</f>
        <v>0</v>
      </c>
      <c r="H50" s="489">
        <f>SUMIFS('Actualizada - presupuesto'!$AM$7:$AM$111,'Actualizada - presupuesto'!$E$7:$E$111,B50)</f>
        <v>0</v>
      </c>
      <c r="I50" s="495">
        <f t="shared" si="1"/>
        <v>0</v>
      </c>
      <c r="J50" s="490">
        <f>SUMIFS('Actualizada - presupuesto'!$AW$7:$AW$111,'Actualizada - presupuesto'!$E$7:$E$111,B50)</f>
        <v>0</v>
      </c>
      <c r="K50" s="496">
        <f t="shared" si="0"/>
        <v>0</v>
      </c>
      <c r="L50" s="532"/>
    </row>
    <row r="51" spans="1:12" s="487" customFormat="1" ht="25.5" x14ac:dyDescent="0.2">
      <c r="A51" s="532"/>
      <c r="B51" s="488" t="s">
        <v>1682</v>
      </c>
      <c r="C51" s="490">
        <v>7542477000</v>
      </c>
      <c r="D51" s="491">
        <f>COUNTIF('Actualizada - presupuesto'!$E$7:$E$111,'Resumen_Seguimiento Presupuesto'!B51)</f>
        <v>16</v>
      </c>
      <c r="E51" s="490" t="e">
        <f>SUMIFS('Actualizada - presupuesto'!$F$7:$F$111,'Actualizada - presupuesto'!$E$7:$E$111,B51)</f>
        <v>#N/A</v>
      </c>
      <c r="F51" s="492">
        <f>COUNTIFS('Actualizada - presupuesto'!$L$7:$L$111,"SI",'Actualizada - presupuesto'!$E$7:$E$111,B51)</f>
        <v>10</v>
      </c>
      <c r="G51" s="493" t="e">
        <f>SUMIFS('Actualizada - presupuesto'!$F$7:$F$111,'Actualizada - presupuesto'!$E$7:$E$111,B51,'Actualizada - presupuesto'!$L$7:$L$111,"SI")</f>
        <v>#N/A</v>
      </c>
      <c r="H51" s="489" t="e">
        <f>SUMIFS('Actualizada - presupuesto'!$AM$7:$AM$111,'Actualizada - presupuesto'!$E$7:$E$111,B51)</f>
        <v>#N/A</v>
      </c>
      <c r="I51" s="495" t="e">
        <f t="shared" si="1"/>
        <v>#N/A</v>
      </c>
      <c r="J51" s="490">
        <f>SUMIFS('Actualizada - presupuesto'!$AW$7:$AW$111,'Actualizada - presupuesto'!$E$7:$E$111,B51)</f>
        <v>254323</v>
      </c>
      <c r="K51" s="496">
        <f t="shared" si="0"/>
        <v>3.3718763742998489E-5</v>
      </c>
      <c r="L51" s="532"/>
    </row>
    <row r="52" spans="1:12" s="487" customFormat="1" ht="25.5" x14ac:dyDescent="0.2">
      <c r="A52" s="532"/>
      <c r="B52" s="488" t="s">
        <v>1683</v>
      </c>
      <c r="C52" s="490">
        <v>7542477000</v>
      </c>
      <c r="D52" s="491">
        <f>COUNTIF('Actualizada - presupuesto'!$E$7:$E$111,'Resumen_Seguimiento Presupuesto'!B52)</f>
        <v>0</v>
      </c>
      <c r="E52" s="490">
        <f>SUMIFS('Actualizada - presupuesto'!$F$7:$F$111,'Actualizada - presupuesto'!$E$7:$E$111,B52)</f>
        <v>0</v>
      </c>
      <c r="F52" s="492">
        <f>COUNTIFS('Actualizada - presupuesto'!$L$7:$L$111,"SI",'Actualizada - presupuesto'!$E$7:$E$111,B52)</f>
        <v>0</v>
      </c>
      <c r="G52" s="493">
        <f>SUMIFS('Actualizada - presupuesto'!$F$7:$F$111,'Actualizada - presupuesto'!$E$7:$E$111,B52,'Actualizada - presupuesto'!$L$7:$L$111,"SI")</f>
        <v>0</v>
      </c>
      <c r="H52" s="489">
        <f>SUMIFS('Actualizada - presupuesto'!$AM$7:$AM$111,'Actualizada - presupuesto'!$E$7:$E$111,B52)</f>
        <v>0</v>
      </c>
      <c r="I52" s="495">
        <f t="shared" si="1"/>
        <v>0</v>
      </c>
      <c r="J52" s="490">
        <f>SUMIFS('Actualizada - presupuesto'!$AW$7:$AW$111,'Actualizada - presupuesto'!$E$7:$E$111,B52)</f>
        <v>0</v>
      </c>
      <c r="K52" s="496">
        <f t="shared" si="0"/>
        <v>0</v>
      </c>
      <c r="L52" s="532"/>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1" t="s">
        <v>1844</v>
      </c>
      <c r="C1" s="1132"/>
      <c r="D1" s="1132"/>
      <c r="E1" s="1132"/>
      <c r="F1" s="1132"/>
      <c r="G1" s="1132"/>
      <c r="H1" s="1132"/>
      <c r="I1" s="1132"/>
      <c r="J1" s="1132"/>
      <c r="K1" s="1132"/>
      <c r="L1" s="1132"/>
      <c r="M1" s="1132"/>
      <c r="N1" s="1132"/>
      <c r="O1" s="1132"/>
      <c r="P1" s="1132"/>
      <c r="Q1" s="1132"/>
      <c r="R1" s="1132"/>
      <c r="S1" s="1132"/>
      <c r="T1" s="1133"/>
      <c r="AA1" s="540" t="s">
        <v>1906</v>
      </c>
    </row>
    <row r="2" spans="2:27" ht="36" x14ac:dyDescent="0.25">
      <c r="B2" s="1138" t="s">
        <v>1786</v>
      </c>
      <c r="C2" s="1138"/>
      <c r="D2" s="1138"/>
      <c r="E2" s="734" t="s">
        <v>2270</v>
      </c>
      <c r="F2" s="734" t="s">
        <v>1845</v>
      </c>
      <c r="G2" s="734" t="s">
        <v>1900</v>
      </c>
      <c r="H2" s="734" t="s">
        <v>1901</v>
      </c>
      <c r="I2" s="734" t="s">
        <v>1843</v>
      </c>
      <c r="J2" s="734" t="s">
        <v>1902</v>
      </c>
      <c r="K2" s="721" t="s">
        <v>1903</v>
      </c>
      <c r="L2" s="734" t="s">
        <v>1904</v>
      </c>
      <c r="M2" s="734" t="s">
        <v>1905</v>
      </c>
      <c r="N2" s="734" t="s">
        <v>1907</v>
      </c>
      <c r="O2" s="722" t="s">
        <v>1123</v>
      </c>
      <c r="P2" s="723" t="s">
        <v>1850</v>
      </c>
      <c r="Q2" s="734" t="s">
        <v>1851</v>
      </c>
      <c r="R2" s="734" t="s">
        <v>1852</v>
      </c>
      <c r="S2" s="734" t="s">
        <v>375</v>
      </c>
      <c r="T2" s="734" t="s">
        <v>1853</v>
      </c>
    </row>
    <row r="3" spans="2:27" ht="15" customHeight="1" x14ac:dyDescent="0.25">
      <c r="B3" s="1125" t="s">
        <v>1689</v>
      </c>
      <c r="C3" s="1125"/>
      <c r="D3" s="1125"/>
      <c r="E3" s="546">
        <v>31035477000</v>
      </c>
      <c r="F3" s="546"/>
      <c r="G3" s="546"/>
      <c r="H3" s="546"/>
      <c r="I3" s="546">
        <f>+I4+I226</f>
        <v>8272977000</v>
      </c>
      <c r="J3" s="546">
        <f>+J4+J226</f>
        <v>27303094236.200001</v>
      </c>
      <c r="K3" s="651">
        <f t="shared" ref="K3:K8" si="0">+J3/E3</f>
        <v>0.87973818595409381</v>
      </c>
      <c r="L3" s="546">
        <f>+L4+L226</f>
        <v>3170885723</v>
      </c>
      <c r="M3" s="546">
        <f>+M4+M251</f>
        <v>104910622</v>
      </c>
      <c r="N3" s="546">
        <f>+N4+N226</f>
        <v>544700106.80000019</v>
      </c>
      <c r="O3" s="546"/>
      <c r="P3" s="656"/>
      <c r="Q3" s="576"/>
      <c r="R3" s="576"/>
      <c r="S3" s="576"/>
      <c r="T3" s="576"/>
    </row>
    <row r="4" spans="2:27" ht="15" customHeight="1" x14ac:dyDescent="0.25">
      <c r="B4" s="1125" t="s">
        <v>1687</v>
      </c>
      <c r="C4" s="1125"/>
      <c r="D4" s="1125"/>
      <c r="E4" s="546">
        <v>22793000000</v>
      </c>
      <c r="F4" s="547"/>
      <c r="G4" s="546">
        <f>+G5+G58</f>
        <v>858500000</v>
      </c>
      <c r="H4" s="546">
        <f>+H5+H58</f>
        <v>128000000</v>
      </c>
      <c r="I4" s="546">
        <f>+I5+I58</f>
        <v>730500000</v>
      </c>
      <c r="J4" s="546">
        <f>+J5+J49</f>
        <v>19645184034</v>
      </c>
      <c r="K4" s="651">
        <f t="shared" si="0"/>
        <v>0.8618954957223709</v>
      </c>
      <c r="L4" s="546">
        <f>+L5+L49</f>
        <v>2720408723</v>
      </c>
      <c r="M4" s="546">
        <f>+M5+M49</f>
        <v>104910622</v>
      </c>
      <c r="N4" s="546">
        <f>+N5+N49</f>
        <v>410610309</v>
      </c>
      <c r="O4" s="679"/>
      <c r="P4" s="577"/>
      <c r="Q4" s="576"/>
      <c r="R4" s="576"/>
      <c r="S4" s="576"/>
      <c r="T4" s="576"/>
    </row>
    <row r="5" spans="2:27" ht="15" customHeight="1" x14ac:dyDescent="0.25">
      <c r="B5" s="1121" t="s">
        <v>1686</v>
      </c>
      <c r="C5" s="1121"/>
      <c r="D5" s="1121"/>
      <c r="E5" s="544">
        <v>13641779000</v>
      </c>
      <c r="F5" s="545"/>
      <c r="G5" s="544">
        <f t="shared" ref="G5:I6" si="1">+G6</f>
        <v>858500000</v>
      </c>
      <c r="H5" s="544">
        <f t="shared" si="1"/>
        <v>128000000</v>
      </c>
      <c r="I5" s="544">
        <f t="shared" si="1"/>
        <v>730500000</v>
      </c>
      <c r="J5" s="544">
        <f t="shared" ref="J5:N6" si="2">+J6</f>
        <v>11413365052</v>
      </c>
      <c r="K5" s="607">
        <f t="shared" si="0"/>
        <v>0.83664784864202824</v>
      </c>
      <c r="L5" s="544">
        <f t="shared" si="2"/>
        <v>2225164920</v>
      </c>
      <c r="M5" s="544">
        <f t="shared" si="2"/>
        <v>3249028</v>
      </c>
      <c r="N5" s="544">
        <f t="shared" si="2"/>
        <v>3249028</v>
      </c>
      <c r="O5" s="680"/>
      <c r="P5" s="575"/>
      <c r="Q5" s="574"/>
      <c r="R5" s="574"/>
      <c r="S5" s="574"/>
      <c r="T5" s="574"/>
    </row>
    <row r="6" spans="2:27" ht="15" customHeight="1" x14ac:dyDescent="0.25">
      <c r="B6" s="1121" t="s">
        <v>1685</v>
      </c>
      <c r="C6" s="1121"/>
      <c r="D6" s="1121"/>
      <c r="E6" s="544">
        <v>13641779000</v>
      </c>
      <c r="F6" s="545"/>
      <c r="G6" s="544">
        <f t="shared" si="1"/>
        <v>858500000</v>
      </c>
      <c r="H6" s="544">
        <f t="shared" si="1"/>
        <v>128000000</v>
      </c>
      <c r="I6" s="544">
        <f t="shared" si="1"/>
        <v>730500000</v>
      </c>
      <c r="J6" s="544">
        <f t="shared" si="2"/>
        <v>11413365052</v>
      </c>
      <c r="K6" s="607">
        <f t="shared" si="0"/>
        <v>0.83664784864202824</v>
      </c>
      <c r="L6" s="544">
        <f t="shared" si="2"/>
        <v>2225164920</v>
      </c>
      <c r="M6" s="544">
        <f t="shared" si="2"/>
        <v>3249028</v>
      </c>
      <c r="N6" s="544">
        <f t="shared" si="2"/>
        <v>3249028</v>
      </c>
      <c r="O6" s="680"/>
      <c r="P6" s="575"/>
      <c r="Q6" s="574"/>
      <c r="R6" s="574"/>
      <c r="S6" s="574"/>
      <c r="T6" s="574"/>
    </row>
    <row r="7" spans="2:27" ht="15" customHeight="1" x14ac:dyDescent="0.25">
      <c r="B7" s="1121" t="s">
        <v>1684</v>
      </c>
      <c r="C7" s="1121"/>
      <c r="D7" s="1121"/>
      <c r="E7" s="544">
        <v>13548179000</v>
      </c>
      <c r="F7" s="636"/>
      <c r="G7" s="544">
        <f>+G8+G49+G52</f>
        <v>858500000</v>
      </c>
      <c r="H7" s="544">
        <f>+H8+H49+H52</f>
        <v>128000000</v>
      </c>
      <c r="I7" s="544">
        <f>+I8+I49+I52</f>
        <v>730500000</v>
      </c>
      <c r="J7" s="544">
        <f>+J8+J34+J37</f>
        <v>11413365052</v>
      </c>
      <c r="K7" s="607">
        <f t="shared" si="0"/>
        <v>0.84242797884497989</v>
      </c>
      <c r="L7" s="544">
        <f>+L8+L34+L37</f>
        <v>2225164920</v>
      </c>
      <c r="M7" s="544">
        <f>+M8+M34+M37</f>
        <v>3249028</v>
      </c>
      <c r="N7" s="544">
        <f>+N8+N34+N37</f>
        <v>3249028</v>
      </c>
      <c r="O7" s="680"/>
      <c r="P7" s="575"/>
      <c r="Q7" s="574"/>
      <c r="R7" s="574"/>
      <c r="S7" s="574"/>
      <c r="T7" s="574"/>
    </row>
    <row r="8" spans="2:27" ht="15" customHeight="1" x14ac:dyDescent="0.25">
      <c r="B8" s="1118" t="s">
        <v>1646</v>
      </c>
      <c r="C8" s="1118"/>
      <c r="D8" s="1118"/>
      <c r="E8" s="586">
        <v>843179000</v>
      </c>
      <c r="F8" s="591">
        <v>19</v>
      </c>
      <c r="G8" s="586">
        <v>858500000</v>
      </c>
      <c r="H8" s="587">
        <v>128000000</v>
      </c>
      <c r="I8" s="586">
        <f>+G8-H8</f>
        <v>730500000</v>
      </c>
      <c r="J8" s="589">
        <f>SUM(J10:J31)</f>
        <v>839929972</v>
      </c>
      <c r="K8" s="608">
        <f t="shared" si="0"/>
        <v>0.99614669245794785</v>
      </c>
      <c r="L8" s="589">
        <f>SUM(L10:L31)</f>
        <v>0</v>
      </c>
      <c r="M8" s="590">
        <f>+E8-(J8+L8)</f>
        <v>3249028</v>
      </c>
      <c r="N8" s="637">
        <f>+E8-J8-L8</f>
        <v>3249028</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122</v>
      </c>
      <c r="C10" s="538" t="str">
        <f>IF(ISERROR(VLOOKUP(B10,'Base de Datos'!$C$7:$F$4345,2,0))=TRUE,"",(VLOOKUP('Presupuesto - PAA 2015'!B10,'Base de Datos'!$C$7:$F$4345,3,0)))</f>
        <v>150244-0-2015</v>
      </c>
      <c r="D10" s="538" t="str">
        <f>IF(ISERROR(VLOOKUP(B10,'Base de Datos'!$C$7:$F$4345,3,0))=TRUE,"",(VLOOKUP('Presupuesto - PAA 2015'!B10,'Base de Datos'!$C$7:$F$4345,4,0)))</f>
        <v>COTECNA CERTIFICADORA SERVICES LIMITADA</v>
      </c>
      <c r="E10" s="541">
        <v>2365972</v>
      </c>
      <c r="F10" s="539" t="str">
        <f>VLOOKUP(B10,'Actualizada - presupuesto'!$D$7:$L$111,9,0)</f>
        <v>SI</v>
      </c>
      <c r="G10" s="539"/>
      <c r="H10" s="539"/>
      <c r="I10" s="539"/>
      <c r="J10" s="541">
        <f>IF(ISERROR(VLOOKUP(B10,'Base de Datos'!$C$7:$N$4345,6,0))=TRUE,"Sin Celebrar",(VLOOKUP(B10,'Base de Datos'!$C$7:$N$4345,7,0)))</f>
        <v>2365972</v>
      </c>
      <c r="K10" s="605"/>
      <c r="L10" s="541" t="str">
        <f>IF(J10=$AA$1,E10, " ")</f>
        <v xml:space="preserve"> </v>
      </c>
      <c r="M10" s="541"/>
      <c r="N10" s="541" t="str">
        <f>IF(J10&lt;E10,(E10-J10)," ")</f>
        <v xml:space="preserve"> </v>
      </c>
      <c r="O10" s="724" t="str">
        <f>IF(ISERROR(VLOOKUP(B10,'Base de Datos'!$C$7:$K$1048576,7,0))=TRUE," ",(VLOOKUP(B10,'Base de Datos'!$C$7:$K$1048576,8,0)))</f>
        <v>150244-0-2015</v>
      </c>
      <c r="P10" s="556">
        <f>IF(ISERROR(VLOOKUP(B10,'Base de Datos'!$C$7:$N$4330,9,0))=TRUE," ",(VLOOKUP(B10,'Base de Datos'!$C$7:$N$4330,10,0)))</f>
        <v>42158</v>
      </c>
      <c r="Q10" s="556" t="s">
        <v>381</v>
      </c>
      <c r="R10" s="556">
        <f>IF(ISERROR(VLOOKUP(B10,'Base de Datos'!$C$7:$N$4330,10,0))=TRUE," ",(VLOOKUP(B10,'Base de Datos'!$C$7:$N$4330,11,0)))</f>
        <v>42174</v>
      </c>
      <c r="S10" s="556">
        <f>IF(ISERROR(VLOOKUP(B10,'Base de Datos'!$C$7:$N$4330,11,0))=TRUE," ",(VLOOKUP(B10,'Base de Datos'!$C$7:$N$4330,12,0)))</f>
        <v>42296</v>
      </c>
      <c r="T10" s="538" t="str">
        <f ca="1">VLOOKUP(C10,'Base de Datos'!$E$7:$AR$382,39,0)</f>
        <v>SI</v>
      </c>
      <c r="U10" s="727"/>
      <c r="V10" s="639"/>
    </row>
    <row r="11" spans="2:27" ht="14.25" customHeight="1" outlineLevel="1" x14ac:dyDescent="0.25">
      <c r="B11" s="542">
        <v>123</v>
      </c>
      <c r="C11" s="538" t="str">
        <f>IF(ISERROR(VLOOKUP(B11,'Base de Datos'!$C$7:$F$4345,2,0))=TRUE,"",(VLOOKUP('Presupuesto - PAA 2015'!B11,'Base de Datos'!$C$7:$F$4345,3,0)))</f>
        <v>150221-0-2015</v>
      </c>
      <c r="D11" s="538" t="str">
        <f>IF(ISERROR(VLOOKUP(B11,'Base de Datos'!$C$7:$F$4345,3,0))=TRUE,"",(VLOOKUP('Presupuesto - PAA 2015'!B11,'Base de Datos'!$C$7:$F$4345,4,0)))</f>
        <v>SGS COLOMBIA S.A.</v>
      </c>
      <c r="E11" s="541">
        <v>7714000</v>
      </c>
      <c r="F11" s="539" t="str">
        <f>VLOOKUP(B11,'Actualizada - presupuesto'!$D$7:$L$111,9,0)</f>
        <v>SI</v>
      </c>
      <c r="G11" s="539"/>
      <c r="H11" s="539"/>
      <c r="I11" s="539"/>
      <c r="J11" s="541">
        <f>IF(ISERROR(VLOOKUP(B11,'Base de Datos'!$C$7:$N$4345,6,0))=TRUE,"Sin Celebrar",(VLOOKUP(B11,'Base de Datos'!$C$7:$N$4345,7,0)))</f>
        <v>7714000</v>
      </c>
      <c r="K11" s="605"/>
      <c r="L11" s="541" t="str">
        <f t="shared" ref="L11:L31" si="3">IF(J11=$AA$1,E11, " ")</f>
        <v xml:space="preserve"> </v>
      </c>
      <c r="M11" s="541"/>
      <c r="N11" s="541" t="str">
        <f>IF(J11&lt;E11,(E11-J11)," ")</f>
        <v xml:space="preserve"> </v>
      </c>
      <c r="O11" s="724" t="str">
        <f>IF(ISERROR(VLOOKUP(B11,'Base de Datos'!$C$7:$K$1048576,7,0))=TRUE," ",(VLOOKUP(B11,'Base de Datos'!$C$7:$K$1048576,8,0)))</f>
        <v>SDH-SMINC-28-2015</v>
      </c>
      <c r="P11" s="556">
        <f>IF(ISERROR(VLOOKUP(B11,'Base de Datos'!$C$7:$N$4330,9,0))=TRUE," ",(VLOOKUP(B11,'Base de Datos'!$C$7:$N$4330,10,0)))</f>
        <v>42132</v>
      </c>
      <c r="Q11" s="538" t="s">
        <v>544</v>
      </c>
      <c r="R11" s="556">
        <f>IF(ISERROR(VLOOKUP(B11,'Base de Datos'!$C$7:$N$4330,10,0))=TRUE," ",(VLOOKUP(B11,'Base de Datos'!$C$7:$N$4330,11,0)))</f>
        <v>42144</v>
      </c>
      <c r="S11" s="556">
        <f>IF(ISERROR(VLOOKUP(B11,'Base de Datos'!$C$7:$N$4330,11,0))=TRUE," ",(VLOOKUP(B11,'Base de Datos'!$C$7:$N$4330,12,0)))</f>
        <v>42236</v>
      </c>
      <c r="T11" s="538" t="str">
        <f ca="1">VLOOKUP(C11,'Base de Datos'!$E$7:$AR$382,39,0)</f>
        <v>SI</v>
      </c>
      <c r="U11" s="727"/>
      <c r="V11" s="639"/>
    </row>
    <row r="12" spans="2:27" ht="14.25" customHeight="1" outlineLevel="1" x14ac:dyDescent="0.25">
      <c r="B12" s="542">
        <v>124</v>
      </c>
      <c r="C12" s="538" t="str">
        <f>IF(ISERROR(VLOOKUP(B12,'Base de Datos'!$C$7:$F$4345,2,0))=TRUE,"",(VLOOKUP('Presupuesto - PAA 2015'!B12,'Base de Datos'!$C$7:$F$4345,3,0)))</f>
        <v>150049-0-2015</v>
      </c>
      <c r="D12" s="538" t="str">
        <f>IF(ISERROR(VLOOKUP(B12,'Base de Datos'!$C$7:$F$4345,3,0))=TRUE,"",(VLOOKUP('Presupuesto - PAA 2015'!B12,'Base de Datos'!$C$7:$F$4345,4,0)))</f>
        <v>ROSA ENRIQUELINA GÓMEZ CORREDOR</v>
      </c>
      <c r="E12" s="541">
        <f>VLOOKUP(B12,'[5]Abr 24-2015'!$C$53:$AA$327,24,0)</f>
        <v>60000000</v>
      </c>
      <c r="F12" s="539" t="str">
        <f>VLOOKUP(B12,'Actualizada - presupuesto'!$D$7:$L$111,9,0)</f>
        <v>SI</v>
      </c>
      <c r="G12" s="539"/>
      <c r="H12" s="539"/>
      <c r="I12" s="539"/>
      <c r="J12" s="541">
        <f>IF(ISERROR(VLOOKUP(B12,'Base de Datos'!$C$7:$N$4345,6,0))=TRUE,"Sin Celebrar",(VLOOKUP(B12,'Base de Datos'!$C$7:$N$4345,7,0)))</f>
        <v>60000000</v>
      </c>
      <c r="K12" s="605"/>
      <c r="L12" s="541" t="str">
        <f t="shared" si="3"/>
        <v xml:space="preserve"> </v>
      </c>
      <c r="M12" s="541"/>
      <c r="N12" s="541" t="str">
        <f t="shared" ref="N12:N31" si="4">IF(J12&lt;E12,(E12-J12)," ")</f>
        <v xml:space="preserve"> </v>
      </c>
      <c r="O12" s="724" t="str">
        <f>IF(ISERROR(VLOOKUP(B12,'Base de Datos'!$C$7:$K$1048576,7,0))=TRUE," ",(VLOOKUP(B12,'Base de Datos'!$C$7:$K$1048576,8,0)))</f>
        <v>150049-0-2015</v>
      </c>
      <c r="P12" s="556">
        <f>IF(ISERROR(VLOOKUP(B12,'Base de Datos'!$C$7:$N$4330,9,0))=TRUE," ",(VLOOKUP(B12,'Base de Datos'!$C$7:$N$4330,10,0)))</f>
        <v>42044</v>
      </c>
      <c r="Q12" s="538" t="s">
        <v>1854</v>
      </c>
      <c r="R12" s="556">
        <f>IF(ISERROR(VLOOKUP(B12,'Base de Datos'!$C$7:$N$4330,10,0))=TRUE," ",(VLOOKUP(B12,'Base de Datos'!$C$7:$N$4330,11,0)))</f>
        <v>42045</v>
      </c>
      <c r="S12" s="556">
        <f>IF(ISERROR(VLOOKUP(B12,'Base de Datos'!$C$7:$N$4330,11,0))=TRUE," ",(VLOOKUP(B12,'Base de Datos'!$C$7:$N$4330,12,0)))</f>
        <v>42410</v>
      </c>
      <c r="T12" s="538" t="str">
        <f ca="1">VLOOKUP(C12,'Base de Datos'!$E$7:$AR$382,39,0)</f>
        <v>SI</v>
      </c>
      <c r="U12" s="727"/>
      <c r="V12" s="639"/>
    </row>
    <row r="13" spans="2:27" ht="14.25" customHeight="1" outlineLevel="1" x14ac:dyDescent="0.25">
      <c r="B13" s="542">
        <v>125</v>
      </c>
      <c r="C13" s="538" t="str">
        <f>IF(ISERROR(VLOOKUP(B13,'Base de Datos'!$C$7:$F$4345,2,0))=TRUE,"",(VLOOKUP('Presupuesto - PAA 2015'!B13,'Base de Datos'!$C$7:$F$4345,3,0)))</f>
        <v>150081-0-2015</v>
      </c>
      <c r="D13" s="538" t="str">
        <f>IF(ISERROR(VLOOKUP(B13,'Base de Datos'!$C$7:$F$4345,3,0))=TRUE,"",(VLOOKUP('Presupuesto - PAA 2015'!B13,'Base de Datos'!$C$7:$F$4345,4,0)))</f>
        <v>LEIDY YONETH RIVERA GONZALEZ (Cesionario) / LUISA FERNANDA GUTIÉRREZ RAMÍREZ (Antes)</v>
      </c>
      <c r="E13" s="541">
        <f>VLOOKUP(B13,'[5]Abr 24-2015'!$C$53:$AA$327,24,0)</f>
        <v>63654000</v>
      </c>
      <c r="F13" s="539" t="str">
        <f>VLOOKUP(B13,'Actualizada - presupuesto'!$D$7:$L$111,9,0)</f>
        <v>SI</v>
      </c>
      <c r="G13" s="539"/>
      <c r="H13" s="539"/>
      <c r="I13" s="539"/>
      <c r="J13" s="541">
        <f>IF(ISERROR(VLOOKUP(B13,'Base de Datos'!$C$7:$N$4345,6,0))=TRUE,"Sin Celebrar",(VLOOKUP(B13,'Base de Datos'!$C$7:$N$4345,7,0)))</f>
        <v>63654000</v>
      </c>
      <c r="K13" s="605"/>
      <c r="L13" s="541" t="str">
        <f t="shared" si="3"/>
        <v xml:space="preserve"> </v>
      </c>
      <c r="M13" s="541"/>
      <c r="N13" s="541" t="str">
        <f t="shared" si="4"/>
        <v xml:space="preserve"> </v>
      </c>
      <c r="O13" s="724" t="str">
        <f>IF(ISERROR(VLOOKUP(B13,'Base de Datos'!$C$7:$K$1048576,7,0))=TRUE," ",(VLOOKUP(B13,'Base de Datos'!$C$7:$K$1048576,8,0)))</f>
        <v>150081-0-2015</v>
      </c>
      <c r="P13" s="556">
        <f>IF(ISERROR(VLOOKUP(B13,'Base de Datos'!$C$7:$N$4330,9,0))=TRUE," ",(VLOOKUP(B13,'Base de Datos'!$C$7:$N$4330,10,0)))</f>
        <v>42054</v>
      </c>
      <c r="Q13" s="538" t="s">
        <v>1854</v>
      </c>
      <c r="R13" s="556">
        <f>IF(ISERROR(VLOOKUP(B13,'Base de Datos'!$C$7:$N$4330,10,0))=TRUE," ",(VLOOKUP(B13,'Base de Datos'!$C$7:$N$4330,11,0)))</f>
        <v>42060</v>
      </c>
      <c r="S13" s="556">
        <f>IF(ISERROR(VLOOKUP(B13,'Base de Datos'!$C$7:$N$4330,11,0))=TRUE," ",(VLOOKUP(B13,'Base de Datos'!$C$7:$N$4330,12,0)))</f>
        <v>42425</v>
      </c>
      <c r="T13" s="538" t="str">
        <f ca="1">VLOOKUP(C13,'Base de Datos'!$E$7:$AR$382,39,0)</f>
        <v>SI</v>
      </c>
      <c r="U13" s="727"/>
      <c r="V13" s="639"/>
    </row>
    <row r="14" spans="2:27" ht="14.25" customHeight="1" outlineLevel="1" x14ac:dyDescent="0.25">
      <c r="B14" s="542">
        <v>126</v>
      </c>
      <c r="C14" s="538" t="str">
        <f>IF(ISERROR(VLOOKUP(B14,'Base de Datos'!$C$7:$F$4345,2,0))=TRUE,"",(VLOOKUP('Presupuesto - PAA 2015'!B14,'Base de Datos'!$C$7:$F$4345,3,0)))</f>
        <v>150067-0-2015</v>
      </c>
      <c r="D14" s="538" t="str">
        <f>IF(ISERROR(VLOOKUP(B14,'Base de Datos'!$C$7:$F$4345,3,0))=TRUE,"",(VLOOKUP('Presupuesto - PAA 2015'!B14,'Base de Datos'!$C$7:$F$4345,4,0)))</f>
        <v>WIESNER FABIÁN ROBAYO SALCEDO</v>
      </c>
      <c r="E14" s="541">
        <f>VLOOKUP(B14,'[5]Abr 24-2015'!$C$53:$AA$327,24,0)</f>
        <v>48000000</v>
      </c>
      <c r="F14" s="539" t="str">
        <f>VLOOKUP(B14,'Actualizada - presupuesto'!$D$7:$L$111,9,0)</f>
        <v>SI</v>
      </c>
      <c r="G14" s="539"/>
      <c r="H14" s="539"/>
      <c r="I14" s="539"/>
      <c r="J14" s="541">
        <f>IF(ISERROR(VLOOKUP(B14,'Base de Datos'!$C$7:$N$4345,6,0))=TRUE,"Sin Celebrar",(VLOOKUP(B14,'Base de Datos'!$C$7:$N$4345,7,0)))</f>
        <v>48000000</v>
      </c>
      <c r="K14" s="605"/>
      <c r="L14" s="541" t="str">
        <f t="shared" si="3"/>
        <v xml:space="preserve"> </v>
      </c>
      <c r="M14" s="541"/>
      <c r="N14" s="541" t="str">
        <f t="shared" si="4"/>
        <v xml:space="preserve"> </v>
      </c>
      <c r="O14" s="724" t="str">
        <f>IF(ISERROR(VLOOKUP(B14,'Base de Datos'!$C$7:$K$1048576,7,0))=TRUE," ",(VLOOKUP(B14,'Base de Datos'!$C$7:$K$1048576,8,0)))</f>
        <v>150067-0-2015</v>
      </c>
      <c r="P14" s="556">
        <f>IF(ISERROR(VLOOKUP(B14,'Base de Datos'!$C$7:$N$4330,9,0))=TRUE," ",(VLOOKUP(B14,'Base de Datos'!$C$7:$N$4330,10,0)))</f>
        <v>42051</v>
      </c>
      <c r="Q14" s="538" t="s">
        <v>1854</v>
      </c>
      <c r="R14" s="556">
        <f>IF(ISERROR(VLOOKUP(B14,'Base de Datos'!$C$7:$N$4330,10,0))=TRUE," ",(VLOOKUP(B14,'Base de Datos'!$C$7:$N$4330,11,0)))</f>
        <v>42053</v>
      </c>
      <c r="S14" s="556">
        <f>IF(ISERROR(VLOOKUP(B14,'Base de Datos'!$C$7:$N$4330,11,0))=TRUE," ",(VLOOKUP(B14,'Base de Datos'!$C$7:$N$4330,12,0)))</f>
        <v>42418</v>
      </c>
      <c r="T14" s="538" t="str">
        <f ca="1">VLOOKUP(C14,'Base de Datos'!$E$7:$AR$382,39,0)</f>
        <v>SI</v>
      </c>
      <c r="U14" s="727"/>
      <c r="V14" s="639"/>
    </row>
    <row r="15" spans="2:27" ht="14.25" customHeight="1" outlineLevel="1" x14ac:dyDescent="0.25">
      <c r="B15" s="542">
        <v>127</v>
      </c>
      <c r="C15" s="538" t="str">
        <f>IF(ISERROR(VLOOKUP(B15,'Base de Datos'!$C$7:$F$4345,2,0))=TRUE,"",(VLOOKUP('Presupuesto - PAA 2015'!B15,'Base de Datos'!$C$7:$F$4345,3,0)))</f>
        <v>150101-0-2015</v>
      </c>
      <c r="D15" s="538" t="str">
        <f>IF(ISERROR(VLOOKUP(B15,'Base de Datos'!$C$7:$F$4345,3,0))=TRUE,"",(VLOOKUP('Presupuesto - PAA 2015'!B15,'Base de Datos'!$C$7:$F$4345,4,0)))</f>
        <v>GLORIA CATALINA ROSERO TOLEDO</v>
      </c>
      <c r="E15" s="541">
        <f>VLOOKUP(B15,'[5]Abr 24-2015'!$C$53:$AA$327,24,0)</f>
        <v>78000000</v>
      </c>
      <c r="F15" s="539" t="str">
        <f>VLOOKUP(B15,'Actualizada - presupuesto'!$D$7:$L$111,9,0)</f>
        <v>SI</v>
      </c>
      <c r="G15" s="539"/>
      <c r="H15" s="539"/>
      <c r="I15" s="539"/>
      <c r="J15" s="541">
        <f>IF(ISERROR(VLOOKUP(B15,'Base de Datos'!$C$7:$N$4345,6,0))=TRUE,"Sin Celebrar",(VLOOKUP(B15,'Base de Datos'!$C$7:$N$4345,7,0)))</f>
        <v>78000000</v>
      </c>
      <c r="K15" s="605"/>
      <c r="L15" s="541" t="str">
        <f t="shared" si="3"/>
        <v xml:space="preserve"> </v>
      </c>
      <c r="M15" s="541"/>
      <c r="N15" s="541" t="str">
        <f t="shared" si="4"/>
        <v xml:space="preserve"> </v>
      </c>
      <c r="O15" s="724" t="str">
        <f>IF(ISERROR(VLOOKUP(B15,'Base de Datos'!$C$7:$K$1048576,7,0))=TRUE," ",(VLOOKUP(B15,'Base de Datos'!$C$7:$K$1048576,8,0)))</f>
        <v>150101-0-2015</v>
      </c>
      <c r="P15" s="556">
        <f>IF(ISERROR(VLOOKUP(B15,'Base de Datos'!$C$7:$N$4330,9,0))=TRUE," ",(VLOOKUP(B15,'Base de Datos'!$C$7:$N$4330,10,0)))</f>
        <v>42066</v>
      </c>
      <c r="Q15" s="538" t="s">
        <v>1854</v>
      </c>
      <c r="R15" s="556">
        <f>IF(ISERROR(VLOOKUP(B15,'Base de Datos'!$C$7:$N$4330,10,0))=TRUE," ",(VLOOKUP(B15,'Base de Datos'!$C$7:$N$4330,11,0)))</f>
        <v>42066</v>
      </c>
      <c r="S15" s="556">
        <f>IF(ISERROR(VLOOKUP(B15,'Base de Datos'!$C$7:$N$4330,11,0))=TRUE," ",(VLOOKUP(B15,'Base de Datos'!$C$7:$N$4330,12,0)))</f>
        <v>42432</v>
      </c>
      <c r="T15" s="538" t="str">
        <f ca="1">VLOOKUP(C15,'Base de Datos'!$E$7:$AR$382,39,0)</f>
        <v>SI</v>
      </c>
      <c r="U15" s="727"/>
      <c r="V15" s="639"/>
    </row>
    <row r="16" spans="2:27" ht="14.25" customHeight="1" outlineLevel="1" x14ac:dyDescent="0.25">
      <c r="B16" s="542">
        <v>128</v>
      </c>
      <c r="C16" s="538" t="str">
        <f>IF(ISERROR(VLOOKUP(B16,'Base de Datos'!$C$7:$F$4345,2,0))=TRUE,"",(VLOOKUP('Presupuesto - PAA 2015'!B16,'Base de Datos'!$C$7:$F$4345,3,0)))</f>
        <v>150100-0-2015</v>
      </c>
      <c r="D16" s="538" t="str">
        <f>IF(ISERROR(VLOOKUP(B16,'Base de Datos'!$C$7:$F$4345,3,0))=TRUE,"",(VLOOKUP('Presupuesto - PAA 2015'!B16,'Base de Datos'!$C$7:$F$4345,4,0)))</f>
        <v>KHAANKO NORBERTO RUIZ RODRÍGUEZ</v>
      </c>
      <c r="E16" s="541">
        <f>VLOOKUP(B16,'[5]Abr 24-2015'!$C$53:$AA$327,24,0)</f>
        <v>38400000</v>
      </c>
      <c r="F16" s="539" t="str">
        <f>VLOOKUP(B16,'Actualizada - presupuesto'!$D$7:$L$111,9,0)</f>
        <v>SI</v>
      </c>
      <c r="G16" s="539"/>
      <c r="H16" s="539"/>
      <c r="I16" s="539"/>
      <c r="J16" s="541">
        <f>IF(ISERROR(VLOOKUP(B16,'Base de Datos'!$C$7:$N$4345,6,0))=TRUE,"Sin Celebrar",(VLOOKUP(B16,'Base de Datos'!$C$7:$N$4345,7,0)))</f>
        <v>38400000</v>
      </c>
      <c r="K16" s="605"/>
      <c r="L16" s="541" t="str">
        <f t="shared" si="3"/>
        <v xml:space="preserve"> </v>
      </c>
      <c r="M16" s="541"/>
      <c r="N16" s="541" t="str">
        <f t="shared" si="4"/>
        <v xml:space="preserve"> </v>
      </c>
      <c r="O16" s="724" t="str">
        <f>IF(ISERROR(VLOOKUP(B16,'Base de Datos'!$C$7:$K$1048576,7,0))=TRUE," ",(VLOOKUP(B16,'Base de Datos'!$C$7:$K$1048576,8,0)))</f>
        <v>150100-0-2015</v>
      </c>
      <c r="P16" s="556">
        <f>IF(ISERROR(VLOOKUP(B16,'Base de Datos'!$C$7:$N$4330,9,0))=TRUE," ",(VLOOKUP(B16,'Base de Datos'!$C$7:$N$4330,10,0)))</f>
        <v>42062</v>
      </c>
      <c r="Q16" s="538" t="s">
        <v>1854</v>
      </c>
      <c r="R16" s="556">
        <f>IF(ISERROR(VLOOKUP(B16,'Base de Datos'!$C$7:$N$4330,10,0))=TRUE," ",(VLOOKUP(B16,'Base de Datos'!$C$7:$N$4330,11,0)))</f>
        <v>42073</v>
      </c>
      <c r="S16" s="556">
        <f>IF(ISERROR(VLOOKUP(B16,'Base de Datos'!$C$7:$N$4330,11,0))=TRUE," ",(VLOOKUP(B16,'Base de Datos'!$C$7:$N$4330,12,0)))</f>
        <v>42439</v>
      </c>
      <c r="T16" s="538" t="str">
        <f ca="1">VLOOKUP(C16,'Base de Datos'!$E$7:$AR$382,39,0)</f>
        <v>SI</v>
      </c>
      <c r="U16" s="727"/>
      <c r="V16" s="639"/>
    </row>
    <row r="17" spans="2:22" ht="14.25" customHeight="1" outlineLevel="1" x14ac:dyDescent="0.25">
      <c r="B17" s="542">
        <v>129</v>
      </c>
      <c r="C17" s="538" t="str">
        <f>IF(ISERROR(VLOOKUP(B17,'Base de Datos'!$C$7:$F$4345,2,0))=TRUE,"",(VLOOKUP('Presupuesto - PAA 2015'!B17,'Base de Datos'!$C$7:$F$4345,3,0)))</f>
        <v>150035-0-2015</v>
      </c>
      <c r="D17" s="538" t="str">
        <f>IF(ISERROR(VLOOKUP(B17,'Base de Datos'!$C$7:$F$4345,3,0))=TRUE,"",(VLOOKUP('Presupuesto - PAA 2015'!B17,'Base de Datos'!$C$7:$F$4345,4,0)))</f>
        <v>EDGAR EULICES GONZÁLEZ</v>
      </c>
      <c r="E17" s="541">
        <f>VLOOKUP(B17,'[5]Abr 24-2015'!$C$53:$AA$327,24,0)</f>
        <v>46068000</v>
      </c>
      <c r="F17" s="539" t="str">
        <f>VLOOKUP(B17,'Actualizada - presupuesto'!$D$7:$L$111,9,0)</f>
        <v>SI</v>
      </c>
      <c r="G17" s="539"/>
      <c r="H17" s="539"/>
      <c r="I17" s="539"/>
      <c r="J17" s="541">
        <f>IF(ISERROR(VLOOKUP(B17,'Base de Datos'!$C$7:$N$4345,6,0))=TRUE,"Sin Celebrar",(VLOOKUP(B17,'Base de Datos'!$C$7:$N$4345,7,0)))</f>
        <v>46068000</v>
      </c>
      <c r="K17" s="605"/>
      <c r="L17" s="541" t="str">
        <f t="shared" si="3"/>
        <v xml:space="preserve"> </v>
      </c>
      <c r="M17" s="541"/>
      <c r="N17" s="541" t="str">
        <f t="shared" si="4"/>
        <v xml:space="preserve"> </v>
      </c>
      <c r="O17" s="724" t="str">
        <f>IF(ISERROR(VLOOKUP(B17,'Base de Datos'!$C$7:$K$1048576,7,0))=TRUE," ",(VLOOKUP(B17,'Base de Datos'!$C$7:$K$1048576,8,0)))</f>
        <v>1400035-0-2015</v>
      </c>
      <c r="P17" s="556">
        <f>IF(ISERROR(VLOOKUP(B17,'Base de Datos'!$C$7:$N$4330,9,0))=TRUE," ",(VLOOKUP(B17,'Base de Datos'!$C$7:$N$4330,10,0)))</f>
        <v>42033</v>
      </c>
      <c r="Q17" s="538" t="s">
        <v>1854</v>
      </c>
      <c r="R17" s="556">
        <f>IF(ISERROR(VLOOKUP(B17,'Base de Datos'!$C$7:$N$4330,10,0))=TRUE," ",(VLOOKUP(B17,'Base de Datos'!$C$7:$N$4330,11,0)))</f>
        <v>42037</v>
      </c>
      <c r="S17" s="556">
        <f>IF(ISERROR(VLOOKUP(B17,'Base de Datos'!$C$7:$N$4330,11,0))=TRUE," ",(VLOOKUP(B17,'Base de Datos'!$C$7:$N$4330,12,0)))</f>
        <v>42402</v>
      </c>
      <c r="T17" s="538" t="str">
        <f ca="1">VLOOKUP(C17,'Base de Datos'!$E$7:$AR$382,39,0)</f>
        <v>SI</v>
      </c>
      <c r="U17" s="727"/>
      <c r="V17" s="639"/>
    </row>
    <row r="18" spans="2:22" ht="14.25" customHeight="1" outlineLevel="1" x14ac:dyDescent="0.25">
      <c r="B18" s="542">
        <v>130</v>
      </c>
      <c r="C18" s="538" t="str">
        <f>IF(ISERROR(VLOOKUP(B18,'Base de Datos'!$C$7:$F$4345,2,0))=TRUE,"",(VLOOKUP('Presupuesto - PAA 2015'!B18,'Base de Datos'!$C$7:$F$4345,3,0)))</f>
        <v>150073-0-2015</v>
      </c>
      <c r="D18" s="538" t="str">
        <f>IF(ISERROR(VLOOKUP(B18,'Base de Datos'!$C$7:$F$4345,3,0))=TRUE,"",(VLOOKUP('Presupuesto - PAA 2015'!B18,'Base de Datos'!$C$7:$F$4345,4,0)))</f>
        <v>ELVIN ALEXANDER AVEBDAÑO FONSECA (Cesionario) / JAVIER ANDRÉS VIDAL MELO (Antes)</v>
      </c>
      <c r="E18" s="541">
        <f>VLOOKUP(B18,'[5]Abr 24-2015'!$C$53:$AA$327,24,0)</f>
        <v>60000000</v>
      </c>
      <c r="F18" s="539" t="str">
        <f>VLOOKUP(B18,'Actualizada - presupuesto'!$D$7:$L$111,9,0)</f>
        <v>SI</v>
      </c>
      <c r="G18" s="539"/>
      <c r="H18" s="539"/>
      <c r="I18" s="539"/>
      <c r="J18" s="541">
        <f>IF(ISERROR(VLOOKUP(B18,'Base de Datos'!$C$7:$N$4345,6,0))=TRUE,"Sin Celebrar",(VLOOKUP(B18,'Base de Datos'!$C$7:$N$4345,7,0)))</f>
        <v>60000000</v>
      </c>
      <c r="K18" s="605"/>
      <c r="L18" s="541" t="str">
        <f t="shared" si="3"/>
        <v xml:space="preserve"> </v>
      </c>
      <c r="M18" s="541"/>
      <c r="N18" s="541" t="str">
        <f t="shared" si="4"/>
        <v xml:space="preserve"> </v>
      </c>
      <c r="O18" s="724" t="str">
        <f>IF(ISERROR(VLOOKUP(B18,'Base de Datos'!$C$7:$K$1048576,7,0))=TRUE," ",(VLOOKUP(B18,'Base de Datos'!$C$7:$K$1048576,8,0)))</f>
        <v>150073-0-2015</v>
      </c>
      <c r="P18" s="556">
        <f>IF(ISERROR(VLOOKUP(B18,'Base de Datos'!$C$7:$N$4330,9,0))=TRUE," ",(VLOOKUP(B18,'Base de Datos'!$C$7:$N$4330,10,0)))</f>
        <v>42052</v>
      </c>
      <c r="Q18" s="538" t="s">
        <v>1854</v>
      </c>
      <c r="R18" s="556">
        <f>IF(ISERROR(VLOOKUP(B18,'Base de Datos'!$C$7:$N$4330,10,0))=TRUE," ",(VLOOKUP(B18,'Base de Datos'!$C$7:$N$4330,11,0)))</f>
        <v>42054</v>
      </c>
      <c r="S18" s="556">
        <f>IF(ISERROR(VLOOKUP(B18,'Base de Datos'!$C$7:$N$4330,11,0))=TRUE," ",(VLOOKUP(B18,'Base de Datos'!$C$7:$N$4330,12,0)))</f>
        <v>42419</v>
      </c>
      <c r="T18" s="538" t="str">
        <f ca="1">VLOOKUP(C18,'Base de Datos'!$E$7:$AR$382,39,0)</f>
        <v>SI</v>
      </c>
      <c r="U18" s="727"/>
      <c r="V18" s="639"/>
    </row>
    <row r="19" spans="2:22" ht="14.25" customHeight="1" outlineLevel="1" x14ac:dyDescent="0.25">
      <c r="B19" s="542">
        <v>131</v>
      </c>
      <c r="C19" s="538" t="str">
        <f>IF(ISERROR(VLOOKUP(B19,'Base de Datos'!$C$7:$F$4345,2,0))=TRUE,"",(VLOOKUP('Presupuesto - PAA 2015'!B19,'Base de Datos'!$C$7:$F$4345,3,0)))</f>
        <v>150102-0-2015</v>
      </c>
      <c r="D19" s="538" t="str">
        <f>IF(ISERROR(VLOOKUP(B19,'Base de Datos'!$C$7:$F$4345,3,0))=TRUE,"",(VLOOKUP('Presupuesto - PAA 2015'!B19,'Base de Datos'!$C$7:$F$4345,4,0)))</f>
        <v>LINA MARÍA GONZÁLEZ RUIZ</v>
      </c>
      <c r="E19" s="541">
        <f>VLOOKUP(B19,'[5]Abr 24-2015'!$C$53:$AA$327,24,0)</f>
        <v>30900000</v>
      </c>
      <c r="F19" s="539" t="str">
        <f>VLOOKUP(B19,'Actualizada - presupuesto'!$D$7:$L$111,9,0)</f>
        <v>SI</v>
      </c>
      <c r="G19" s="539"/>
      <c r="H19" s="539"/>
      <c r="I19" s="539"/>
      <c r="J19" s="541">
        <f>IF(ISERROR(VLOOKUP(B19,'Base de Datos'!$C$7:$N$4345,6,0))=TRUE,"Sin Celebrar",(VLOOKUP(B19,'Base de Datos'!$C$7:$N$4345,7,0)))</f>
        <v>30900000</v>
      </c>
      <c r="K19" s="605"/>
      <c r="L19" s="541" t="str">
        <f t="shared" si="3"/>
        <v xml:space="preserve"> </v>
      </c>
      <c r="M19" s="541"/>
      <c r="N19" s="541" t="str">
        <f t="shared" si="4"/>
        <v xml:space="preserve"> </v>
      </c>
      <c r="O19" s="724" t="str">
        <f>IF(ISERROR(VLOOKUP(B19,'Base de Datos'!$C$7:$K$1048576,7,0))=TRUE," ",(VLOOKUP(B19,'Base de Datos'!$C$7:$K$1048576,8,0)))</f>
        <v>150102-0-2015</v>
      </c>
      <c r="P19" s="556">
        <f>IF(ISERROR(VLOOKUP(B19,'Base de Datos'!$C$7:$N$4330,9,0))=TRUE," ",(VLOOKUP(B19,'Base de Datos'!$C$7:$N$4330,10,0)))</f>
        <v>42066</v>
      </c>
      <c r="Q19" s="538" t="s">
        <v>1854</v>
      </c>
      <c r="R19" s="556">
        <f>IF(ISERROR(VLOOKUP(B19,'Base de Datos'!$C$7:$N$4330,10,0))=TRUE," ",(VLOOKUP(B19,'Base de Datos'!$C$7:$N$4330,11,0)))</f>
        <v>42073</v>
      </c>
      <c r="S19" s="556">
        <f>IF(ISERROR(VLOOKUP(B19,'Base de Datos'!$C$7:$N$4330,11,0))=TRUE," ",(VLOOKUP(B19,'Base de Datos'!$C$7:$N$4330,12,0)))</f>
        <v>42439</v>
      </c>
      <c r="T19" s="538" t="str">
        <f ca="1">VLOOKUP(C19,'Base de Datos'!$E$7:$AR$382,39,0)</f>
        <v>SI</v>
      </c>
      <c r="U19" s="727"/>
      <c r="V19" s="639"/>
    </row>
    <row r="20" spans="2:22" ht="14.25" customHeight="1" outlineLevel="1" x14ac:dyDescent="0.25">
      <c r="B20" s="542">
        <v>132</v>
      </c>
      <c r="C20" s="538" t="str">
        <f>IF(ISERROR(VLOOKUP(B20,'Base de Datos'!$C$7:$F$4345,2,0))=TRUE,"",(VLOOKUP('Presupuesto - PAA 2015'!B20,'Base de Datos'!$C$7:$F$4345,3,0)))</f>
        <v>150083-0-2015</v>
      </c>
      <c r="D20" s="538" t="str">
        <f>IF(ISERROR(VLOOKUP(B20,'Base de Datos'!$C$7:$F$4345,3,0))=TRUE,"",(VLOOKUP('Presupuesto - PAA 2015'!B20,'Base de Datos'!$C$7:$F$4345,4,0)))</f>
        <v>DIANA MARCELA REYES</v>
      </c>
      <c r="E20" s="541">
        <f>VLOOKUP(B20,'[5]Abr 24-2015'!$C$53:$AA$327,24,0)</f>
        <v>30900000</v>
      </c>
      <c r="F20" s="539" t="str">
        <f>VLOOKUP(B20,'Actualizada - presupuesto'!$D$7:$L$111,9,0)</f>
        <v>SI</v>
      </c>
      <c r="G20" s="539"/>
      <c r="H20" s="539"/>
      <c r="I20" s="539"/>
      <c r="J20" s="541">
        <f>IF(ISERROR(VLOOKUP(B20,'Base de Datos'!$C$7:$N$4345,6,0))=TRUE,"Sin Celebrar",(VLOOKUP(B20,'Base de Datos'!$C$7:$N$4345,7,0)))</f>
        <v>30900000</v>
      </c>
      <c r="K20" s="605"/>
      <c r="L20" s="541" t="str">
        <f t="shared" si="3"/>
        <v xml:space="preserve"> </v>
      </c>
      <c r="M20" s="541"/>
      <c r="N20" s="541" t="str">
        <f t="shared" si="4"/>
        <v xml:space="preserve"> </v>
      </c>
      <c r="O20" s="724" t="str">
        <f>IF(ISERROR(VLOOKUP(B20,'Base de Datos'!$C$7:$K$1048576,7,0))=TRUE," ",(VLOOKUP(B20,'Base de Datos'!$C$7:$K$1048576,8,0)))</f>
        <v>150083-0-2015</v>
      </c>
      <c r="P20" s="556">
        <f>IF(ISERROR(VLOOKUP(B20,'Base de Datos'!$C$7:$N$4330,9,0))=TRUE," ",(VLOOKUP(B20,'Base de Datos'!$C$7:$N$4330,10,0)))</f>
        <v>42055</v>
      </c>
      <c r="Q20" s="538" t="s">
        <v>1854</v>
      </c>
      <c r="R20" s="556">
        <f>IF(ISERROR(VLOOKUP(B20,'Base de Datos'!$C$7:$N$4330,10,0))=TRUE," ",(VLOOKUP(B20,'Base de Datos'!$C$7:$N$4330,11,0)))</f>
        <v>42065</v>
      </c>
      <c r="S20" s="556">
        <f>IF(ISERROR(VLOOKUP(B20,'Base de Datos'!$C$7:$N$4330,11,0))=TRUE," ",(VLOOKUP(B20,'Base de Datos'!$C$7:$N$4330,12,0)))</f>
        <v>42431</v>
      </c>
      <c r="T20" s="538" t="str">
        <f ca="1">VLOOKUP(C20,'Base de Datos'!$E$7:$AR$382,39,0)</f>
        <v>SI</v>
      </c>
      <c r="U20" s="727"/>
      <c r="V20" s="639"/>
    </row>
    <row r="21" spans="2:22" ht="14.25" customHeight="1" outlineLevel="1" x14ac:dyDescent="0.25">
      <c r="B21" s="542">
        <v>133</v>
      </c>
      <c r="C21" s="538" t="str">
        <f>IF(ISERROR(VLOOKUP(B21,'Base de Datos'!$C$7:$F$4345,2,0))=TRUE,"",(VLOOKUP('Presupuesto - PAA 2015'!B21,'Base de Datos'!$C$7:$F$4345,3,0)))</f>
        <v>150076-0-2015</v>
      </c>
      <c r="D21" s="538" t="str">
        <f>IF(ISERROR(VLOOKUP(B21,'Base de Datos'!$C$7:$F$4345,3,0))=TRUE,"",(VLOOKUP('Presupuesto - PAA 2015'!B21,'Base de Datos'!$C$7:$F$4345,4,0)))</f>
        <v>JUDITH HERNÁNDEZ VILLALBA</v>
      </c>
      <c r="E21" s="541">
        <f>VLOOKUP(B21,'[5]Abr 24-2015'!$C$53:$AA$327,24,0)</f>
        <v>63654000</v>
      </c>
      <c r="F21" s="539" t="str">
        <f>VLOOKUP(B21,'Actualizada - presupuesto'!$D$7:$L$111,9,0)</f>
        <v>SI</v>
      </c>
      <c r="G21" s="539"/>
      <c r="H21" s="539"/>
      <c r="I21" s="539"/>
      <c r="J21" s="541">
        <f>IF(ISERROR(VLOOKUP(B21,'Base de Datos'!$C$7:$N$4345,6,0))=TRUE,"Sin Celebrar",(VLOOKUP(B21,'Base de Datos'!$C$7:$N$4345,7,0)))</f>
        <v>63654000</v>
      </c>
      <c r="K21" s="605"/>
      <c r="L21" s="541" t="str">
        <f t="shared" si="3"/>
        <v xml:space="preserve"> </v>
      </c>
      <c r="M21" s="541"/>
      <c r="N21" s="541" t="str">
        <f t="shared" si="4"/>
        <v xml:space="preserve"> </v>
      </c>
      <c r="O21" s="724" t="str">
        <f>IF(ISERROR(VLOOKUP(B21,'Base de Datos'!$C$7:$K$1048576,7,0))=TRUE," ",(VLOOKUP(B21,'Base de Datos'!$C$7:$K$1048576,8,0)))</f>
        <v>150076-0-2015</v>
      </c>
      <c r="P21" s="556">
        <f>IF(ISERROR(VLOOKUP(B21,'Base de Datos'!$C$7:$N$4330,9,0))=TRUE," ",(VLOOKUP(B21,'Base de Datos'!$C$7:$N$4330,10,0)))</f>
        <v>42053</v>
      </c>
      <c r="Q21" s="538" t="s">
        <v>1854</v>
      </c>
      <c r="R21" s="556">
        <f>IF(ISERROR(VLOOKUP(B21,'Base de Datos'!$C$7:$N$4330,10,0))=TRUE," ",(VLOOKUP(B21,'Base de Datos'!$C$7:$N$4330,11,0)))</f>
        <v>42054</v>
      </c>
      <c r="S21" s="556">
        <f>IF(ISERROR(VLOOKUP(B21,'Base de Datos'!$C$7:$N$4330,11,0))=TRUE," ",(VLOOKUP(B21,'Base de Datos'!$C$7:$N$4330,12,0)))</f>
        <v>42419</v>
      </c>
      <c r="T21" s="538" t="str">
        <f ca="1">VLOOKUP(C21,'Base de Datos'!$E$7:$AR$382,39,0)</f>
        <v>SI</v>
      </c>
      <c r="U21" s="727"/>
      <c r="V21" s="639"/>
    </row>
    <row r="22" spans="2:22" ht="14.25" customHeight="1" outlineLevel="1" x14ac:dyDescent="0.25">
      <c r="B22" s="542">
        <v>134</v>
      </c>
      <c r="C22" s="538" t="str">
        <f>IF(ISERROR(VLOOKUP(B22,'Base de Datos'!$C$7:$F$4345,2,0))=TRUE,"",(VLOOKUP('Presupuesto - PAA 2015'!B22,'Base de Datos'!$C$7:$F$4345,3,0)))</f>
        <v>150369-0-2015</v>
      </c>
      <c r="D22" s="538" t="str">
        <f>IF(ISERROR(VLOOKUP(B22,'Base de Datos'!$C$7:$F$4345,3,0))=TRUE,"",(VLOOKUP('Presupuesto - PAA 2015'!B22,'Base de Datos'!$C$7:$F$4345,4,0)))</f>
        <v>DANIEL JOSE MORALES VARGAS</v>
      </c>
      <c r="E22" s="541">
        <v>6660000</v>
      </c>
      <c r="F22" s="539">
        <f>VLOOKUP(B22,'Actualizada - presupuesto'!$D$7:$L$111,9,0)</f>
        <v>0</v>
      </c>
      <c r="G22" s="539"/>
      <c r="H22" s="539"/>
      <c r="I22" s="539"/>
      <c r="J22" s="541">
        <f>IF(ISERROR(VLOOKUP(B22,'Base de Datos'!$C$7:$N$4345,6,0))=TRUE,"Sin Celebrar",(VLOOKUP(B22,'Base de Datos'!$C$7:$N$4345,7,0)))</f>
        <v>6660000</v>
      </c>
      <c r="K22" s="605"/>
      <c r="L22" s="541" t="str">
        <f t="shared" si="3"/>
        <v xml:space="preserve"> </v>
      </c>
      <c r="M22" s="541"/>
      <c r="N22" s="541" t="str">
        <f t="shared" si="4"/>
        <v xml:space="preserve"> </v>
      </c>
      <c r="O22" s="724" t="str">
        <f>IF(ISERROR(VLOOKUP(B22,'Base de Datos'!$C$7:$K$1048576,7,0))=TRUE," ",(VLOOKUP(B22,'Base de Datos'!$C$7:$K$1048576,8,0)))</f>
        <v>150369-0-2015</v>
      </c>
      <c r="P22" s="556">
        <f>IF(ISERROR(VLOOKUP(B22,'Base de Datos'!$C$7:$N$4330,9,0))=TRUE," ",(VLOOKUP(B22,'Base de Datos'!$C$7:$N$4330,10,0)))</f>
        <v>42284</v>
      </c>
      <c r="Q22" s="538" t="s">
        <v>378</v>
      </c>
      <c r="R22" s="556">
        <f>IF(ISERROR(VLOOKUP(B22,'Base de Datos'!$C$7:$N$4330,10,0))=TRUE," ",(VLOOKUP(B22,'Base de Datos'!$C$7:$N$4330,11,0)))</f>
        <v>42303</v>
      </c>
      <c r="S22" s="556">
        <f>IF(ISERROR(VLOOKUP(B22,'Base de Datos'!$C$7:$N$4330,11,0))=TRUE," ",(VLOOKUP(B22,'Base de Datos'!$C$7:$N$4330,12,0)))</f>
        <v>42364</v>
      </c>
      <c r="T22" s="538" t="str">
        <f ca="1">VLOOKUP(C22,'Base de Datos'!$E$7:$AR$382,39,0)</f>
        <v>SI</v>
      </c>
      <c r="U22" s="727"/>
      <c r="V22" s="639"/>
    </row>
    <row r="23" spans="2:22" ht="27" customHeight="1" outlineLevel="1" x14ac:dyDescent="0.25">
      <c r="B23" s="542">
        <v>135</v>
      </c>
      <c r="C23" s="538" t="str">
        <f>IF(ISERROR(VLOOKUP(B23,'Base de Datos'!$C$7:$F$4345,2,0))=TRUE,"",(VLOOKUP('Presupuesto - PAA 2015'!B23,'Base de Datos'!$C$7:$F$4345,3,0)))</f>
        <v>150028-0-2015</v>
      </c>
      <c r="D23" s="538" t="str">
        <f>IF(ISERROR(VLOOKUP(B23,'Base de Datos'!$C$7:$F$4345,3,0))=TRUE,"",(VLOOKUP('Presupuesto - PAA 2015'!B23,'Base de Datos'!$C$7:$F$4345,4,0)))</f>
        <v>RICARDO ROJAS SANABRIA (Cesionario) / Antes: NAYIVE CARRASCO PATIÑO</v>
      </c>
      <c r="E23" s="541">
        <f>VLOOKUP(B23,'[5]Abr 24-2015'!$C$53:$AA$327,24,0)</f>
        <v>84000000</v>
      </c>
      <c r="F23" s="539" t="str">
        <f>VLOOKUP(B23,'Actualizada - presupuesto'!$D$7:$L$111,9,0)</f>
        <v>SI</v>
      </c>
      <c r="G23" s="539"/>
      <c r="H23" s="539"/>
      <c r="I23" s="539"/>
      <c r="J23" s="541">
        <f>IF(ISERROR(VLOOKUP(B23,'Base de Datos'!$C$7:$N$4345,6,0))=TRUE,"Sin Celebrar",(VLOOKUP(B23,'Base de Datos'!$C$7:$N$4345,7,0)))</f>
        <v>84000000</v>
      </c>
      <c r="K23" s="605"/>
      <c r="L23" s="541" t="str">
        <f t="shared" si="3"/>
        <v xml:space="preserve"> </v>
      </c>
      <c r="M23" s="541"/>
      <c r="N23" s="541" t="str">
        <f t="shared" si="4"/>
        <v xml:space="preserve"> </v>
      </c>
      <c r="O23" s="724" t="str">
        <f>IF(ISERROR(VLOOKUP(B23,'Base de Datos'!$C$7:$K$1048576,7,0))=TRUE," ",(VLOOKUP(B23,'Base de Datos'!$C$7:$K$1048576,8,0)))</f>
        <v>150028-0-2015</v>
      </c>
      <c r="P23" s="556">
        <f>IF(ISERROR(VLOOKUP(B23,'Base de Datos'!$C$7:$N$4330,9,0))=TRUE," ",(VLOOKUP(B23,'Base de Datos'!$C$7:$N$4330,10,0)))</f>
        <v>42027</v>
      </c>
      <c r="Q23" s="538" t="s">
        <v>1854</v>
      </c>
      <c r="R23" s="556">
        <f>IF(ISERROR(VLOOKUP(B23,'Base de Datos'!$C$7:$N$4330,10,0))=TRUE," ",(VLOOKUP(B23,'Base de Datos'!$C$7:$N$4330,11,0)))</f>
        <v>42031</v>
      </c>
      <c r="S23" s="556">
        <f>IF(ISERROR(VLOOKUP(B23,'Base de Datos'!$C$7:$N$4330,11,0))=TRUE," ",(VLOOKUP(B23,'Base de Datos'!$C$7:$N$4330,12,0)))</f>
        <v>42396</v>
      </c>
      <c r="T23" s="538" t="str">
        <f ca="1">VLOOKUP(C23,'Base de Datos'!$E$7:$AR$382,39,0)</f>
        <v>SI</v>
      </c>
      <c r="U23" s="727"/>
      <c r="V23" s="639"/>
    </row>
    <row r="24" spans="2:22" ht="14.25" customHeight="1" outlineLevel="1" x14ac:dyDescent="0.25">
      <c r="B24" s="542">
        <v>136</v>
      </c>
      <c r="C24" s="538" t="str">
        <f>IF(ISERROR(VLOOKUP(B24,'Base de Datos'!$C$7:$F$4345,2,0))=TRUE,"",(VLOOKUP('Presupuesto - PAA 2015'!B24,'Base de Datos'!$C$7:$F$4345,3,0)))</f>
        <v>150080-0-2015</v>
      </c>
      <c r="D24" s="538" t="str">
        <f>IF(ISERROR(VLOOKUP(B24,'Base de Datos'!$C$7:$F$4345,3,0))=TRUE,"",(VLOOKUP('Presupuesto - PAA 2015'!B24,'Base de Datos'!$C$7:$F$4345,4,0)))</f>
        <v>LIZETH  GONZÁLEZ VARGAS</v>
      </c>
      <c r="E24" s="541">
        <f>VLOOKUP(B24,'[5]Abr 24-2015'!$C$53:$AA$327,24,0)</f>
        <v>43260000</v>
      </c>
      <c r="F24" s="539" t="str">
        <f>VLOOKUP(B24,'Actualizada - presupuesto'!$D$7:$L$111,9,0)</f>
        <v>SI</v>
      </c>
      <c r="G24" s="539"/>
      <c r="H24" s="539"/>
      <c r="I24" s="539"/>
      <c r="J24" s="541">
        <f>IF(ISERROR(VLOOKUP(B24,'Base de Datos'!$C$7:$N$4345,6,0))=TRUE,"Sin Celebrar",(VLOOKUP(B24,'Base de Datos'!$C$7:$N$4345,7,0)))</f>
        <v>43260000</v>
      </c>
      <c r="K24" s="605"/>
      <c r="L24" s="541" t="str">
        <f t="shared" si="3"/>
        <v xml:space="preserve"> </v>
      </c>
      <c r="M24" s="541"/>
      <c r="N24" s="541" t="str">
        <f t="shared" si="4"/>
        <v xml:space="preserve"> </v>
      </c>
      <c r="O24" s="724" t="str">
        <f>IF(ISERROR(VLOOKUP(B24,'Base de Datos'!$C$7:$K$1048576,7,0))=TRUE," ",(VLOOKUP(B24,'Base de Datos'!$C$7:$K$1048576,8,0)))</f>
        <v>150080-0-2015</v>
      </c>
      <c r="P24" s="556">
        <f>IF(ISERROR(VLOOKUP(B24,'Base de Datos'!$C$7:$N$4330,9,0))=TRUE," ",(VLOOKUP(B24,'Base de Datos'!$C$7:$N$4330,10,0)))</f>
        <v>42054</v>
      </c>
      <c r="Q24" s="538" t="s">
        <v>1854</v>
      </c>
      <c r="R24" s="556">
        <f>IF(ISERROR(VLOOKUP(B24,'Base de Datos'!$C$7:$N$4330,10,0))=TRUE," ",(VLOOKUP(B24,'Base de Datos'!$C$7:$N$4330,11,0)))</f>
        <v>42060</v>
      </c>
      <c r="S24" s="556">
        <f>IF(ISERROR(VLOOKUP(B24,'Base de Datos'!$C$7:$N$4330,11,0))=TRUE," ",(VLOOKUP(B24,'Base de Datos'!$C$7:$N$4330,12,0)))</f>
        <v>42425</v>
      </c>
      <c r="T24" s="538" t="str">
        <f ca="1">VLOOKUP(C24,'Base de Datos'!$E$7:$AR$382,39,0)</f>
        <v>SI</v>
      </c>
      <c r="U24" s="727"/>
      <c r="V24" s="639"/>
    </row>
    <row r="25" spans="2:22" ht="24" outlineLevel="1" x14ac:dyDescent="0.25">
      <c r="B25" s="557">
        <v>137</v>
      </c>
      <c r="C25" s="538" t="str">
        <f>IF(ISERROR(VLOOKUP(B25,'Base de Datos'!$C$7:$F$4345,2,0))=TRUE,"",(VLOOKUP('Presupuesto - PAA 2015'!B25,'Base de Datos'!$C$7:$F$4345,3,0)))</f>
        <v>150053-0-2015</v>
      </c>
      <c r="D25" s="538" t="str">
        <f>IF(ISERROR(VLOOKUP(B25,'Base de Datos'!$C$7:$F$4345,3,0))=TRUE,"",(VLOOKUP('Presupuesto - PAA 2015'!B25,'Base de Datos'!$C$7:$F$4345,4,0)))</f>
        <v xml:space="preserve">ADRIANA MARGARITA PAYARES (Cesionaria) / Antes: JEAN PAUL RUBIO MARTIN </v>
      </c>
      <c r="E25" s="559">
        <f>VLOOKUP(B25,'[5]Abr 24-2015'!$C$53:$AA$327,24,0)</f>
        <v>63654000</v>
      </c>
      <c r="F25" s="539" t="str">
        <f>VLOOKUP(B25,'Actualizada - presupuesto'!$D$7:$L$111,9,0)</f>
        <v>SI</v>
      </c>
      <c r="G25" s="560"/>
      <c r="H25" s="560"/>
      <c r="I25" s="560"/>
      <c r="J25" s="541">
        <f>IF(ISERROR(VLOOKUP(B25,'Base de Datos'!$C$7:$N$4345,6,0))=TRUE,"Sin Celebrar",(VLOOKUP(B25,'Base de Datos'!$C$7:$N$4345,7,0)))</f>
        <v>63654000</v>
      </c>
      <c r="K25" s="609"/>
      <c r="L25" s="541" t="str">
        <f t="shared" si="3"/>
        <v xml:space="preserve"> </v>
      </c>
      <c r="M25" s="559"/>
      <c r="N25" s="541" t="str">
        <f t="shared" si="4"/>
        <v xml:space="preserve"> </v>
      </c>
      <c r="O25" s="724" t="str">
        <f>IF(ISERROR(VLOOKUP(B25,'Base de Datos'!$C$7:$K$1048576,7,0))=TRUE," ",(VLOOKUP(B25,'Base de Datos'!$C$7:$K$1048576,8,0)))</f>
        <v>150053-0-2015</v>
      </c>
      <c r="P25" s="556">
        <f>IF(ISERROR(VLOOKUP(B25,'Base de Datos'!$C$7:$N$4330,9,0))=TRUE," ",(VLOOKUP(B25,'Base de Datos'!$C$7:$N$4330,10,0)))</f>
        <v>42044</v>
      </c>
      <c r="Q25" s="558" t="s">
        <v>1854</v>
      </c>
      <c r="R25" s="556">
        <f>IF(ISERROR(VLOOKUP(B25,'Base de Datos'!$C$7:$N$4330,10,0))=TRUE," ",(VLOOKUP(B25,'Base de Datos'!$C$7:$N$4330,11,0)))</f>
        <v>42045</v>
      </c>
      <c r="S25" s="556">
        <f>IF(ISERROR(VLOOKUP(B25,'Base de Datos'!$C$7:$N$4330,11,0))=TRUE," ",(VLOOKUP(B25,'Base de Datos'!$C$7:$N$4330,12,0)))</f>
        <v>42379</v>
      </c>
      <c r="T25" s="538" t="str">
        <f ca="1">VLOOKUP(C25,'Base de Datos'!$E$7:$AR$382,39,0)</f>
        <v>SI</v>
      </c>
      <c r="U25" s="727"/>
      <c r="V25" s="639"/>
    </row>
    <row r="26" spans="2:22" outlineLevel="1" x14ac:dyDescent="0.25">
      <c r="B26" s="557">
        <v>319</v>
      </c>
      <c r="C26" s="538" t="str">
        <f>IF(ISERROR(VLOOKUP(B26,'Base de Datos'!$C$7:$F$4345,2,0))=TRUE,"",(VLOOKUP('Presupuesto - PAA 2015'!B26,'Base de Datos'!$C$7:$F$4345,3,0)))</f>
        <v>150281-0-2015</v>
      </c>
      <c r="D26" s="538" t="str">
        <f>IF(ISERROR(VLOOKUP(B26,'Base de Datos'!$C$7:$F$4345,3,0))=TRUE,"",(VLOOKUP('Presupuesto - PAA 2015'!B26,'Base de Datos'!$C$7:$F$4345,4,0)))</f>
        <v>HUGO FERNANDO LONDOÑO ULLOA</v>
      </c>
      <c r="E26" s="559">
        <v>31800000</v>
      </c>
      <c r="F26" s="539" t="s">
        <v>390</v>
      </c>
      <c r="G26" s="560"/>
      <c r="H26" s="560"/>
      <c r="I26" s="560"/>
      <c r="J26" s="541">
        <f>IF(ISERROR(VLOOKUP(B26,'Base de Datos'!$C$7:$N$4345,6,0))=TRUE,"Sin Celebrar",(VLOOKUP(B26,'Base de Datos'!$C$7:$N$4345,7,0)))</f>
        <v>31800000</v>
      </c>
      <c r="K26" s="609"/>
      <c r="L26" s="541" t="str">
        <f t="shared" si="3"/>
        <v xml:space="preserve"> </v>
      </c>
      <c r="M26" s="559"/>
      <c r="N26" s="541" t="str">
        <f t="shared" si="4"/>
        <v xml:space="preserve"> </v>
      </c>
      <c r="O26" s="724" t="s">
        <v>2051</v>
      </c>
      <c r="P26" s="556">
        <f>IF(ISERROR(VLOOKUP(B26,'Base de Datos'!$C$7:$N$4330,9,0))=TRUE," ",(VLOOKUP(B26,'Base de Datos'!$C$7:$N$4330,10,0)))</f>
        <v>42179</v>
      </c>
      <c r="Q26" s="558" t="s">
        <v>382</v>
      </c>
      <c r="R26" s="556">
        <f>IF(ISERROR(VLOOKUP(B26,'Base de Datos'!$C$7:$N$4330,10,0))=TRUE," ",(VLOOKUP(B26,'Base de Datos'!$C$7:$N$4330,11,0)))</f>
        <v>42186</v>
      </c>
      <c r="S26" s="556">
        <f>IF(ISERROR(VLOOKUP(B26,'Base de Datos'!$C$7:$N$4330,11,0))=TRUE," ",(VLOOKUP(B26,'Base de Datos'!$C$7:$N$4330,12,0)))</f>
        <v>42370</v>
      </c>
      <c r="T26" s="538" t="str">
        <f ca="1">VLOOKUP(C26,'Base de Datos'!$E$7:$AR$382,39,0)</f>
        <v>SI</v>
      </c>
      <c r="U26" s="727"/>
      <c r="V26" s="639"/>
    </row>
    <row r="27" spans="2:22" outlineLevel="1" x14ac:dyDescent="0.25">
      <c r="B27" s="557">
        <v>320</v>
      </c>
      <c r="C27" s="538" t="str">
        <f>IF(ISERROR(VLOOKUP(B27,'Base de Datos'!$C$7:$F$4345,2,0))=TRUE,"",(VLOOKUP('Presupuesto - PAA 2015'!B27,'Base de Datos'!$C$7:$F$4345,3,0)))</f>
        <v>150276-0-2015</v>
      </c>
      <c r="D27" s="538" t="str">
        <f>IF(ISERROR(VLOOKUP(B27,'Base de Datos'!$C$7:$F$4345,3,0))=TRUE,"",(VLOOKUP('Presupuesto - PAA 2015'!B27,'Base de Datos'!$C$7:$F$4345,4,0)))</f>
        <v>JAVIER IGNACIO JATIVA GARCIA</v>
      </c>
      <c r="E27" s="541">
        <v>21600000</v>
      </c>
      <c r="F27" s="539" t="s">
        <v>390</v>
      </c>
      <c r="G27" s="560"/>
      <c r="H27" s="560"/>
      <c r="I27" s="560"/>
      <c r="J27" s="541">
        <f>IF(ISERROR(VLOOKUP(B27,'Base de Datos'!$C$7:$N$4345,6,0))=TRUE,"Sin Celebrar",(VLOOKUP(B27,'Base de Datos'!$C$7:$N$4345,7,0)))</f>
        <v>21600000</v>
      </c>
      <c r="K27" s="609"/>
      <c r="L27" s="541" t="str">
        <f t="shared" si="3"/>
        <v xml:space="preserve"> </v>
      </c>
      <c r="M27" s="559"/>
      <c r="N27" s="541" t="str">
        <f t="shared" si="4"/>
        <v xml:space="preserve"> </v>
      </c>
      <c r="O27" s="724" t="s">
        <v>2033</v>
      </c>
      <c r="P27" s="556">
        <f>IF(ISERROR(VLOOKUP(B27,'Base de Datos'!$C$7:$N$4330,9,0))=TRUE," ",(VLOOKUP(B27,'Base de Datos'!$C$7:$N$4330,10,0)))</f>
        <v>42179</v>
      </c>
      <c r="Q27" s="558" t="s">
        <v>382</v>
      </c>
      <c r="R27" s="556">
        <f>IF(ISERROR(VLOOKUP(B27,'Base de Datos'!$C$7:$N$4330,10,0))=TRUE," ",(VLOOKUP(B27,'Base de Datos'!$C$7:$N$4330,11,0)))</f>
        <v>42186</v>
      </c>
      <c r="S27" s="556">
        <f>IF(ISERROR(VLOOKUP(B27,'Base de Datos'!$C$7:$N$4330,11,0))=TRUE," ",(VLOOKUP(B27,'Base de Datos'!$C$7:$N$4330,12,0)))</f>
        <v>42370</v>
      </c>
      <c r="T27" s="538" t="str">
        <f ca="1">VLOOKUP(C27,'Base de Datos'!$E$7:$AR$382,39,0)</f>
        <v>SI</v>
      </c>
      <c r="U27" s="727"/>
      <c r="V27" s="639"/>
    </row>
    <row r="28" spans="2:22" outlineLevel="1" x14ac:dyDescent="0.25">
      <c r="B28" s="557">
        <v>324</v>
      </c>
      <c r="C28" s="538" t="str">
        <f>IF(ISERROR(VLOOKUP(B28,'Base de Datos'!$C$7:$F$4345,2,0))=TRUE,"",(VLOOKUP('Presupuesto - PAA 2015'!B28,'Base de Datos'!$C$7:$F$4345,3,0)))</f>
        <v>150286-0-2015</v>
      </c>
      <c r="D28" s="538" t="str">
        <f>IF(ISERROR(VLOOKUP(B28,'Base de Datos'!$C$7:$F$4345,3,0))=TRUE,"",(VLOOKUP('Presupuesto - PAA 2015'!B28,'Base de Datos'!$C$7:$F$4345,4,0)))</f>
        <v>CLAUDIA ELVIRA RODRIGUEZ POVEDA</v>
      </c>
      <c r="E28" s="541">
        <v>31800000</v>
      </c>
      <c r="F28" s="539" t="s">
        <v>390</v>
      </c>
      <c r="G28" s="560"/>
      <c r="H28" s="560"/>
      <c r="I28" s="560"/>
      <c r="J28" s="541">
        <f>IF(ISERROR(VLOOKUP(B28,'Base de Datos'!$C$7:$N$4345,6,0))=TRUE,"Sin Celebrar",(VLOOKUP(B28,'Base de Datos'!$C$7:$N$4345,7,0)))</f>
        <v>31800000</v>
      </c>
      <c r="K28" s="609"/>
      <c r="L28" s="541" t="str">
        <f t="shared" si="3"/>
        <v xml:space="preserve"> </v>
      </c>
      <c r="M28" s="559"/>
      <c r="N28" s="541" t="str">
        <f t="shared" si="4"/>
        <v xml:space="preserve"> </v>
      </c>
      <c r="O28" s="724" t="s">
        <v>2046</v>
      </c>
      <c r="P28" s="556">
        <f>IF(ISERROR(VLOOKUP(B28,'Base de Datos'!$C$7:$N$4330,9,0))=TRUE," ",(VLOOKUP(B28,'Base de Datos'!$C$7:$N$4330,10,0)))</f>
        <v>42179</v>
      </c>
      <c r="Q28" s="558" t="s">
        <v>382</v>
      </c>
      <c r="R28" s="556">
        <f>IF(ISERROR(VLOOKUP(B28,'Base de Datos'!$C$7:$N$4330,10,0))=TRUE," ",(VLOOKUP(B28,'Base de Datos'!$C$7:$N$4330,11,0)))</f>
        <v>42186</v>
      </c>
      <c r="S28" s="556">
        <f>IF(ISERROR(VLOOKUP(B28,'Base de Datos'!$C$7:$N$4330,11,0))=TRUE," ",(VLOOKUP(B28,'Base de Datos'!$C$7:$N$4330,12,0)))</f>
        <v>42370</v>
      </c>
      <c r="T28" s="538" t="str">
        <f ca="1">VLOOKUP(C28,'Base de Datos'!$E$7:$AR$382,39,0)</f>
        <v>SI</v>
      </c>
      <c r="U28" s="727"/>
      <c r="V28" s="639"/>
    </row>
    <row r="29" spans="2:22" outlineLevel="1" x14ac:dyDescent="0.25">
      <c r="B29" s="557">
        <v>366</v>
      </c>
      <c r="C29" s="538" t="str">
        <f>IF(ISERROR(VLOOKUP(B29,'Base de Datos'!$C$7:$F$4345,2,0))=TRUE,"",(VLOOKUP('Presupuesto - PAA 2015'!B29,'Base de Datos'!$C$7:$F$4345,3,0)))</f>
        <v>150398-0-2015</v>
      </c>
      <c r="D29" s="538" t="str">
        <f>IF(ISERROR(VLOOKUP(B29,'Base de Datos'!$C$7:$F$4345,3,0))=TRUE,"",(VLOOKUP('Presupuesto - PAA 2015'!B29,'Base de Datos'!$C$7:$F$4345,4,0)))</f>
        <v>MARLON ENRIQUE MIRANDA TRUJILLO</v>
      </c>
      <c r="E29" s="541">
        <v>27500000</v>
      </c>
      <c r="F29" s="539" t="s">
        <v>390</v>
      </c>
      <c r="G29" s="560"/>
      <c r="H29" s="560"/>
      <c r="I29" s="560"/>
      <c r="J29" s="541">
        <f>IF(ISERROR(VLOOKUP(B29,'Base de Datos'!$C$7:$N$4345,6,0))=TRUE,"Sin Celebrar",(VLOOKUP(B29,'Base de Datos'!$C$7:$N$4345,7,0)))</f>
        <v>27500000</v>
      </c>
      <c r="K29" s="609"/>
      <c r="L29" s="541" t="str">
        <f>IF(J29=$AA$1,E29, " ")</f>
        <v xml:space="preserve"> </v>
      </c>
      <c r="M29" s="559"/>
      <c r="N29" s="541" t="str">
        <f>IF(J29&lt;E29,(E29-J29)," ")</f>
        <v xml:space="preserve"> </v>
      </c>
      <c r="O29" s="724" t="s">
        <v>2351</v>
      </c>
      <c r="P29" s="556">
        <f>IF(ISERROR(VLOOKUP(B29,'Base de Datos'!$C$7:$N$4330,9,0))=TRUE," ",(VLOOKUP(B29,'Base de Datos'!$C$7:$N$4330,10,0)))</f>
        <v>42342</v>
      </c>
      <c r="Q29" s="558" t="s">
        <v>544</v>
      </c>
      <c r="R29" s="556">
        <f>IF(ISERROR(VLOOKUP(B29,'Base de Datos'!$C$7:$N$4330,10,0))=TRUE," ",(VLOOKUP(B29,'Base de Datos'!$C$7:$N$4330,11,0)))</f>
        <v>42349</v>
      </c>
      <c r="S29" s="556">
        <f>IF(ISERROR(VLOOKUP(B29,'Base de Datos'!$C$7:$N$4330,11,0))=TRUE," ",(VLOOKUP(B29,'Base de Datos'!$C$7:$N$4330,12,0)))</f>
        <v>42501</v>
      </c>
      <c r="T29" s="538"/>
      <c r="U29" s="727"/>
      <c r="V29" s="639"/>
    </row>
    <row r="30" spans="2:22" outlineLevel="1" x14ac:dyDescent="0.25">
      <c r="B30" s="557"/>
      <c r="C30" s="558"/>
      <c r="D30" s="538" t="s">
        <v>1938</v>
      </c>
      <c r="E30" s="541">
        <f>+E8-SUM(E10:E29)</f>
        <v>3249028</v>
      </c>
      <c r="F30" s="539"/>
      <c r="G30" s="560"/>
      <c r="H30" s="560"/>
      <c r="I30" s="560"/>
      <c r="J30" s="541"/>
      <c r="K30" s="609"/>
      <c r="L30" s="541" t="str">
        <f t="shared" si="3"/>
        <v xml:space="preserve"> </v>
      </c>
      <c r="M30" s="559"/>
      <c r="N30" s="541">
        <f t="shared" si="4"/>
        <v>3249028</v>
      </c>
      <c r="O30" s="684"/>
      <c r="P30" s="556" t="str">
        <f>IF(ISERROR(VLOOKUP(B30,'Base de Datos'!$C$7:$N$315,9,0))=TRUE," ",(VLOOKUP(B30,'Base de Datos'!$C$7:$N$315,9,0)))</f>
        <v xml:space="preserve"> </v>
      </c>
      <c r="Q30" s="558"/>
      <c r="R30" s="556" t="str">
        <f>IF(ISERROR(VLOOKUP(B30,'Base de Datos'!$C$7:$N$315,10,0))=TRUE," ",(VLOOKUP(B30,'Base de Datos'!$C$7:$N$315,10,0)))</f>
        <v xml:space="preserve"> </v>
      </c>
      <c r="S30" s="556" t="str">
        <f>IF(ISERROR(VLOOKUP(B30,'Base de Datos'!$C$7:$N$315,11,0))=TRUE," ",(VLOOKUP(B30,'Base de Datos'!$C$7:$N$315,11,0)))</f>
        <v xml:space="preserve"> </v>
      </c>
      <c r="T30" s="538"/>
      <c r="U30" s="727"/>
      <c r="V30" s="639"/>
    </row>
    <row r="31" spans="2:22" ht="12.75" outlineLevel="1" thickBot="1" x14ac:dyDescent="0.3">
      <c r="B31" s="557"/>
      <c r="C31" s="558"/>
      <c r="D31" s="558"/>
      <c r="E31" s="559"/>
      <c r="F31" s="560"/>
      <c r="G31" s="560"/>
      <c r="H31" s="560"/>
      <c r="I31" s="560"/>
      <c r="J31" s="541"/>
      <c r="K31" s="609"/>
      <c r="L31" s="559" t="str">
        <f t="shared" si="3"/>
        <v xml:space="preserve"> </v>
      </c>
      <c r="M31" s="559"/>
      <c r="N31" s="559" t="str">
        <f t="shared" si="4"/>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4"/>
      <c r="C32" s="1135"/>
      <c r="D32" s="1135"/>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36"/>
      <c r="C33" s="1137"/>
      <c r="D33" s="1137"/>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3" t="s">
        <v>1647</v>
      </c>
      <c r="C34" s="1123"/>
      <c r="D34" s="1123"/>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736"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18" t="s">
        <v>1648</v>
      </c>
      <c r="C37" s="1118"/>
      <c r="D37" s="1118"/>
      <c r="E37" s="586">
        <v>93600000</v>
      </c>
      <c r="F37" s="591">
        <v>3</v>
      </c>
      <c r="G37" s="591"/>
      <c r="H37" s="591"/>
      <c r="I37" s="591"/>
      <c r="J37" s="586">
        <f>SUM(J39:J47)</f>
        <v>93600000</v>
      </c>
      <c r="K37" s="608">
        <f>J37/E37</f>
        <v>1</v>
      </c>
      <c r="L37" s="586">
        <f>SUM(L39:L47)</f>
        <v>0</v>
      </c>
      <c r="M37" s="637">
        <v>0</v>
      </c>
      <c r="N37" s="586">
        <f>+E37-J37-L37</f>
        <v>0</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274</v>
      </c>
      <c r="C39" s="538" t="str">
        <f>IF(ISERROR(VLOOKUP(B39,'Base de Datos'!$C$7:$F$4345,2,0))=TRUE,"",(VLOOKUP('Presupuesto - PAA 2015'!B39,'Base de Datos'!$C$7:$F$4345,3,0)))</f>
        <v>150214-0-2015</v>
      </c>
      <c r="D39" s="538" t="str">
        <f>IF(ISERROR(VLOOKUP(B39,'Base de Datos'!$C$7:$F$4345,3,0))=TRUE,"",(VLOOKUP('Presupuesto - PAA 2015'!B39,'Base de Datos'!$C$7:$F$4345,4,0)))</f>
        <v>CARLOS FERNANDO IBARRA VALLEJO</v>
      </c>
      <c r="E39" s="559">
        <v>18000000</v>
      </c>
      <c r="F39" s="539" t="s">
        <v>390</v>
      </c>
      <c r="G39" s="560"/>
      <c r="H39" s="560"/>
      <c r="I39" s="560"/>
      <c r="J39" s="541">
        <f>IF(ISERROR(VLOOKUP(B39,'Base de Datos'!$C$7:$N$4345,6,0))=TRUE,"Sin Celebrar",(VLOOKUP(B39,'Base de Datos'!$C$7:$N$4345,7,0)))</f>
        <v>18000000</v>
      </c>
      <c r="K39" s="609"/>
      <c r="L39" s="541" t="str">
        <f>IF(J39=$AA$1,E39, " ")</f>
        <v xml:space="preserve"> </v>
      </c>
      <c r="M39" s="559"/>
      <c r="N39" s="541" t="str">
        <f t="shared" ref="N39:N47" si="5">IF(J39&lt;E39,(E39-J39)," ")</f>
        <v xml:space="preserve"> </v>
      </c>
      <c r="O39" s="683" t="s">
        <v>1883</v>
      </c>
      <c r="P39" s="556">
        <f>IF(ISERROR(VLOOKUP(B39,'Base de Datos'!$C$7:$N$4330,9,0))=TRUE," ",(VLOOKUP(B39,'Base de Datos'!$C$7:$N$4330,10,0)))</f>
        <v>42130</v>
      </c>
      <c r="Q39" s="558" t="s">
        <v>1322</v>
      </c>
      <c r="R39" s="556">
        <f>IF(ISERROR(VLOOKUP(B39,'Base de Datos'!$C$7:$N$4330,10,0))=TRUE," ",(VLOOKUP(B39,'Base de Datos'!$C$7:$N$4330,11,0)))</f>
        <v>42137</v>
      </c>
      <c r="S39" s="556">
        <f>IF(ISERROR(VLOOKUP(B39,'Base de Datos'!$C$7:$N$4330,11,0))=TRUE," ",(VLOOKUP(B39,'Base de Datos'!$C$7:$N$4330,12,0)))</f>
        <v>42413</v>
      </c>
      <c r="T39" s="538" t="str">
        <f ca="1">VLOOKUP(C39,'Base de Datos'!$E$7:$AR$382,39,0)</f>
        <v>SI</v>
      </c>
      <c r="U39" s="727"/>
      <c r="V39" s="639"/>
    </row>
    <row r="40" spans="2:22" outlineLevel="1" x14ac:dyDescent="0.25">
      <c r="B40" s="557">
        <v>322</v>
      </c>
      <c r="C40" s="538" t="str">
        <f>IF(ISERROR(VLOOKUP(B40,'Base de Datos'!$C$7:$F$4345,2,0))=TRUE,"",(VLOOKUP('Presupuesto - PAA 2015'!B40,'Base de Datos'!$C$7:$F$4345,3,0)))</f>
        <v>150278-0-2015</v>
      </c>
      <c r="D40" s="538" t="str">
        <f>IF(ISERROR(VLOOKUP(B40,'Base de Datos'!$C$7:$F$4345,3,0))=TRUE,"",(VLOOKUP('Presupuesto - PAA 2015'!B40,'Base de Datos'!$C$7:$F$4345,4,0)))</f>
        <v>YURI VIVIANA REYES BENITEZ</v>
      </c>
      <c r="E40" s="559">
        <v>10800000</v>
      </c>
      <c r="F40" s="560" t="s">
        <v>390</v>
      </c>
      <c r="G40" s="560"/>
      <c r="H40" s="560"/>
      <c r="I40" s="560"/>
      <c r="J40" s="541">
        <f>IF(ISERROR(VLOOKUP(B40,'Base de Datos'!$C$7:$N$4345,6,0))=TRUE,"Sin Celebrar",(VLOOKUP(B40,'Base de Datos'!$C$7:$N$4345,7,0)))</f>
        <v>10800000</v>
      </c>
      <c r="K40" s="609"/>
      <c r="L40" s="559"/>
      <c r="M40" s="559"/>
      <c r="N40" s="541" t="str">
        <f t="shared" si="5"/>
        <v xml:space="preserve"> </v>
      </c>
      <c r="O40" s="683" t="s">
        <v>2038</v>
      </c>
      <c r="P40" s="556">
        <f>IF(ISERROR(VLOOKUP(B40,'Base de Datos'!$C$7:$N$4330,9,0))=TRUE," ",(VLOOKUP(B40,'Base de Datos'!$C$7:$N$4330,10,0)))</f>
        <v>42179</v>
      </c>
      <c r="Q40" s="558" t="s">
        <v>382</v>
      </c>
      <c r="R40" s="556">
        <f>IF(ISERROR(VLOOKUP(B40,'Base de Datos'!$C$7:$N$4330,10,0))=TRUE," ",(VLOOKUP(B40,'Base de Datos'!$C$7:$N$4330,11,0)))</f>
        <v>42186</v>
      </c>
      <c r="S40" s="556">
        <f>IF(ISERROR(VLOOKUP(B40,'Base de Datos'!$C$7:$N$4330,11,0))=TRUE," ",(VLOOKUP(B40,'Base de Datos'!$C$7:$N$4330,12,0)))</f>
        <v>42370</v>
      </c>
      <c r="T40" s="538" t="str">
        <f ca="1">VLOOKUP(C40,'Base de Datos'!$E$7:$AR$382,39,0)</f>
        <v>SI</v>
      </c>
      <c r="U40" s="727"/>
      <c r="V40" s="639"/>
    </row>
    <row r="41" spans="2:22" outlineLevel="1" x14ac:dyDescent="0.25">
      <c r="B41" s="557">
        <v>321</v>
      </c>
      <c r="C41" s="728" t="s">
        <v>2030</v>
      </c>
      <c r="D41" s="728" t="s">
        <v>2031</v>
      </c>
      <c r="E41" s="559">
        <v>10800000</v>
      </c>
      <c r="F41" s="560" t="s">
        <v>390</v>
      </c>
      <c r="G41" s="560"/>
      <c r="H41" s="560"/>
      <c r="I41" s="560"/>
      <c r="J41" s="559">
        <v>10800000</v>
      </c>
      <c r="K41" s="609"/>
      <c r="L41" s="559"/>
      <c r="M41" s="559"/>
      <c r="N41" s="541" t="str">
        <f t="shared" si="5"/>
        <v xml:space="preserve"> </v>
      </c>
      <c r="O41" s="684" t="s">
        <v>2030</v>
      </c>
      <c r="P41" s="561">
        <v>42179</v>
      </c>
      <c r="Q41" s="558" t="s">
        <v>382</v>
      </c>
      <c r="R41" s="556">
        <f>IF(ISERROR(VLOOKUP(B41,'Base de Datos'!$C$7:$N$4330,10,0))=TRUE," ",(VLOOKUP(B41,'Base de Datos'!$C$7:$N$4330,11,0)))</f>
        <v>42186</v>
      </c>
      <c r="S41" s="556">
        <f>IF(ISERROR(VLOOKUP(B41,'Base de Datos'!$C$7:$N$4330,11,0))=TRUE," ",(VLOOKUP(B41,'Base de Datos'!$C$7:$N$4330,12,0)))</f>
        <v>42370</v>
      </c>
      <c r="T41" s="538" t="str">
        <f ca="1">VLOOKUP(C41,'Base de Datos'!$E$7:$AR$382,39,0)</f>
        <v>SI</v>
      </c>
      <c r="U41" s="727"/>
      <c r="V41" s="639"/>
    </row>
    <row r="42" spans="2:22" outlineLevel="1" x14ac:dyDescent="0.25">
      <c r="B42" s="557">
        <v>321</v>
      </c>
      <c r="C42" s="728" t="s">
        <v>2036</v>
      </c>
      <c r="D42" s="728" t="s">
        <v>2037</v>
      </c>
      <c r="E42" s="559">
        <v>10800000</v>
      </c>
      <c r="F42" s="560" t="s">
        <v>390</v>
      </c>
      <c r="G42" s="560"/>
      <c r="H42" s="560"/>
      <c r="I42" s="560"/>
      <c r="J42" s="559">
        <v>10800000</v>
      </c>
      <c r="K42" s="609"/>
      <c r="L42" s="559"/>
      <c r="M42" s="559"/>
      <c r="N42" s="541" t="str">
        <f t="shared" si="5"/>
        <v xml:space="preserve"> </v>
      </c>
      <c r="O42" s="684" t="s">
        <v>2036</v>
      </c>
      <c r="P42" s="561">
        <v>42179</v>
      </c>
      <c r="Q42" s="558" t="s">
        <v>382</v>
      </c>
      <c r="R42" s="556">
        <f>IF(ISERROR(VLOOKUP(B42,'Base de Datos'!$C$7:$N$4330,10,0))=TRUE," ",(VLOOKUP(B42,'Base de Datos'!$C$7:$N$4330,11,0)))</f>
        <v>42186</v>
      </c>
      <c r="S42" s="556">
        <f>IF(ISERROR(VLOOKUP(B42,'Base de Datos'!$C$7:$N$4330,11,0))=TRUE," ",(VLOOKUP(B42,'Base de Datos'!$C$7:$N$4330,12,0)))</f>
        <v>42370</v>
      </c>
      <c r="T42" s="538" t="str">
        <f ca="1">VLOOKUP(C42,'Base de Datos'!$E$7:$AR$382,39,0)</f>
        <v>SI</v>
      </c>
      <c r="U42" s="727"/>
      <c r="V42" s="639"/>
    </row>
    <row r="43" spans="2:22" outlineLevel="1" x14ac:dyDescent="0.25">
      <c r="B43" s="557">
        <v>321</v>
      </c>
      <c r="C43" s="728" t="s">
        <v>2041</v>
      </c>
      <c r="D43" s="728" t="s">
        <v>2042</v>
      </c>
      <c r="E43" s="559">
        <v>10800000</v>
      </c>
      <c r="F43" s="560" t="s">
        <v>390</v>
      </c>
      <c r="G43" s="560"/>
      <c r="H43" s="560"/>
      <c r="I43" s="560"/>
      <c r="J43" s="559">
        <v>10800000</v>
      </c>
      <c r="K43" s="609"/>
      <c r="L43" s="559"/>
      <c r="M43" s="559"/>
      <c r="N43" s="541" t="str">
        <f t="shared" si="5"/>
        <v xml:space="preserve"> </v>
      </c>
      <c r="O43" s="684" t="s">
        <v>2041</v>
      </c>
      <c r="P43" s="561">
        <v>42179</v>
      </c>
      <c r="Q43" s="558" t="s">
        <v>382</v>
      </c>
      <c r="R43" s="556">
        <f>IF(ISERROR(VLOOKUP(B43,'Base de Datos'!$C$7:$N$4330,10,0))=TRUE," ",(VLOOKUP(B43,'Base de Datos'!$C$7:$N$4330,11,0)))</f>
        <v>42186</v>
      </c>
      <c r="S43" s="556">
        <f>IF(ISERROR(VLOOKUP(B43,'Base de Datos'!$C$7:$N$4330,11,0))=TRUE," ",(VLOOKUP(B43,'Base de Datos'!$C$7:$N$4330,12,0)))</f>
        <v>42370</v>
      </c>
      <c r="T43" s="538" t="str">
        <f ca="1">VLOOKUP(C43,'Base de Datos'!$E$7:$AR$382,39,0)</f>
        <v>SI</v>
      </c>
      <c r="U43" s="727"/>
      <c r="V43" s="639"/>
    </row>
    <row r="44" spans="2:22" outlineLevel="1" x14ac:dyDescent="0.25">
      <c r="B44" s="557">
        <v>321</v>
      </c>
      <c r="C44" s="728" t="s">
        <v>2043</v>
      </c>
      <c r="D44" s="728" t="s">
        <v>2044</v>
      </c>
      <c r="E44" s="559">
        <v>10800000</v>
      </c>
      <c r="F44" s="560" t="s">
        <v>390</v>
      </c>
      <c r="G44" s="560"/>
      <c r="H44" s="560"/>
      <c r="I44" s="560"/>
      <c r="J44" s="559">
        <v>10800000</v>
      </c>
      <c r="K44" s="609"/>
      <c r="L44" s="559"/>
      <c r="M44" s="559"/>
      <c r="N44" s="541" t="str">
        <f t="shared" si="5"/>
        <v xml:space="preserve"> </v>
      </c>
      <c r="O44" s="684" t="s">
        <v>2043</v>
      </c>
      <c r="P44" s="561">
        <v>42179</v>
      </c>
      <c r="Q44" s="558" t="s">
        <v>382</v>
      </c>
      <c r="R44" s="556">
        <f>IF(ISERROR(VLOOKUP(B44,'Base de Datos'!$C$7:$N$4330,10,0))=TRUE," ",(VLOOKUP(B44,'Base de Datos'!$C$7:$N$4330,11,0)))</f>
        <v>42186</v>
      </c>
      <c r="S44" s="556">
        <f>IF(ISERROR(VLOOKUP(B44,'Base de Datos'!$C$7:$N$4330,11,0))=TRUE," ",(VLOOKUP(B44,'Base de Datos'!$C$7:$N$4330,12,0)))</f>
        <v>42370</v>
      </c>
      <c r="T44" s="538" t="str">
        <f ca="1">VLOOKUP(C44,'Base de Datos'!$E$7:$AR$382,39,0)</f>
        <v>SI</v>
      </c>
      <c r="U44" s="727"/>
      <c r="V44" s="639"/>
    </row>
    <row r="45" spans="2:22" outlineLevel="1" x14ac:dyDescent="0.25">
      <c r="B45" s="557">
        <v>321</v>
      </c>
      <c r="C45" s="728" t="s">
        <v>2049</v>
      </c>
      <c r="D45" s="728" t="s">
        <v>2050</v>
      </c>
      <c r="E45" s="559">
        <v>10800000</v>
      </c>
      <c r="F45" s="560" t="s">
        <v>390</v>
      </c>
      <c r="G45" s="560"/>
      <c r="H45" s="560"/>
      <c r="I45" s="560"/>
      <c r="J45" s="559">
        <v>10800000</v>
      </c>
      <c r="K45" s="609"/>
      <c r="L45" s="559"/>
      <c r="M45" s="559"/>
      <c r="N45" s="541" t="str">
        <f t="shared" si="5"/>
        <v xml:space="preserve"> </v>
      </c>
      <c r="O45" s="684" t="s">
        <v>2049</v>
      </c>
      <c r="P45" s="561">
        <v>42179</v>
      </c>
      <c r="Q45" s="558" t="s">
        <v>382</v>
      </c>
      <c r="R45" s="556">
        <f>IF(ISERROR(VLOOKUP(B45,'Base de Datos'!$C$7:$N$4330,10,0))=TRUE," ",(VLOOKUP(B45,'Base de Datos'!$C$7:$N$4330,11,0)))</f>
        <v>42186</v>
      </c>
      <c r="S45" s="556">
        <f>IF(ISERROR(VLOOKUP(B45,'Base de Datos'!$C$7:$N$4330,11,0))=TRUE," ",(VLOOKUP(B45,'Base de Datos'!$C$7:$N$4330,12,0)))</f>
        <v>42370</v>
      </c>
      <c r="T45" s="538" t="str">
        <f ca="1">VLOOKUP(C45,'Base de Datos'!$E$7:$AR$382,39,0)</f>
        <v>SI</v>
      </c>
      <c r="U45" s="727"/>
      <c r="V45" s="639"/>
    </row>
    <row r="46" spans="2:22" outlineLevel="1" x14ac:dyDescent="0.25">
      <c r="B46" s="557">
        <v>321</v>
      </c>
      <c r="C46" s="728" t="s">
        <v>2069</v>
      </c>
      <c r="D46" s="728" t="s">
        <v>2068</v>
      </c>
      <c r="E46" s="559">
        <v>10800000</v>
      </c>
      <c r="F46" s="560" t="s">
        <v>390</v>
      </c>
      <c r="G46" s="560"/>
      <c r="H46" s="560"/>
      <c r="I46" s="560"/>
      <c r="J46" s="559">
        <v>10800000</v>
      </c>
      <c r="K46" s="609"/>
      <c r="L46" s="541" t="str">
        <f>IF(J46=$AA$1,E46, " ")</f>
        <v xml:space="preserve"> </v>
      </c>
      <c r="M46" s="559"/>
      <c r="N46" s="541" t="str">
        <f t="shared" si="5"/>
        <v xml:space="preserve"> </v>
      </c>
      <c r="O46" s="728" t="s">
        <v>2069</v>
      </c>
      <c r="P46" s="556">
        <v>42193</v>
      </c>
      <c r="Q46" s="558" t="s">
        <v>382</v>
      </c>
      <c r="R46" s="556">
        <v>42198</v>
      </c>
      <c r="S46" s="556">
        <v>42382</v>
      </c>
      <c r="T46" s="538" t="str">
        <f ca="1">VLOOKUP(C46,'Base de Datos'!$E$7:$AR$382,39,0)</f>
        <v>SI</v>
      </c>
      <c r="U46" s="727"/>
      <c r="V46" s="639"/>
    </row>
    <row r="47" spans="2:22" outlineLevel="1" x14ac:dyDescent="0.25">
      <c r="B47" s="557"/>
      <c r="C47" s="558"/>
      <c r="D47" s="558" t="s">
        <v>1938</v>
      </c>
      <c r="E47" s="559">
        <f>E37-SUM(E39:E46)</f>
        <v>0</v>
      </c>
      <c r="F47" s="560"/>
      <c r="G47" s="560"/>
      <c r="H47" s="560"/>
      <c r="I47" s="560"/>
      <c r="J47" s="541"/>
      <c r="K47" s="609"/>
      <c r="L47" s="559"/>
      <c r="M47" s="559"/>
      <c r="N47" s="559" t="str">
        <f t="shared" si="5"/>
        <v xml:space="preserve"> </v>
      </c>
      <c r="O47" s="684"/>
      <c r="P47" s="561"/>
      <c r="Q47" s="558"/>
      <c r="R47" s="561"/>
      <c r="S47" s="561"/>
      <c r="T47" s="538"/>
      <c r="U47" s="727"/>
      <c r="V47" s="639"/>
    </row>
    <row r="48" spans="2:22" outlineLevel="1" x14ac:dyDescent="0.25">
      <c r="B48" s="1120"/>
      <c r="C48" s="1120"/>
      <c r="D48" s="1120"/>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2" t="s">
        <v>1796</v>
      </c>
      <c r="C49" s="1122"/>
      <c r="D49" s="1122"/>
      <c r="E49" s="562">
        <v>9151221000</v>
      </c>
      <c r="F49" s="638"/>
      <c r="G49" s="563"/>
      <c r="H49" s="563"/>
      <c r="I49" s="563"/>
      <c r="J49" s="572">
        <f>J50+J90+J216</f>
        <v>8231818982</v>
      </c>
      <c r="K49" s="614">
        <f>J49/E49</f>
        <v>0.89953231180844606</v>
      </c>
      <c r="L49" s="572">
        <f>L50+L90+L216</f>
        <v>495243803</v>
      </c>
      <c r="M49" s="572">
        <f>M50+M90+M216</f>
        <v>101661594</v>
      </c>
      <c r="N49" s="572">
        <f>N50+N90+N216</f>
        <v>407361281</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1" t="s">
        <v>1650</v>
      </c>
      <c r="C50" s="1121"/>
      <c r="D50" s="1121"/>
      <c r="E50" s="544">
        <v>2089000000</v>
      </c>
      <c r="F50" s="636"/>
      <c r="G50" s="545"/>
      <c r="H50" s="545"/>
      <c r="I50" s="545"/>
      <c r="J50" s="636">
        <f>+J51+J75+J82</f>
        <v>1919048061</v>
      </c>
      <c r="K50" s="636"/>
      <c r="L50" s="636">
        <f>+L51+L75+L82</f>
        <v>103195345</v>
      </c>
      <c r="M50" s="636">
        <f>+M51+M75+M82</f>
        <v>101661594</v>
      </c>
      <c r="N50" s="636">
        <f>+N51+N75+N82</f>
        <v>66756594</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18" t="s">
        <v>1651</v>
      </c>
      <c r="C51" s="1118"/>
      <c r="D51" s="1118"/>
      <c r="E51" s="586">
        <v>1414000000</v>
      </c>
      <c r="F51" s="591">
        <f>COUNTIF('Actualizada - presupuesto'!$E$7:$E$111,B51)</f>
        <v>15</v>
      </c>
      <c r="G51" s="591"/>
      <c r="H51" s="591"/>
      <c r="I51" s="591"/>
      <c r="J51" s="586">
        <f>SUM(J54:J72)</f>
        <v>1223931061</v>
      </c>
      <c r="K51" s="608">
        <f>J51/E51</f>
        <v>0.86558066548797741</v>
      </c>
      <c r="L51" s="586">
        <f>SUM(L54:L72)</f>
        <v>103195345</v>
      </c>
      <c r="M51" s="590">
        <f>+E51-(J51+L51)</f>
        <v>86873594</v>
      </c>
      <c r="N51" s="586">
        <f>+E51-J51-L51</f>
        <v>86873594</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53</v>
      </c>
      <c r="C53" s="538" t="str">
        <f>IF(ISERROR(VLOOKUP(B53,'Base de Datos'!$C$7:$F$4345,2,0))=TRUE,"",(VLOOKUP('Presupuesto - PAA 2015'!B53,'Base de Datos'!$C$7:$F$4345,3,0)))</f>
        <v/>
      </c>
      <c r="D53" s="543" t="s">
        <v>2153</v>
      </c>
      <c r="E53" s="550" t="s">
        <v>2155</v>
      </c>
      <c r="F53" s="539"/>
      <c r="G53" s="539"/>
      <c r="H53" s="539"/>
      <c r="I53" s="539"/>
      <c r="J53" s="541" t="str">
        <f>IF(ISERROR(VLOOKUP(B53,'Base de Datos'!$C$7:$N$4345,6,0))=TRUE,"Sin Celebrar",(VLOOKUP(B53,'Base de Datos'!$C$7:$N$4345,7,0)))</f>
        <v>Sin Celebrar</v>
      </c>
      <c r="K53" s="657"/>
      <c r="L53" s="542"/>
      <c r="M53" s="542"/>
      <c r="N53" s="542"/>
      <c r="O53" s="724" t="str">
        <f>IF(ISERROR(VLOOKUP(B53,'Base de Datos'!$C$7:$K$1048576,7,0))=TRUE," ",(VLOOKUP(B53,'Base de Datos'!$C$7:$K$1048576,8,0)))</f>
        <v xml:space="preserve"> </v>
      </c>
      <c r="P53" s="556" t="str">
        <f>IF(ISERROR(VLOOKUP(B53,'Base de Datos'!$C$7:$N$4330,9,0))=TRUE," ",(VLOOKUP(B53,'Base de Datos'!$C$7:$N$4330,10,0)))</f>
        <v xml:space="preserve"> </v>
      </c>
      <c r="Q53" s="542"/>
      <c r="R53" s="556" t="str">
        <f>IF(ISERROR(VLOOKUP(B53,'Base de Datos'!$C$7:$N$4330,10,0))=TRUE," ",(VLOOKUP(B53,'Base de Datos'!$C$7:$N$4330,11,0)))</f>
        <v xml:space="preserve"> </v>
      </c>
      <c r="S53" s="556" t="str">
        <f>IF(ISERROR(VLOOKUP(B53,'Base de Datos'!$C$7:$N$4330,11,0))=TRUE," ",(VLOOKUP(B53,'Base de Datos'!$C$7:$N$4330,12,0)))</f>
        <v xml:space="preserve"> </v>
      </c>
      <c r="T53" s="538" t="s">
        <v>1995</v>
      </c>
      <c r="U53" s="727"/>
      <c r="V53" s="639"/>
    </row>
    <row r="54" spans="2:22" ht="12" customHeight="1" outlineLevel="1" x14ac:dyDescent="0.25">
      <c r="B54" s="542">
        <v>54</v>
      </c>
      <c r="C54" s="538" t="str">
        <f>IF(ISERROR(VLOOKUP(B54,'Base de Datos'!$C$7:$F$4345,2,0))=TRUE,"",(VLOOKUP('Presupuesto - PAA 2015'!B54,'Base de Datos'!$C$7:$F$4345,3,0)))</f>
        <v>150211-0-2015</v>
      </c>
      <c r="D54" s="538" t="str">
        <f>IF(ISERROR(VLOOKUP(B54,'Base de Datos'!$C$7:$F$4345,3,0))=TRUE,"",(VLOOKUP('Presupuesto - PAA 2015'!B54,'Base de Datos'!$C$7:$F$4345,4,0)))</f>
        <v>SEAN ELECTRONICA LIMITADA</v>
      </c>
      <c r="E54" s="541">
        <f>VLOOKUP(B54,'[5]Abr 24-2015'!$C$53:$AA$327,24,0)</f>
        <v>60000000</v>
      </c>
      <c r="F54" s="539" t="str">
        <f>VLOOKUP(B54,'Actualizada - presupuesto'!$D$7:$L$111,9,0)</f>
        <v>SI</v>
      </c>
      <c r="G54" s="539"/>
      <c r="H54" s="539"/>
      <c r="I54" s="539"/>
      <c r="J54" s="541">
        <f>IF(ISERROR(VLOOKUP(B54,'Base de Datos'!$C$7:$N$4345,6,0))=TRUE,"Sin Celebrar",(VLOOKUP(B54,'Base de Datos'!$C$7:$N$4345,7,0)))</f>
        <v>60000000</v>
      </c>
      <c r="K54" s="605"/>
      <c r="L54" s="541" t="str">
        <f t="shared" ref="L54:L67" si="6">IF(J54=$AA$1,E54, " ")</f>
        <v xml:space="preserve"> </v>
      </c>
      <c r="M54" s="541"/>
      <c r="N54" s="541" t="str">
        <f t="shared" ref="N54:N67" si="7">IF(J54&lt;E54,(E54-J54)," ")</f>
        <v xml:space="preserve"> </v>
      </c>
      <c r="O54" s="724" t="str">
        <f>IF(ISERROR(VLOOKUP(B54,'Base de Datos'!$C$7:$K$1048576,7,0))=TRUE," ",(VLOOKUP(B54,'Base de Datos'!$C$7:$K$1048576,8,0)))</f>
        <v>SDH-SIE-01-2015</v>
      </c>
      <c r="P54" s="556">
        <f>IF(ISERROR(VLOOKUP(B54,'Base de Datos'!$C$7:$N$4330,9,0))=TRUE," ",(VLOOKUP(B54,'Base de Datos'!$C$7:$N$4330,10,0)))</f>
        <v>42128</v>
      </c>
      <c r="Q54" s="538" t="s">
        <v>1854</v>
      </c>
      <c r="R54" s="556">
        <f>IF(ISERROR(VLOOKUP(B54,'Base de Datos'!$C$7:$N$4330,10,0))=TRUE," ",(VLOOKUP(B54,'Base de Datos'!$C$7:$N$4330,11,0)))</f>
        <v>42156</v>
      </c>
      <c r="S54" s="556">
        <f>IF(ISERROR(VLOOKUP(B54,'Base de Datos'!$C$7:$N$4330,11,0))=TRUE," ",(VLOOKUP(B54,'Base de Datos'!$C$7:$N$4330,12,0)))</f>
        <v>42522</v>
      </c>
      <c r="T54" s="538" t="str">
        <f ca="1">VLOOKUP(C54,'Base de Datos'!$E$7:$AR$382,39,0)</f>
        <v>SI</v>
      </c>
      <c r="U54" s="727"/>
      <c r="V54" s="639"/>
    </row>
    <row r="55" spans="2:22" ht="15" customHeight="1" outlineLevel="1" x14ac:dyDescent="0.25">
      <c r="B55" s="542">
        <v>55</v>
      </c>
      <c r="C55" s="538" t="str">
        <f>IF(ISERROR(VLOOKUP(B55,'Base de Datos'!$C$7:$F$4345,2,0))=TRUE,"",(VLOOKUP('Presupuesto - PAA 2015'!B55,'Base de Datos'!$C$7:$F$4345,3,0)))</f>
        <v>150189-0-2015</v>
      </c>
      <c r="D55" s="538" t="str">
        <f>IF(ISERROR(VLOOKUP(B55,'Base de Datos'!$C$7:$F$4345,3,0))=TRUE,"",(VLOOKUP('Presupuesto - PAA 2015'!B55,'Base de Datos'!$C$7:$F$4345,4,0)))</f>
        <v>UNIPLES S.A.</v>
      </c>
      <c r="E55" s="541">
        <v>10514762</v>
      </c>
      <c r="F55" s="539" t="str">
        <f>VLOOKUP(B55,'Actualizada - presupuesto'!$D$7:$L$111,9,0)</f>
        <v>SI</v>
      </c>
      <c r="G55" s="539"/>
      <c r="H55" s="539"/>
      <c r="I55" s="539"/>
      <c r="J55" s="541">
        <f>IF(ISERROR(VLOOKUP(B55,'Base de Datos'!$C$7:$N$4345,6,0))=TRUE,"Sin Celebrar",(VLOOKUP(B55,'Base de Datos'!$C$7:$N$4345,7,0)))</f>
        <v>10514762</v>
      </c>
      <c r="K55" s="605"/>
      <c r="L55" s="541" t="str">
        <f t="shared" si="6"/>
        <v xml:space="preserve"> </v>
      </c>
      <c r="M55" s="541"/>
      <c r="N55" s="541" t="str">
        <f t="shared" si="7"/>
        <v xml:space="preserve"> </v>
      </c>
      <c r="O55" s="724" t="str">
        <f>IF(ISERROR(VLOOKUP(B55,'Base de Datos'!$C$7:$K$1048576,7,0))=TRUE," ",(VLOOKUP(B55,'Base de Datos'!$C$7:$K$1048576,8,0)))</f>
        <v>SDH-SMINC-013-2015</v>
      </c>
      <c r="P55" s="556">
        <f>IF(ISERROR(VLOOKUP(B55,'Base de Datos'!$C$7:$N$4330,9,0))=TRUE," ",(VLOOKUP(B55,'Base de Datos'!$C$7:$N$4330,10,0)))</f>
        <v>42108</v>
      </c>
      <c r="Q55" s="538" t="s">
        <v>378</v>
      </c>
      <c r="R55" s="556">
        <f>IF(ISERROR(VLOOKUP(B55,'Base de Datos'!$C$7:$N$4330,10,0))=TRUE," ",(VLOOKUP(B55,'Base de Datos'!$C$7:$N$4330,11,0)))</f>
        <v>42117</v>
      </c>
      <c r="S55" s="556">
        <f>IF(ISERROR(VLOOKUP(B55,'Base de Datos'!$C$7:$N$4330,11,0))=TRUE," ",(VLOOKUP(B55,'Base de Datos'!$C$7:$N$4330,12,0)))</f>
        <v>42147</v>
      </c>
      <c r="T55" s="538" t="str">
        <f ca="1">VLOOKUP(C55,'Base de Datos'!$E$7:$AR$382,39,0)</f>
        <v>NO</v>
      </c>
      <c r="U55" s="727"/>
      <c r="V55" s="639"/>
    </row>
    <row r="56" spans="2:22" ht="15" customHeight="1" outlineLevel="1" x14ac:dyDescent="0.25">
      <c r="B56" s="542">
        <v>56</v>
      </c>
      <c r="C56" s="538" t="str">
        <f>IF(ISERROR(VLOOKUP(B56,'Base de Datos'!$C$7:$F$4345,2,0))=TRUE,"",(VLOOKUP('Presupuesto - PAA 2015'!B56,'Base de Datos'!$C$7:$F$4345,3,0)))</f>
        <v/>
      </c>
      <c r="D56" s="538" t="s">
        <v>2154</v>
      </c>
      <c r="E56" s="550" t="s">
        <v>2155</v>
      </c>
      <c r="F56" s="539"/>
      <c r="G56" s="539"/>
      <c r="H56" s="539"/>
      <c r="I56" s="539"/>
      <c r="J56" s="541" t="str">
        <f>IF(ISERROR(VLOOKUP(B56,'Base de Datos'!$C$7:$N$4345,6,0))=TRUE,"Sin Celebrar",(VLOOKUP(B56,'Base de Datos'!$C$7:$N$4345,7,0)))</f>
        <v>Sin Celebrar</v>
      </c>
      <c r="K56" s="605"/>
      <c r="L56" s="541"/>
      <c r="M56" s="541"/>
      <c r="N56" s="541"/>
      <c r="O56" s="724" t="str">
        <f>IF(ISERROR(VLOOKUP(B56,'Base de Datos'!$C$7:$K$1048576,7,0))=TRUE," ",(VLOOKUP(B56,'Base de Datos'!$C$7:$K$1048576,8,0)))</f>
        <v xml:space="preserve"> </v>
      </c>
      <c r="P56" s="556" t="str">
        <f>IF(ISERROR(VLOOKUP(B56,'Base de Datos'!$C$7:$N$4330,9,0))=TRUE," ",(VLOOKUP(B56,'Base de Datos'!$C$7:$N$4330,10,0)))</f>
        <v xml:space="preserve"> </v>
      </c>
      <c r="Q56" s="538"/>
      <c r="R56" s="556" t="str">
        <f>IF(ISERROR(VLOOKUP(B56,'Base de Datos'!$C$7:$N$4330,10,0))=TRUE," ",(VLOOKUP(B56,'Base de Datos'!$C$7:$N$4330,11,0)))</f>
        <v xml:space="preserve"> </v>
      </c>
      <c r="S56" s="556" t="str">
        <f>IF(ISERROR(VLOOKUP(B56,'Base de Datos'!$C$7:$N$4330,11,0))=TRUE," ",(VLOOKUP(B56,'Base de Datos'!$C$7:$N$4330,12,0)))</f>
        <v xml:space="preserve"> </v>
      </c>
      <c r="T56" s="538" t="s">
        <v>1995</v>
      </c>
      <c r="U56" s="727"/>
      <c r="V56" s="639"/>
    </row>
    <row r="57" spans="2:22" ht="15" customHeight="1" outlineLevel="1" x14ac:dyDescent="0.25">
      <c r="B57" s="542">
        <v>57</v>
      </c>
      <c r="C57" s="538" t="str">
        <f>IF(ISERROR(VLOOKUP(B57,'Base de Datos'!$C$7:$F$4345,2,0))=TRUE,"",(VLOOKUP('Presupuesto - PAA 2015'!B57,'Base de Datos'!$C$7:$F$4345,3,0)))</f>
        <v>150351-0-2015</v>
      </c>
      <c r="D57" s="538" t="str">
        <f>IF(ISERROR(VLOOKUP(B57,'Base de Datos'!$C$7:$F$4345,3,0))=TRUE,"",(VLOOKUP('Presupuesto - PAA 2015'!B57,'Base de Datos'!$C$7:$F$4345,4,0)))</f>
        <v>UNION TEMPORAL TECNOPROCESOS SAS NEGSA</v>
      </c>
      <c r="E57" s="541">
        <v>154954934</v>
      </c>
      <c r="F57" s="539">
        <f>VLOOKUP(B57,'Actualizada - presupuesto'!$D$7:$L$111,9,0)</f>
        <v>0</v>
      </c>
      <c r="G57" s="539"/>
      <c r="H57" s="539"/>
      <c r="I57" s="539"/>
      <c r="J57" s="541">
        <f>IF(ISERROR(VLOOKUP(B57,'Base de Datos'!$C$7:$N$4345,6,0))=TRUE,"Sin Celebrar",(VLOOKUP(B57,'Base de Datos'!$C$7:$N$4345,7,0)))</f>
        <v>154954934</v>
      </c>
      <c r="K57" s="605"/>
      <c r="L57" s="541" t="str">
        <f t="shared" si="6"/>
        <v xml:space="preserve"> </v>
      </c>
      <c r="M57" s="541"/>
      <c r="N57" s="541" t="str">
        <f t="shared" si="7"/>
        <v xml:space="preserve"> </v>
      </c>
      <c r="O57" s="724" t="str">
        <f>IF(ISERROR(VLOOKUP(B57,'Base de Datos'!$C$7:$K$1048576,7,0))=TRUE," ",(VLOOKUP(B57,'Base de Datos'!$C$7:$K$1048576,8,0)))</f>
        <v>SDH-SIE-10-2015</v>
      </c>
      <c r="P57" s="556">
        <f>IF(ISERROR(VLOOKUP(B57,'Base de Datos'!$C$7:$N$4330,9,0))=TRUE," ",(VLOOKUP(B57,'Base de Datos'!$C$7:$N$4330,10,0)))</f>
        <v>42258</v>
      </c>
      <c r="Q57" s="538" t="s">
        <v>1854</v>
      </c>
      <c r="R57" s="556">
        <f>IF(ISERROR(VLOOKUP(B57,'Base de Datos'!$C$7:$N$4330,10,0))=TRUE," ",(VLOOKUP(B57,'Base de Datos'!$C$7:$N$4330,11,0)))</f>
        <v>42293</v>
      </c>
      <c r="S57" s="556">
        <f>IF(ISERROR(VLOOKUP(B57,'Base de Datos'!$C$7:$N$4330,11,0))=TRUE," ",(VLOOKUP(B57,'Base de Datos'!$C$7:$N$4330,12,0)))</f>
        <v>42659</v>
      </c>
      <c r="T57" s="538" t="str">
        <f ca="1">VLOOKUP(C57,'Base de Datos'!$E$7:$AR$382,39,0)</f>
        <v>SI</v>
      </c>
      <c r="U57" s="727"/>
      <c r="V57" s="639"/>
    </row>
    <row r="58" spans="2:22" ht="15" customHeight="1" outlineLevel="1" x14ac:dyDescent="0.25">
      <c r="B58" s="542">
        <v>58</v>
      </c>
      <c r="C58" s="538" t="str">
        <f>IF(ISERROR(VLOOKUP(B58,'Base de Datos'!$C$7:$F$4345,2,0))=TRUE,"",(VLOOKUP('Presupuesto - PAA 2015'!B58,'Base de Datos'!$C$7:$F$4345,3,0)))</f>
        <v>150312-0-2015</v>
      </c>
      <c r="D58" s="538" t="str">
        <f>IF(ISERROR(VLOOKUP(B58,'Base de Datos'!$C$7:$F$4345,3,0))=TRUE,"",(VLOOKUP('Presupuesto - PAA 2015'!B58,'Base de Datos'!$C$7:$F$4345,4,0)))</f>
        <v xml:space="preserve">SIIGO S.A </v>
      </c>
      <c r="E58" s="541">
        <v>450880</v>
      </c>
      <c r="F58" s="539" t="str">
        <f>VLOOKUP(B58,'Actualizada - presupuesto'!$D$7:$L$111,9,0)</f>
        <v>SI</v>
      </c>
      <c r="G58" s="539"/>
      <c r="H58" s="539"/>
      <c r="I58" s="539"/>
      <c r="J58" s="541">
        <f>IF(ISERROR(VLOOKUP(B58,'Base de Datos'!$C$7:$N$4345,6,0))=TRUE,"Sin Celebrar",(VLOOKUP(B58,'Base de Datos'!$C$7:$N$4345,7,0)))</f>
        <v>450880</v>
      </c>
      <c r="K58" s="605"/>
      <c r="L58" s="541" t="str">
        <f t="shared" si="6"/>
        <v xml:space="preserve"> </v>
      </c>
      <c r="M58" s="541"/>
      <c r="N58" s="541" t="str">
        <f t="shared" si="7"/>
        <v xml:space="preserve"> </v>
      </c>
      <c r="O58" s="724" t="str">
        <f>IF(ISERROR(VLOOKUP(B58,'Base de Datos'!$C$7:$K$1048576,7,0))=TRUE," ",(VLOOKUP(B58,'Base de Datos'!$C$7:$K$1048576,8,0)))</f>
        <v>150312-0-2015</v>
      </c>
      <c r="P58" s="556">
        <f>IF(ISERROR(VLOOKUP(B58,'Base de Datos'!$C$7:$N$4330,9,0))=TRUE," ",(VLOOKUP(B58,'Base de Datos'!$C$7:$N$4330,10,0)))</f>
        <v>42194</v>
      </c>
      <c r="Q58" s="538" t="s">
        <v>1854</v>
      </c>
      <c r="R58" s="556">
        <f>IF(ISERROR(VLOOKUP(B58,'Base de Datos'!$C$7:$N$4330,10,0))=TRUE," ",(VLOOKUP(B58,'Base de Datos'!$C$7:$N$4330,11,0)))</f>
        <v>42219</v>
      </c>
      <c r="S58" s="556">
        <f>IF(ISERROR(VLOOKUP(B58,'Base de Datos'!$C$7:$N$4330,11,0))=TRUE," ",(VLOOKUP(B58,'Base de Datos'!$C$7:$N$4330,12,0)))</f>
        <v>42311</v>
      </c>
      <c r="T58" s="538" t="str">
        <f ca="1">VLOOKUP(C58,'Base de Datos'!$E$7:$AR$382,39,0)</f>
        <v>SI</v>
      </c>
      <c r="U58" s="727"/>
      <c r="V58" s="639"/>
    </row>
    <row r="59" spans="2:22" ht="15" customHeight="1" outlineLevel="1" x14ac:dyDescent="0.25">
      <c r="B59" s="542">
        <v>59</v>
      </c>
      <c r="C59" s="538" t="str">
        <f>IF(ISERROR(VLOOKUP(B59,'Base de Datos'!$C$7:$F$4345,2,0))=TRUE,"",(VLOOKUP('Presupuesto - PAA 2015'!B59,'Base de Datos'!$C$7:$F$4345,3,0)))</f>
        <v>150322-0-2015</v>
      </c>
      <c r="D59" s="538" t="str">
        <f>IF(ISERROR(VLOOKUP(B59,'Base de Datos'!$C$7:$F$4345,3,0))=TRUE,"",(VLOOKUP('Presupuesto - PAA 2015'!B59,'Base de Datos'!$C$7:$F$4345,4,0)))</f>
        <v>GREEN TIC S.A.S.</v>
      </c>
      <c r="E59" s="541">
        <v>20136071</v>
      </c>
      <c r="F59" s="539" t="str">
        <f>VLOOKUP(B59,'Actualizada - presupuesto'!$D$7:$L$111,9,0)</f>
        <v>SI</v>
      </c>
      <c r="G59" s="539"/>
      <c r="H59" s="539"/>
      <c r="I59" s="539"/>
      <c r="J59" s="541">
        <f>IF(ISERROR(VLOOKUP(B59,'Base de Datos'!$C$7:$N$4345,6,0))=TRUE,"Sin Celebrar",(VLOOKUP(B59,'Base de Datos'!$C$7:$N$4345,7,0)))</f>
        <v>20136071</v>
      </c>
      <c r="K59" s="605"/>
      <c r="L59" s="541" t="str">
        <f t="shared" si="6"/>
        <v xml:space="preserve"> </v>
      </c>
      <c r="M59" s="541"/>
      <c r="N59" s="541" t="str">
        <f t="shared" si="7"/>
        <v xml:space="preserve"> </v>
      </c>
      <c r="O59" s="724" t="str">
        <f>IF(ISERROR(VLOOKUP(B59,'Base de Datos'!$C$7:$K$1048576,7,0))=TRUE," ",(VLOOKUP(B59,'Base de Datos'!$C$7:$K$1048576,8,0)))</f>
        <v>SDH-SMINC-044-2015</v>
      </c>
      <c r="P59" s="556">
        <f>IF(ISERROR(VLOOKUP(B59,'Base de Datos'!$C$7:$N$4330,9,0))=TRUE," ",(VLOOKUP(B59,'Base de Datos'!$C$7:$N$4330,10,0)))</f>
        <v>42209</v>
      </c>
      <c r="Q59" s="538" t="s">
        <v>1854</v>
      </c>
      <c r="R59" s="556">
        <f>IF(ISERROR(VLOOKUP(B59,'Base de Datos'!$C$7:$N$4330,10,0))=TRUE," ",(VLOOKUP(B59,'Base de Datos'!$C$7:$N$4330,11,0)))</f>
        <v>42221</v>
      </c>
      <c r="S59" s="556">
        <f>IF(ISERROR(VLOOKUP(B59,'Base de Datos'!$C$7:$N$4330,11,0))=TRUE," ",(VLOOKUP(B59,'Base de Datos'!$C$7:$N$4330,12,0)))</f>
        <v>42587</v>
      </c>
      <c r="T59" s="538" t="str">
        <f ca="1">VLOOKUP(C59,'Base de Datos'!$E$7:$AR$382,39,0)</f>
        <v>SI</v>
      </c>
      <c r="U59" s="727"/>
      <c r="V59" s="639"/>
    </row>
    <row r="60" spans="2:22" ht="15" customHeight="1" outlineLevel="1" x14ac:dyDescent="0.25">
      <c r="B60" s="542">
        <v>60</v>
      </c>
      <c r="C60" s="538" t="str">
        <f>IF(ISERROR(VLOOKUP(B60,'Base de Datos'!$C$7:$F$4345,2,0))=TRUE,"",(VLOOKUP('Presupuesto - PAA 2015'!B60,'Base de Datos'!$C$7:$F$4345,3,0)))</f>
        <v>150314-0-2015</v>
      </c>
      <c r="D60" s="538" t="str">
        <f>IF(ISERROR(VLOOKUP(B60,'Base de Datos'!$C$7:$F$4345,3,0))=TRUE,"",(VLOOKUP('Presupuesto - PAA 2015'!B60,'Base de Datos'!$C$7:$F$4345,4,0)))</f>
        <v>INGEAL S.A.</v>
      </c>
      <c r="E60" s="541">
        <v>85933385</v>
      </c>
      <c r="F60" s="539" t="str">
        <f>VLOOKUP(B60,'Actualizada - presupuesto'!$D$7:$L$111,9,0)</f>
        <v>SI</v>
      </c>
      <c r="G60" s="539"/>
      <c r="H60" s="539"/>
      <c r="I60" s="539"/>
      <c r="J60" s="541">
        <f>IF(ISERROR(VLOOKUP(B60,'Base de Datos'!$C$7:$N$4345,6,0))=TRUE,"Sin Celebrar",(VLOOKUP(B60,'Base de Datos'!$C$7:$N$4345,7,0)))</f>
        <v>85933385</v>
      </c>
      <c r="K60" s="605"/>
      <c r="L60" s="541" t="str">
        <f t="shared" si="6"/>
        <v xml:space="preserve"> </v>
      </c>
      <c r="M60" s="541"/>
      <c r="N60" s="541" t="str">
        <f t="shared" si="7"/>
        <v xml:space="preserve"> </v>
      </c>
      <c r="O60" s="724" t="str">
        <f>IF(ISERROR(VLOOKUP(B60,'Base de Datos'!$C$7:$K$1048576,7,0))=TRUE," ",(VLOOKUP(B60,'Base de Datos'!$C$7:$K$1048576,8,0)))</f>
        <v>SDH-SIE-08-2015</v>
      </c>
      <c r="P60" s="556">
        <f>IF(ISERROR(VLOOKUP(B60,'Base de Datos'!$C$7:$N$4330,9,0))=TRUE," ",(VLOOKUP(B60,'Base de Datos'!$C$7:$N$4330,10,0)))</f>
        <v>42200</v>
      </c>
      <c r="Q60" s="538" t="s">
        <v>1854</v>
      </c>
      <c r="R60" s="556">
        <f>IF(ISERROR(VLOOKUP(B60,'Base de Datos'!$C$7:$N$4330,10,0))=TRUE," ",(VLOOKUP(B60,'Base de Datos'!$C$7:$N$4330,11,0)))</f>
        <v>42209</v>
      </c>
      <c r="S60" s="556">
        <f>IF(ISERROR(VLOOKUP(B60,'Base de Datos'!$C$7:$N$4330,11,0))=TRUE," ",(VLOOKUP(B60,'Base de Datos'!$C$7:$N$4330,12,0)))</f>
        <v>42575</v>
      </c>
      <c r="T60" s="538" t="str">
        <f ca="1">VLOOKUP(C60,'Base de Datos'!$E$7:$AR$382,39,0)</f>
        <v>SI</v>
      </c>
      <c r="U60" s="727"/>
      <c r="V60" s="639"/>
    </row>
    <row r="61" spans="2:22" ht="15" customHeight="1" outlineLevel="1" x14ac:dyDescent="0.25">
      <c r="B61" s="542">
        <v>61</v>
      </c>
      <c r="C61" s="538" t="str">
        <f>IF(ISERROR(VLOOKUP(B61,'Base de Datos'!$C$7:$F$4345,2,0))=TRUE,"",(VLOOKUP('Presupuesto - PAA 2015'!B61,'Base de Datos'!$C$7:$F$4345,3,0)))</f>
        <v/>
      </c>
      <c r="D61" s="543" t="s">
        <v>1828</v>
      </c>
      <c r="E61" s="541">
        <f>VLOOKUP(B61,'[5]Abr 24-2015'!$C$53:$AA$327,24,0)</f>
        <v>40610000</v>
      </c>
      <c r="F61" s="539">
        <f>VLOOKUP(B61,'Actualizada - presupuesto'!$D$7:$L$111,9,0)</f>
        <v>0</v>
      </c>
      <c r="G61" s="539"/>
      <c r="H61" s="539"/>
      <c r="I61" s="539"/>
      <c r="J61" s="541" t="str">
        <f>IF(ISERROR(VLOOKUP(B61,'Base de Datos'!$C$7:$N$4345,6,0))=TRUE,"Sin Celebrar",(VLOOKUP(B61,'Base de Datos'!$C$7:$N$4345,7,0)))</f>
        <v>Sin Celebrar</v>
      </c>
      <c r="K61" s="605"/>
      <c r="L61" s="541">
        <f t="shared" si="6"/>
        <v>40610000</v>
      </c>
      <c r="M61" s="541"/>
      <c r="N61" s="541" t="str">
        <f t="shared" si="7"/>
        <v xml:space="preserve"> </v>
      </c>
      <c r="O61" s="724" t="str">
        <f>IF(ISERROR(VLOOKUP(B61,'Base de Datos'!$C$7:$K$1048576,7,0))=TRUE," ",(VLOOKUP(B61,'Base de Datos'!$C$7:$K$1048576,8,0)))</f>
        <v xml:space="preserve"> </v>
      </c>
      <c r="P61" s="556" t="str">
        <f>IF(ISERROR(VLOOKUP(B61,'Base de Datos'!$C$7:$N$4330,9,0))=TRUE," ",(VLOOKUP(B61,'Base de Datos'!$C$7:$N$4330,10,0)))</f>
        <v xml:space="preserve"> </v>
      </c>
      <c r="Q61" s="538" t="s">
        <v>544</v>
      </c>
      <c r="R61" s="556" t="str">
        <f>IF(ISERROR(VLOOKUP(B61,'Base de Datos'!$C$7:$N$4330,10,0))=TRUE," ",(VLOOKUP(B61,'Base de Datos'!$C$7:$N$4330,11,0)))</f>
        <v xml:space="preserve"> </v>
      </c>
      <c r="S61" s="556" t="str">
        <f>IF(ISERROR(VLOOKUP(B61,'Base de Datos'!$C$7:$N$4330,11,0))=TRUE," ",(VLOOKUP(B61,'Base de Datos'!$C$7:$N$4330,12,0)))</f>
        <v xml:space="preserve"> </v>
      </c>
      <c r="T61" s="538" t="s">
        <v>1995</v>
      </c>
      <c r="U61" s="727"/>
      <c r="V61" s="639"/>
    </row>
    <row r="62" spans="2:22" ht="15" customHeight="1" outlineLevel="1" x14ac:dyDescent="0.25">
      <c r="B62" s="542">
        <v>62</v>
      </c>
      <c r="C62" s="538" t="str">
        <f>IF(ISERROR(VLOOKUP(B62,'Base de Datos'!$C$7:$F$4345,2,0))=TRUE,"",(VLOOKUP('Presupuesto - PAA 2015'!B62,'Base de Datos'!$C$7:$F$4345,3,0)))</f>
        <v>150405-0-2015</v>
      </c>
      <c r="D62" s="538" t="str">
        <f>IF(ISERROR(VLOOKUP(B62,'Base de Datos'!$C$7:$F$4345,3,0))=TRUE,"",(VLOOKUP('Presupuesto - PAA 2015'!B62,'Base de Datos'!$C$7:$F$4345,4,0)))</f>
        <v>PROSEGUR TECNOLOGIA S.A.S</v>
      </c>
      <c r="E62" s="541">
        <v>194667840</v>
      </c>
      <c r="F62" s="539" t="str">
        <f>VLOOKUP(B62,'Actualizada - presupuesto'!$D$7:$L$111,9,0)</f>
        <v>SI</v>
      </c>
      <c r="G62" s="539"/>
      <c r="H62" s="539"/>
      <c r="I62" s="539"/>
      <c r="J62" s="541">
        <f>IF(ISERROR(VLOOKUP(B62,'Base de Datos'!$C$7:$N$4345,6,0))=TRUE,"Sin Celebrar",(VLOOKUP(B62,'Base de Datos'!$C$7:$N$4345,7,0)))</f>
        <v>64250000</v>
      </c>
      <c r="K62" s="605"/>
      <c r="L62" s="541" t="str">
        <f t="shared" si="6"/>
        <v xml:space="preserve"> </v>
      </c>
      <c r="M62" s="541"/>
      <c r="N62" s="541">
        <f t="shared" si="7"/>
        <v>130417840</v>
      </c>
      <c r="O62" s="724" t="str">
        <f>IF(ISERROR(VLOOKUP(B62,'Base de Datos'!$C$7:$K$1048576,7,0))=TRUE," ",(VLOOKUP(B62,'Base de Datos'!$C$7:$K$1048576,8,0)))</f>
        <v>SDH-SMINC-067-2015</v>
      </c>
      <c r="P62" s="556">
        <f>IF(ISERROR(VLOOKUP(B62,'Base de Datos'!$C$7:$N$4330,9,0))=TRUE," ",(VLOOKUP(B62,'Base de Datos'!$C$7:$N$4330,10,0)))</f>
        <v>42359</v>
      </c>
      <c r="Q62" s="538" t="s">
        <v>1857</v>
      </c>
      <c r="R62" s="556">
        <f>IF(ISERROR(VLOOKUP(B62,'Base de Datos'!$C$7:$N$4330,10,0))=TRUE," ",(VLOOKUP(B62,'Base de Datos'!$C$7:$N$4330,11,0)))</f>
        <v>42384</v>
      </c>
      <c r="S62" s="556">
        <f>IF(ISERROR(VLOOKUP(B62,'Base de Datos'!$C$7:$N$4330,11,0))=TRUE," ",(VLOOKUP(B62,'Base de Datos'!$C$7:$N$4330,12,0)))</f>
        <v>42505</v>
      </c>
      <c r="T62" s="538" t="s">
        <v>1995</v>
      </c>
      <c r="U62" s="727"/>
      <c r="V62" s="639"/>
    </row>
    <row r="63" spans="2:22" ht="15" customHeight="1" outlineLevel="1" x14ac:dyDescent="0.25">
      <c r="B63" s="542">
        <v>63</v>
      </c>
      <c r="C63" s="538" t="str">
        <f>IF(ISERROR(VLOOKUP(B63,'Base de Datos'!$C$7:$F$4345,2,0))=TRUE,"",(VLOOKUP('Presupuesto - PAA 2015'!B63,'Base de Datos'!$C$7:$F$4345,3,0)))</f>
        <v>150249-0-2015</v>
      </c>
      <c r="D63" s="538" t="str">
        <f>IF(ISERROR(VLOOKUP(B63,'Base de Datos'!$C$7:$F$4345,3,0))=TRUE,"",(VLOOKUP('Presupuesto - PAA 2015'!B63,'Base de Datos'!$C$7:$F$4345,4,0)))</f>
        <v>BRANCH OF MICROSOFT COLOMBIA INC</v>
      </c>
      <c r="E63" s="541">
        <v>213397762</v>
      </c>
      <c r="F63" s="539" t="str">
        <f>VLOOKUP(B63,'Actualizada - presupuesto'!$D$7:$L$111,9,0)</f>
        <v>SI</v>
      </c>
      <c r="G63" s="539"/>
      <c r="H63" s="539"/>
      <c r="I63" s="539"/>
      <c r="J63" s="541">
        <f>IF(ISERROR(VLOOKUP(B63,'Base de Datos'!$C$7:$N$4345,6,0))=TRUE,"Sin Celebrar",(VLOOKUP(B63,'Base de Datos'!$C$7:$N$4345,7,0)))</f>
        <v>213397762</v>
      </c>
      <c r="K63" s="605"/>
      <c r="L63" s="541" t="str">
        <f t="shared" si="6"/>
        <v xml:space="preserve"> </v>
      </c>
      <c r="M63" s="541"/>
      <c r="N63" s="541" t="str">
        <f t="shared" si="7"/>
        <v xml:space="preserve"> </v>
      </c>
      <c r="O63" s="724" t="str">
        <f>IF(ISERROR(VLOOKUP(B63,'Base de Datos'!$C$7:$K$1048576,7,0))=TRUE," ",(VLOOKUP(B63,'Base de Datos'!$C$7:$K$1048576,8,0)))</f>
        <v>150249-0-2015</v>
      </c>
      <c r="P63" s="556">
        <f>IF(ISERROR(VLOOKUP(B63,'Base de Datos'!$C$7:$N$4330,9,0))=TRUE," ",(VLOOKUP(B63,'Base de Datos'!$C$7:$N$4330,10,0)))</f>
        <v>42165</v>
      </c>
      <c r="Q63" s="538" t="s">
        <v>1854</v>
      </c>
      <c r="R63" s="556">
        <f>IF(ISERROR(VLOOKUP(B63,'Base de Datos'!$C$7:$N$4330,10,0))=TRUE," ",(VLOOKUP(B63,'Base de Datos'!$C$7:$N$4330,11,0)))</f>
        <v>42181</v>
      </c>
      <c r="S63" s="556">
        <f>IF(ISERROR(VLOOKUP(B63,'Base de Datos'!$C$7:$N$4330,11,0))=TRUE," ",(VLOOKUP(B63,'Base de Datos'!$C$7:$N$4330,12,0)))</f>
        <v>42537</v>
      </c>
      <c r="T63" s="538" t="str">
        <f ca="1">VLOOKUP(C63,'Base de Datos'!$E$7:$AR$382,39,0)</f>
        <v>SI</v>
      </c>
      <c r="U63" s="727"/>
      <c r="V63" s="639"/>
    </row>
    <row r="64" spans="2:22" ht="15" customHeight="1" outlineLevel="1" x14ac:dyDescent="0.25">
      <c r="B64" s="542">
        <v>64</v>
      </c>
      <c r="C64" s="538" t="str">
        <f>IF(ISERROR(VLOOKUP(B64,'Base de Datos'!$C$7:$F$4345,2,0))=TRUE,"",(VLOOKUP('Presupuesto - PAA 2015'!B64,'Base de Datos'!$C$7:$F$4345,3,0)))</f>
        <v/>
      </c>
      <c r="D64" s="543" t="s">
        <v>1829</v>
      </c>
      <c r="E64" s="541">
        <f>VLOOKUP(B64,'[5]Abr 24-2015'!$C$53:$AA$327,24,0)</f>
        <v>8300000</v>
      </c>
      <c r="F64" s="539">
        <f>VLOOKUP(B64,'Actualizada - presupuesto'!$D$7:$L$111,9,0)</f>
        <v>0</v>
      </c>
      <c r="G64" s="539"/>
      <c r="H64" s="539"/>
      <c r="I64" s="539"/>
      <c r="J64" s="541" t="str">
        <f>IF(ISERROR(VLOOKUP(B64,'Base de Datos'!$C$7:$N$4345,6,0))=TRUE,"Sin Celebrar",(VLOOKUP(B64,'Base de Datos'!$C$7:$N$4345,7,0)))</f>
        <v>Sin Celebrar</v>
      </c>
      <c r="K64" s="605"/>
      <c r="L64" s="541">
        <f t="shared" si="6"/>
        <v>8300000</v>
      </c>
      <c r="M64" s="541"/>
      <c r="N64" s="541" t="str">
        <f t="shared" si="7"/>
        <v xml:space="preserve"> </v>
      </c>
      <c r="O64" s="724" t="str">
        <f>IF(ISERROR(VLOOKUP(B64,'Base de Datos'!$C$7:$K$1048576,7,0))=TRUE," ",(VLOOKUP(B64,'Base de Datos'!$C$7:$K$1048576,8,0)))</f>
        <v xml:space="preserve"> </v>
      </c>
      <c r="P64" s="556" t="str">
        <f>IF(ISERROR(VLOOKUP(B64,'Base de Datos'!$C$7:$N$4330,9,0))=TRUE," ",(VLOOKUP(B64,'Base de Datos'!$C$7:$N$4330,10,0)))</f>
        <v xml:space="preserve"> </v>
      </c>
      <c r="Q64" s="538" t="s">
        <v>544</v>
      </c>
      <c r="R64" s="556" t="str">
        <f>IF(ISERROR(VLOOKUP(B64,'Base de Datos'!$C$7:$N$4330,10,0))=TRUE," ",(VLOOKUP(B64,'Base de Datos'!$C$7:$N$4330,11,0)))</f>
        <v xml:space="preserve"> </v>
      </c>
      <c r="S64" s="556" t="str">
        <f>IF(ISERROR(VLOOKUP(B64,'Base de Datos'!$C$7:$N$4330,11,0))=TRUE," ",(VLOOKUP(B64,'Base de Datos'!$C$7:$N$4330,12,0)))</f>
        <v xml:space="preserve"> </v>
      </c>
      <c r="T64" s="538" t="e">
        <f>VLOOKUP(C64,'Base de Datos'!$E$7:$AR$382,39,0)</f>
        <v>#N/A</v>
      </c>
      <c r="U64" s="727"/>
      <c r="V64" s="639"/>
    </row>
    <row r="65" spans="2:22" ht="15" customHeight="1" outlineLevel="1" x14ac:dyDescent="0.25">
      <c r="B65" s="542">
        <v>65</v>
      </c>
      <c r="C65" s="538" t="s">
        <v>1159</v>
      </c>
      <c r="D65" s="543" t="s">
        <v>2381</v>
      </c>
      <c r="E65" s="541">
        <f>VLOOKUP(B65,'[5]Abr 24-2015'!$C$53:$AA$327,24,0)</f>
        <v>22500000</v>
      </c>
      <c r="F65" s="539">
        <f>VLOOKUP(B65,'Actualizada - presupuesto'!$D$7:$L$111,9,0)</f>
        <v>0</v>
      </c>
      <c r="G65" s="539"/>
      <c r="H65" s="539"/>
      <c r="I65" s="539"/>
      <c r="J65" s="541">
        <v>22272000</v>
      </c>
      <c r="K65" s="605"/>
      <c r="L65" s="541" t="str">
        <f t="shared" si="6"/>
        <v xml:space="preserve"> </v>
      </c>
      <c r="M65" s="541"/>
      <c r="N65" s="541">
        <f t="shared" si="7"/>
        <v>228000</v>
      </c>
      <c r="O65" s="724" t="str">
        <f>IF(ISERROR(VLOOKUP(B65,'Base de Datos'!$C$7:$K$1048576,7,0))=TRUE," ",(VLOOKUP(B65,'Base de Datos'!$C$7:$K$1048576,8,0)))</f>
        <v xml:space="preserve"> </v>
      </c>
      <c r="P65" s="556" t="str">
        <f>IF(ISERROR(VLOOKUP(B65,'Base de Datos'!$C$7:$N$4330,9,0))=TRUE," ",(VLOOKUP(B65,'Base de Datos'!$C$7:$N$4330,10,0)))</f>
        <v xml:space="preserve"> </v>
      </c>
      <c r="Q65" s="538" t="s">
        <v>382</v>
      </c>
      <c r="R65" s="556" t="str">
        <f>IF(ISERROR(VLOOKUP(B65,'Base de Datos'!$C$7:$N$4330,10,0))=TRUE," ",(VLOOKUP(B65,'Base de Datos'!$C$7:$N$4330,11,0)))</f>
        <v xml:space="preserve"> </v>
      </c>
      <c r="S65" s="556" t="str">
        <f>IF(ISERROR(VLOOKUP(B65,'Base de Datos'!$C$7:$N$4330,11,0))=TRUE," ",(VLOOKUP(B65,'Base de Datos'!$C$7:$N$4330,12,0)))</f>
        <v xml:space="preserve"> </v>
      </c>
      <c r="T65" s="538" t="s">
        <v>1995</v>
      </c>
      <c r="U65" s="727"/>
      <c r="V65" s="639"/>
    </row>
    <row r="66" spans="2:22" ht="19.5" customHeight="1" outlineLevel="1" x14ac:dyDescent="0.25">
      <c r="B66" s="542">
        <v>277</v>
      </c>
      <c r="C66" s="538" t="str">
        <f>IF(ISERROR(VLOOKUP(B66,'Base de Datos'!$C$7:$F$4345,2,0))=TRUE,"",(VLOOKUP('Presupuesto - PAA 2015'!B66,'Base de Datos'!$C$7:$F$4345,3,0)))</f>
        <v>150200-0-2015</v>
      </c>
      <c r="D66" s="538" t="str">
        <f>IF(ISERROR(VLOOKUP(B66,'Base de Datos'!$C$7:$F$4345,3,0))=TRUE,"",(VLOOKUP('Presupuesto - PAA 2015'!B66,'Base de Datos'!$C$7:$F$4345,4,0)))</f>
        <v>INGELECTRO SAS</v>
      </c>
      <c r="E66" s="541">
        <v>12975945</v>
      </c>
      <c r="F66" s="539" t="str">
        <f>VLOOKUP(B66,'Actualizada - presupuesto'!$D$7:$L$111,9,0)</f>
        <v>SI</v>
      </c>
      <c r="G66" s="539"/>
      <c r="H66" s="539"/>
      <c r="I66" s="539"/>
      <c r="J66" s="541">
        <f>IF(ISERROR(VLOOKUP(B66,'Base de Datos'!$C$7:$N$4345,6,0))=TRUE,"Sin Celebrar",(VLOOKUP(B66,'Base de Datos'!$C$7:$N$4345,7,0)))</f>
        <v>12975945</v>
      </c>
      <c r="K66" s="605"/>
      <c r="L66" s="541" t="str">
        <f t="shared" si="6"/>
        <v xml:space="preserve"> </v>
      </c>
      <c r="M66" s="541"/>
      <c r="N66" s="541" t="str">
        <f t="shared" si="7"/>
        <v xml:space="preserve"> </v>
      </c>
      <c r="O66" s="724" t="str">
        <f>IF(ISERROR(VLOOKUP(B66,'Base de Datos'!$C$7:$K$1048576,7,0))=TRUE," ",(VLOOKUP(B66,'Base de Datos'!$C$7:$K$1048576,8,0)))</f>
        <v>SDH-SMINC-017-2015</v>
      </c>
      <c r="P66" s="556">
        <f>IF(ISERROR(VLOOKUP(B66,'Base de Datos'!$C$7:$N$4330,9,0))=TRUE," ",(VLOOKUP(B66,'Base de Datos'!$C$7:$N$4330,10,0)))</f>
        <v>42117</v>
      </c>
      <c r="Q66" s="538" t="s">
        <v>380</v>
      </c>
      <c r="R66" s="556">
        <f>IF(ISERROR(VLOOKUP(B66,'Base de Datos'!$C$7:$N$4330,10,0))=TRUE," ",(VLOOKUP(B66,'Base de Datos'!$C$7:$N$4330,11,0)))</f>
        <v>42135</v>
      </c>
      <c r="S66" s="556">
        <f>IF(ISERROR(VLOOKUP(B66,'Base de Datos'!$C$7:$N$4330,11,0))=TRUE," ",(VLOOKUP(B66,'Base de Datos'!$C$7:$N$4330,12,0)))</f>
        <v>42258</v>
      </c>
      <c r="T66" s="538" t="str">
        <f ca="1">VLOOKUP(C66,'Base de Datos'!$E$7:$AR$382,39,0)</f>
        <v>SI</v>
      </c>
      <c r="U66" s="727"/>
      <c r="V66" s="639"/>
    </row>
    <row r="67" spans="2:22" ht="15" customHeight="1" outlineLevel="1" x14ac:dyDescent="0.25">
      <c r="B67" s="776">
        <v>282</v>
      </c>
      <c r="C67" s="538" t="str">
        <f>IF(ISERROR(VLOOKUP(B67,'Base de Datos'!$C$7:$F$4345,2,0))=TRUE,"",(VLOOKUP('Presupuesto - PAA 2015'!B67,'Base de Datos'!$C$7:$F$4345,3,0)))</f>
        <v>150344-0-2015</v>
      </c>
      <c r="D67" s="538" t="str">
        <f>IF(ISERROR(VLOOKUP(B67,'Base de Datos'!$C$7:$F$4345,3,0))=TRUE,"",(VLOOKUP('Presupuesto - PAA 2015'!B67,'Base de Datos'!$C$7:$F$4345,4,0)))</f>
        <v>UNION TEMPORAL NEWNET - SUMIMAS</v>
      </c>
      <c r="E67" s="758">
        <v>436000000</v>
      </c>
      <c r="F67" s="539" t="str">
        <f>VLOOKUP(B67,'Actualizada - presupuesto'!$D$7:$L$111,9,0)</f>
        <v>SI</v>
      </c>
      <c r="G67" s="539"/>
      <c r="H67" s="539"/>
      <c r="I67" s="539"/>
      <c r="J67" s="541">
        <f>IF(ISERROR(VLOOKUP(B67,'Base de Datos'!$C$7:$N$4345,6,0))=TRUE,"Sin Celebrar",(VLOOKUP(B67,'Base de Datos'!$C$7:$N$4345,7,0)))</f>
        <v>382091582</v>
      </c>
      <c r="K67" s="605"/>
      <c r="L67" s="541" t="str">
        <f t="shared" si="6"/>
        <v xml:space="preserve"> </v>
      </c>
      <c r="M67" s="541"/>
      <c r="N67" s="541">
        <f t="shared" si="7"/>
        <v>53908418</v>
      </c>
      <c r="O67" s="724" t="str">
        <f>IF(ISERROR(VLOOKUP(B67,'Base de Datos'!$C$7:$K$1048576,7,0))=TRUE," ",(VLOOKUP(B67,'Base de Datos'!$C$7:$K$1048576,8,0)))</f>
        <v>SDH-LP-02-2015</v>
      </c>
      <c r="P67" s="556">
        <f>IF(ISERROR(VLOOKUP(B67,'Base de Datos'!$C$7:$N$4330,9,0))=TRUE," ",(VLOOKUP(B67,'Base de Datos'!$C$7:$N$4330,10,0)))</f>
        <v>42240</v>
      </c>
      <c r="Q67" s="538" t="s">
        <v>1857</v>
      </c>
      <c r="R67" s="556">
        <f>IF(ISERROR(VLOOKUP(B67,'Base de Datos'!$C$7:$N$4330,10,0))=TRUE," ",(VLOOKUP(B67,'Base de Datos'!$C$7:$N$4330,11,0)))</f>
        <v>42261</v>
      </c>
      <c r="S67" s="556">
        <f>IF(ISERROR(VLOOKUP(B67,'Base de Datos'!$C$7:$N$4330,11,0))=TRUE," ",(VLOOKUP(B67,'Base de Datos'!$C$7:$N$4330,12,0)))</f>
        <v>42565</v>
      </c>
      <c r="T67" s="538" t="str">
        <f ca="1">VLOOKUP(C67,'Base de Datos'!$E$7:$AR$382,39,0)</f>
        <v>SI</v>
      </c>
      <c r="U67" s="727"/>
      <c r="V67" s="639"/>
    </row>
    <row r="68" spans="2:22" ht="21" customHeight="1" outlineLevel="1" x14ac:dyDescent="0.25">
      <c r="B68" s="557">
        <v>284</v>
      </c>
      <c r="C68" s="538" t="s">
        <v>1357</v>
      </c>
      <c r="D68" s="558" t="s">
        <v>1830</v>
      </c>
      <c r="E68" s="559">
        <v>54285345</v>
      </c>
      <c r="F68" s="539" t="str">
        <f>VLOOKUP(B68,'Actualizada - presupuesto'!$D$7:$L$111,9,0)</f>
        <v>SI</v>
      </c>
      <c r="G68" s="560"/>
      <c r="H68" s="560"/>
      <c r="I68" s="560"/>
      <c r="J68" s="541" t="str">
        <f>IF(ISERROR(VLOOKUP(B68,'Base de Datos'!$C$7:$N$4345,6,0))=TRUE,"Sin Celebrar",(VLOOKUP(B68,'Base de Datos'!$C$7:$N$4345,7,0)))</f>
        <v>Sin Celebrar</v>
      </c>
      <c r="K68" s="609"/>
      <c r="L68" s="541">
        <f>IF(J68=$AA$1,E68, " ")</f>
        <v>54285345</v>
      </c>
      <c r="M68" s="559"/>
      <c r="N68" s="541" t="str">
        <f>IF(J68&lt;E68,(E68-J68)," ")</f>
        <v xml:space="preserve"> </v>
      </c>
      <c r="O68" s="724" t="str">
        <f>IF(ISERROR(VLOOKUP(B68,'Base de Datos'!$C$7:$K$1048576,7,0))=TRUE," ",(VLOOKUP(B68,'Base de Datos'!$C$7:$K$1048576,8,0)))</f>
        <v xml:space="preserve"> </v>
      </c>
      <c r="P68" s="556" t="str">
        <f>IF(ISERROR(VLOOKUP(B68,'Base de Datos'!$C$7:$N$4330,9,0))=TRUE," ",(VLOOKUP(B68,'Base de Datos'!$C$7:$N$4330,10,0)))</f>
        <v xml:space="preserve"> </v>
      </c>
      <c r="Q68" s="558" t="s">
        <v>379</v>
      </c>
      <c r="R68" s="556" t="str">
        <f>IF(ISERROR(VLOOKUP(B68,'Base de Datos'!$C$7:$N$4330,10,0))=TRUE," ",(VLOOKUP(B68,'Base de Datos'!$C$7:$N$4330,11,0)))</f>
        <v xml:space="preserve"> </v>
      </c>
      <c r="S68" s="556" t="str">
        <f>IF(ISERROR(VLOOKUP(B68,'Base de Datos'!$C$7:$N$4330,11,0))=TRUE," ",(VLOOKUP(B68,'Base de Datos'!$C$7:$N$4330,12,0)))</f>
        <v xml:space="preserve"> </v>
      </c>
      <c r="T68" s="538" t="str">
        <f ca="1">VLOOKUP(C68,'Base de Datos'!$E$7:$AR$382,39,0)</f>
        <v>NO</v>
      </c>
      <c r="U68" s="727"/>
      <c r="V68" s="639"/>
    </row>
    <row r="69" spans="2:22" ht="21" customHeight="1" outlineLevel="1" x14ac:dyDescent="0.25">
      <c r="B69" s="557">
        <v>307</v>
      </c>
      <c r="C69" s="538" t="str">
        <f>IF(ISERROR(VLOOKUP(B69,'Base de Datos'!$C$7:$F$4345,2,0))=TRUE,"",(VLOOKUP('Presupuesto - PAA 2015'!B69,'Base de Datos'!$C$7:$F$4345,3,0)))</f>
        <v>150329-0-2015</v>
      </c>
      <c r="D69" s="538" t="str">
        <f>IF(ISERROR(VLOOKUP(B69,'Base de Datos'!$C$7:$F$4345,3,0))=TRUE,"",(VLOOKUP('Presupuesto - PAA 2015'!B69,'Base de Datos'!$C$7:$F$4345,4,0)))</f>
        <v xml:space="preserve">INFORMATICA DOCUMENTAL SAS </v>
      </c>
      <c r="E69" s="559">
        <v>20880000</v>
      </c>
      <c r="F69" s="539" t="s">
        <v>390</v>
      </c>
      <c r="G69" s="560"/>
      <c r="H69" s="560"/>
      <c r="I69" s="560"/>
      <c r="J69" s="541">
        <f>IF(ISERROR(VLOOKUP(B69,'Base de Datos'!$C$7:$N$4345,6,0))=TRUE,"Sin Celebrar",(VLOOKUP(B69,'Base de Datos'!$C$7:$N$4345,7,0)))</f>
        <v>20880000</v>
      </c>
      <c r="K69" s="609"/>
      <c r="L69" s="541" t="str">
        <f>IF(J69=$AA$1,E69, " ")</f>
        <v xml:space="preserve"> </v>
      </c>
      <c r="M69" s="559"/>
      <c r="N69" s="541" t="str">
        <f>IF(J69&lt;E69,(E69-J69)," ")</f>
        <v xml:space="preserve"> </v>
      </c>
      <c r="O69" s="724" t="str">
        <f>IF(ISERROR(VLOOKUP(B69,'Base de Datos'!$C$7:$K$1048576,7,0))=TRUE," ",(VLOOKUP(B69,'Base de Datos'!$C$7:$K$1048576,8,0)))</f>
        <v>150329-0-2015</v>
      </c>
      <c r="P69" s="556">
        <f>IF(ISERROR(VLOOKUP(B69,'Base de Datos'!$C$7:$N$4330,9,0))=TRUE," ",(VLOOKUP(B69,'Base de Datos'!$C$7:$N$4330,10,0)))</f>
        <v>42219</v>
      </c>
      <c r="Q69" s="558" t="s">
        <v>1854</v>
      </c>
      <c r="R69" s="556">
        <f>IF(ISERROR(VLOOKUP(B69,'Base de Datos'!$C$7:$N$4330,10,0))=TRUE," ",(VLOOKUP(B69,'Base de Datos'!$C$7:$N$4330,11,0)))</f>
        <v>42226</v>
      </c>
      <c r="S69" s="556">
        <f>IF(ISERROR(VLOOKUP(B69,'Base de Datos'!$C$7:$N$4330,11,0))=TRUE," ",(VLOOKUP(B69,'Base de Datos'!$C$7:$N$4330,12,0)))</f>
        <v>42592</v>
      </c>
      <c r="T69" s="538" t="str">
        <f ca="1">VLOOKUP(C69,'Base de Datos'!$E$7:$AR$382,39,0)</f>
        <v>SI</v>
      </c>
      <c r="U69" s="727"/>
      <c r="V69" s="639"/>
    </row>
    <row r="70" spans="2:22" ht="21" customHeight="1" outlineLevel="1" x14ac:dyDescent="0.25">
      <c r="B70" s="557">
        <v>308</v>
      </c>
      <c r="C70" s="538" t="str">
        <f>IF(ISERROR(VLOOKUP(B70,'Base de Datos'!$C$7:$F$4345,2,0))=TRUE,"",(VLOOKUP('Presupuesto - PAA 2015'!B70,'Base de Datos'!$C$7:$F$4345,3,0)))</f>
        <v>150391-0-2015</v>
      </c>
      <c r="D70" s="538" t="str">
        <f>IF(ISERROR(VLOOKUP(B70,'Base de Datos'!$C$7:$F$4345,3,0))=TRUE,"",(VLOOKUP('Presupuesto - PAA 2015'!B70,'Base de Datos'!$C$7:$F$4345,4,0)))</f>
        <v>UNIÓN TEMPORAL BMIND - KOGHI</v>
      </c>
      <c r="E70" s="559">
        <v>100000000</v>
      </c>
      <c r="F70" s="539"/>
      <c r="G70" s="560"/>
      <c r="H70" s="560"/>
      <c r="I70" s="560"/>
      <c r="J70" s="541">
        <f>IF(ISERROR(VLOOKUP(B70,'Base de Datos'!$C$7:$N$4345,6,0))=TRUE,"Sin Celebrar",(VLOOKUP(B70,'Base de Datos'!$C$7:$N$4345,7,0)))</f>
        <v>96032643</v>
      </c>
      <c r="K70" s="609"/>
      <c r="L70" s="541" t="str">
        <f>IF(J70=$AA$1,E70, " ")</f>
        <v xml:space="preserve"> </v>
      </c>
      <c r="M70" s="559"/>
      <c r="N70" s="541">
        <f>IF(J70&lt;E70,(E70-J70)," ")</f>
        <v>3967357</v>
      </c>
      <c r="O70" s="724" t="str">
        <f>IF(ISERROR(VLOOKUP(B70,'Base de Datos'!$C$7:$K$1048576,7,0))=TRUE," ",(VLOOKUP(B70,'Base de Datos'!$C$7:$K$1048576,8,0)))</f>
        <v>SDH-SAMC-08-2015</v>
      </c>
      <c r="P70" s="556">
        <f>IF(ISERROR(VLOOKUP(B70,'Base de Datos'!$C$7:$N$4330,9,0))=TRUE," ",(VLOOKUP(B70,'Base de Datos'!$C$7:$N$4330,10,0)))</f>
        <v>42325</v>
      </c>
      <c r="Q70" s="558" t="s">
        <v>1854</v>
      </c>
      <c r="R70" s="556">
        <f>IF(ISERROR(VLOOKUP(B70,'Base de Datos'!$C$7:$N$4330,10,0))=TRUE," ",(VLOOKUP(B70,'Base de Datos'!$C$7:$N$4330,11,0)))</f>
        <v>42345</v>
      </c>
      <c r="S70" s="556">
        <f>IF(ISERROR(VLOOKUP(B70,'Base de Datos'!$C$7:$N$4330,11,0))=TRUE," ",(VLOOKUP(B70,'Base de Datos'!$C$7:$N$4330,12,0)))</f>
        <v>42620</v>
      </c>
      <c r="T70" s="538" t="s">
        <v>1995</v>
      </c>
      <c r="U70" s="727"/>
      <c r="V70" s="639"/>
    </row>
    <row r="71" spans="2:22" outlineLevel="1" x14ac:dyDescent="0.25">
      <c r="B71" s="557">
        <v>314</v>
      </c>
      <c r="C71" s="538" t="str">
        <f>IF(ISERROR(VLOOKUP(B71,'Base de Datos'!$C$7:$F$4345,2,0))=TRUE,"",(VLOOKUP('Presupuesto - PAA 2015'!B71,'Base de Datos'!$C$7:$F$4345,3,0)))</f>
        <v>150308-0-2015</v>
      </c>
      <c r="D71" s="538" t="str">
        <f>IF(ISERROR(VLOOKUP(B71,'Base de Datos'!$C$7:$F$4345,3,0))=TRUE,"",(VLOOKUP('Presupuesto - PAA 2015'!B71,'Base de Datos'!$C$7:$F$4345,4,0)))</f>
        <v xml:space="preserve">ARANDA SOFTWARE ANDINA SAS  </v>
      </c>
      <c r="E71" s="559">
        <v>50041097</v>
      </c>
      <c r="F71" s="539" t="s">
        <v>390</v>
      </c>
      <c r="G71" s="560"/>
      <c r="H71" s="560"/>
      <c r="I71" s="560"/>
      <c r="J71" s="541">
        <f>IF(ISERROR(VLOOKUP(B71,'Base de Datos'!$C$7:$N$4345,6,0))=TRUE,"Sin Celebrar",(VLOOKUP(B71,'Base de Datos'!$C$7:$N$4345,7,0)))</f>
        <v>80041097</v>
      </c>
      <c r="K71" s="609"/>
      <c r="L71" s="541" t="str">
        <f>IF(J71=$AA$1,E71, " ")</f>
        <v xml:space="preserve"> </v>
      </c>
      <c r="M71" s="559"/>
      <c r="N71" s="541" t="str">
        <f>IF(J71&lt;E71,(E71-J71)," ")</f>
        <v xml:space="preserve"> </v>
      </c>
      <c r="O71" s="724" t="str">
        <f>IF(ISERROR(VLOOKUP(B71,'Base de Datos'!$C$7:$K$1048576,7,0))=TRUE," ",(VLOOKUP(B71,'Base de Datos'!$C$7:$K$1048576,8,0)))</f>
        <v>150308-0-2015</v>
      </c>
      <c r="P71" s="556">
        <f>IF(ISERROR(VLOOKUP(B71,'Base de Datos'!$C$7:$N$4330,9,0))=TRUE," ",(VLOOKUP(B71,'Base de Datos'!$C$7:$N$4330,10,0)))</f>
        <v>42193</v>
      </c>
      <c r="Q71" s="558"/>
      <c r="R71" s="556">
        <f>IF(ISERROR(VLOOKUP(B71,'Base de Datos'!$C$7:$N$4330,10,0))=TRUE," ",(VLOOKUP(B71,'Base de Datos'!$C$7:$N$4330,11,0)))</f>
        <v>42199</v>
      </c>
      <c r="S71" s="556">
        <f>IF(ISERROR(VLOOKUP(B71,'Base de Datos'!$C$7:$N$4330,11,0))=TRUE," ",(VLOOKUP(B71,'Base de Datos'!$C$7:$N$4330,12,0)))</f>
        <v>42565</v>
      </c>
      <c r="T71" s="538" t="str">
        <f ca="1">VLOOKUP(C71,'Base de Datos'!$E$7:$AR$382,39,0)</f>
        <v>SI</v>
      </c>
      <c r="U71" s="727"/>
      <c r="V71" s="639"/>
    </row>
    <row r="72" spans="2:22" outlineLevel="1" x14ac:dyDescent="0.25">
      <c r="B72" s="557"/>
      <c r="C72" s="558"/>
      <c r="D72" s="558" t="s">
        <v>1938</v>
      </c>
      <c r="E72" s="706">
        <f>E51-SUM(E54:E71)</f>
        <v>-71648021</v>
      </c>
      <c r="F72" s="560"/>
      <c r="G72" s="560"/>
      <c r="H72" s="560"/>
      <c r="I72" s="560"/>
      <c r="J72" s="541"/>
      <c r="K72" s="609"/>
      <c r="L72" s="541"/>
      <c r="M72" s="559"/>
      <c r="N72" s="541" t="str">
        <f>IF(J72&lt;E72,(E72-J72)," ")</f>
        <v xml:space="preserve"> </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0"/>
      <c r="C73" s="1120"/>
      <c r="D73" s="1120"/>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0"/>
      <c r="C74" s="1120"/>
      <c r="D74" s="1120"/>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3" t="s">
        <v>1652</v>
      </c>
      <c r="C75" s="1123"/>
      <c r="D75" s="1123"/>
      <c r="E75" s="592">
        <v>452000000</v>
      </c>
      <c r="F75" s="593">
        <f>COUNTIF('Actualizada - presupuesto'!$E$7:$E$111,B75)</f>
        <v>3</v>
      </c>
      <c r="G75" s="593"/>
      <c r="H75" s="593"/>
      <c r="I75" s="593"/>
      <c r="J75" s="592">
        <f>SUM(J77:J80)</f>
        <v>486905000</v>
      </c>
      <c r="K75" s="612">
        <f>J75/E75</f>
        <v>1.0772234513274337</v>
      </c>
      <c r="L75" s="592">
        <f>SUM(L77:L80)</f>
        <v>0</v>
      </c>
      <c r="M75" s="637">
        <v>0</v>
      </c>
      <c r="N75" s="592">
        <f>+E75-J75-L75</f>
        <v>-34905000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outlineLevel="1" x14ac:dyDescent="0.25">
      <c r="B77" s="542">
        <v>162</v>
      </c>
      <c r="C77" s="538" t="str">
        <f>IF(ISERROR(VLOOKUP(B77,'Base de Datos'!$C$7:$F$4345,2,0))=TRUE,"",(VLOOKUP('Presupuesto - PAA 2015'!B77,'Base de Datos'!$C$7:$F$4345,3,0)))</f>
        <v>150097-0-2015</v>
      </c>
      <c r="D77" s="538" t="str">
        <f>IF(ISERROR(VLOOKUP(B77,'Base de Datos'!$C$7:$F$4345,3,0))=TRUE,"",(VLOOKUP('Presupuesto - PAA 2015'!B77,'Base de Datos'!$C$7:$F$4345,4,0)))</f>
        <v>ORGANIZACIÓN TERPEL S.A.</v>
      </c>
      <c r="E77" s="541">
        <v>444600000</v>
      </c>
      <c r="F77" s="539" t="str">
        <f>VLOOKUP(B77,'Actualizada - presupuesto'!$D$7:$L$111,9,0)</f>
        <v>SI</v>
      </c>
      <c r="G77" s="539"/>
      <c r="H77" s="539"/>
      <c r="I77" s="539"/>
      <c r="J77" s="541">
        <f>IF(ISERROR(VLOOKUP(B77,'Base de Datos'!$C$7:$N$4345,6,0))=TRUE,"Sin Celebrar",(VLOOKUP(B77,'Base de Datos'!$C$7:$N$4345,7,0)))</f>
        <v>444600000</v>
      </c>
      <c r="K77" s="605"/>
      <c r="L77" s="541" t="str">
        <f>IF(J77=$AA$1,E77, " ")</f>
        <v xml:space="preserve"> </v>
      </c>
      <c r="M77" s="541"/>
      <c r="N77" s="541" t="str">
        <f>IF(J77&lt;E77,(E77-J77)," ")</f>
        <v xml:space="preserve"> </v>
      </c>
      <c r="O77" s="724">
        <f>IF(ISERROR(VLOOKUP(B77,'Base de Datos'!$C$7:$K$1048576,7,0))=TRUE," ",(VLOOKUP(B77,'Base de Datos'!$C$7:$K$1048576,8,0)))</f>
        <v>0</v>
      </c>
      <c r="P77" s="556">
        <f>IF(ISERROR(VLOOKUP(B77,'Base de Datos'!$C$7:$N$4330,9,0))=TRUE," ",(VLOOKUP(B77,'Base de Datos'!$C$7:$N$4330,10,0)))</f>
        <v>0</v>
      </c>
      <c r="Q77" s="538" t="s">
        <v>1854</v>
      </c>
      <c r="R77" s="556">
        <f>IF(ISERROR(VLOOKUP(B77,'Base de Datos'!$C$7:$N$4330,10,0))=TRUE," ",(VLOOKUP(B77,'Base de Datos'!$C$7:$N$4330,11,0)))</f>
        <v>42064</v>
      </c>
      <c r="S77" s="556">
        <f>IF(ISERROR(VLOOKUP(B77,'Base de Datos'!$C$7:$N$4330,11,0))=TRUE," ",(VLOOKUP(B77,'Base de Datos'!$C$7:$N$4330,12,0)))</f>
        <v>42339</v>
      </c>
      <c r="T77" s="538" t="str">
        <f ca="1">VLOOKUP(C77,'Base de Datos'!$E$7:$AR$382,39,0)</f>
        <v>SI</v>
      </c>
      <c r="U77" s="727"/>
      <c r="V77" s="639"/>
    </row>
    <row r="78" spans="2:22" outlineLevel="1" x14ac:dyDescent="0.25">
      <c r="B78" s="542">
        <v>163</v>
      </c>
      <c r="C78" s="538" t="str">
        <f>IF(ISERROR(VLOOKUP(B78,'Base de Datos'!$C$7:$F$4345,2,0))=TRUE,"",(VLOOKUP('Presupuesto - PAA 2015'!B78,'Base de Datos'!$C$7:$F$4345,3,0)))</f>
        <v>170139-0-2017</v>
      </c>
      <c r="D78" s="538" t="s">
        <v>1831</v>
      </c>
      <c r="E78" s="737"/>
      <c r="F78" s="539" t="str">
        <f>VLOOKUP(B78,'Actualizada - presupuesto'!$D$7:$L$111,9,0)</f>
        <v>NA</v>
      </c>
      <c r="G78" s="539"/>
      <c r="H78" s="539"/>
      <c r="I78" s="539"/>
      <c r="J78" s="541">
        <f>IF(ISERROR(VLOOKUP(B78,'Base de Datos'!$C$7:$N$4345,6,0))=TRUE,"Sin Celebrar",(VLOOKUP(B78,'Base de Datos'!$C$7:$N$4345,7,0)))</f>
        <v>13500000</v>
      </c>
      <c r="K78" s="605"/>
      <c r="L78" s="585" t="str">
        <f>IF(J78=$AA$1,E78, " ")</f>
        <v xml:space="preserve"> </v>
      </c>
      <c r="M78" s="541"/>
      <c r="N78" s="541" t="str">
        <f>IF(J78&lt;E78,(E78-J78)," ")</f>
        <v xml:space="preserve"> </v>
      </c>
      <c r="O78" s="724" t="str">
        <f>IF(ISERROR(VLOOKUP(B78,'Base de Datos'!$C$7:$K$1048576,7,0))=TRUE," ",(VLOOKUP(B78,'Base de Datos'!$C$7:$K$1048576,8,0)))</f>
        <v>170139-0-2017</v>
      </c>
      <c r="P78" s="556">
        <f>IF(ISERROR(VLOOKUP(B78,'Base de Datos'!$C$7:$N$4330,9,0))=TRUE," ",(VLOOKUP(B78,'Base de Datos'!$C$7:$N$4330,10,0)))</f>
        <v>42872</v>
      </c>
      <c r="Q78" s="538" t="s">
        <v>378</v>
      </c>
      <c r="R78" s="556">
        <f>IF(ISERROR(VLOOKUP(B78,'Base de Datos'!$C$7:$N$4330,10,0))=TRUE," ",(VLOOKUP(B78,'Base de Datos'!$C$7:$N$4330,11,0)))</f>
        <v>42887</v>
      </c>
      <c r="S78" s="556">
        <f>IF(ISERROR(VLOOKUP(B78,'Base de Datos'!$C$7:$N$4330,11,0))=TRUE," ",(VLOOKUP(B78,'Base de Datos'!$C$7:$N$4330,12,0)))</f>
        <v>43160</v>
      </c>
      <c r="T78" s="538" t="s">
        <v>1572</v>
      </c>
      <c r="U78" s="727"/>
      <c r="V78" s="639"/>
    </row>
    <row r="79" spans="2:22" ht="24" outlineLevel="1" x14ac:dyDescent="0.25">
      <c r="B79" s="557">
        <v>164</v>
      </c>
      <c r="C79" s="538" t="str">
        <f>IF(ISERROR(VLOOKUP(B79,'Base de Datos'!$C$7:$F$4345,2,0))=TRUE,"",(VLOOKUP('Presupuesto - PAA 2015'!B79,'Base de Datos'!$C$7:$F$4345,3,0)))</f>
        <v>150358-0-2015</v>
      </c>
      <c r="D79" s="538" t="str">
        <f>IF(ISERROR(VLOOKUP(B79,'Base de Datos'!$C$7:$F$4345,3,0))=TRUE,"",(VLOOKUP('Presupuesto - PAA 2015'!B79,'Base de Datos'!$C$7:$F$4345,4,0)))</f>
        <v>MITSU MOTORS SERVICE S.A.S.</v>
      </c>
      <c r="E79" s="559">
        <v>3415000</v>
      </c>
      <c r="F79" s="539" t="str">
        <f>VLOOKUP(B79,'Actualizada - presupuesto'!$D$7:$L$111,9,0)</f>
        <v>SI</v>
      </c>
      <c r="G79" s="560"/>
      <c r="H79" s="560"/>
      <c r="I79" s="560"/>
      <c r="J79" s="541">
        <f>IF(ISERROR(VLOOKUP(B79,'Base de Datos'!$C$7:$N$4345,6,0))=TRUE,"Sin Celebrar",(VLOOKUP(B79,'Base de Datos'!$C$7:$N$4345,7,0)))</f>
        <v>28805000</v>
      </c>
      <c r="K79" s="609"/>
      <c r="L79" s="585" t="str">
        <f>IF(J79=$AA$1,E79, " ")</f>
        <v xml:space="preserve"> </v>
      </c>
      <c r="M79" s="559"/>
      <c r="N79" s="559" t="str">
        <f>IF(J79&lt;E79,(E79-J79)," ")</f>
        <v xml:space="preserve"> </v>
      </c>
      <c r="O79" s="724" t="str">
        <f>IF(ISERROR(VLOOKUP(B79,'Base de Datos'!$C$7:$K$1048576,7,0))=TRUE," ",(VLOOKUP(B79,'Base de Datos'!$C$7:$K$1048576,8,0)))</f>
        <v>SDH-SMINC-053-2015</v>
      </c>
      <c r="P79" s="556">
        <f>IF(ISERROR(VLOOKUP(B79,'Base de Datos'!$C$7:$N$4330,9,0))=TRUE," ",(VLOOKUP(B79,'Base de Datos'!$C$7:$N$4330,10,0)))</f>
        <v>42268</v>
      </c>
      <c r="Q79" s="558" t="s">
        <v>1854</v>
      </c>
      <c r="R79" s="556">
        <f>IF(ISERROR(VLOOKUP(B79,'Base de Datos'!$C$7:$N$4330,10,0))=TRUE," ",(VLOOKUP(B79,'Base de Datos'!$C$7:$N$4330,11,0)))</f>
        <v>42296</v>
      </c>
      <c r="S79" s="556">
        <f>IF(ISERROR(VLOOKUP(B79,'Base de Datos'!$C$7:$N$4330,11,0))=TRUE," ",(VLOOKUP(B79,'Base de Datos'!$C$7:$N$4330,12,0)))</f>
        <v>42662</v>
      </c>
      <c r="T79" s="538" t="str">
        <f ca="1">VLOOKUP(C79,'Base de Datos'!$E$7:$AR$382,39,0)</f>
        <v>SI</v>
      </c>
      <c r="U79" s="727"/>
      <c r="V79" s="639"/>
    </row>
    <row r="80" spans="2:22" outlineLevel="1" x14ac:dyDescent="0.25">
      <c r="B80" s="653"/>
      <c r="C80" s="653"/>
      <c r="D80" s="538" t="s">
        <v>1941</v>
      </c>
      <c r="E80" s="541">
        <f>E75-(SUM(E77:E79))</f>
        <v>3985000</v>
      </c>
      <c r="F80" s="652"/>
      <c r="G80" s="539"/>
      <c r="H80" s="539"/>
      <c r="I80" s="539"/>
      <c r="J80" s="559"/>
      <c r="K80" s="605"/>
      <c r="L80" s="559"/>
      <c r="M80" s="541"/>
      <c r="N80" s="559">
        <f>IF(J80&lt;E80,(E80-J80)," ")</f>
        <v>3985000</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3" t="s">
        <v>1653</v>
      </c>
      <c r="C82" s="1123"/>
      <c r="D82" s="1123"/>
      <c r="E82" s="592">
        <v>223000000</v>
      </c>
      <c r="F82" s="593">
        <f>COUNTIF('Actualizada - presupuesto'!$E$7:$E$111,B82)</f>
        <v>4</v>
      </c>
      <c r="G82" s="593"/>
      <c r="H82" s="593"/>
      <c r="I82" s="593"/>
      <c r="J82" s="592">
        <f>SUM(J84:J88)</f>
        <v>208212000</v>
      </c>
      <c r="K82" s="612">
        <f>J82/E82</f>
        <v>0.93368609865470853</v>
      </c>
      <c r="L82" s="592">
        <f>SUM(L84:L88)</f>
        <v>0</v>
      </c>
      <c r="M82" s="637">
        <f>+E82-(J82+L82)</f>
        <v>14788000</v>
      </c>
      <c r="N82" s="592">
        <f>+E82-J82-L82</f>
        <v>14788000</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outlineLevel="1" x14ac:dyDescent="0.25">
      <c r="B84" s="542">
        <v>165</v>
      </c>
      <c r="C84" s="538" t="str">
        <f>IF(ISERROR(VLOOKUP(B84,'Base de Datos'!$C$7:$F$4345,2,0))=TRUE,"",(VLOOKUP('Presupuesto - PAA 2015'!B84,'Base de Datos'!$C$7:$F$4345,3,0)))</f>
        <v>150265-0-2015</v>
      </c>
      <c r="D84" s="538" t="str">
        <f>IF(ISERROR(VLOOKUP(B84,'Base de Datos'!$C$7:$F$4345,3,0))=TRUE,"",(VLOOKUP('Presupuesto - PAA 2015'!B84,'Base de Datos'!$C$7:$F$4345,4,0)))</f>
        <v>FLOREZ &amp; ALVAREZ S.A.</v>
      </c>
      <c r="E84" s="541">
        <v>133000000</v>
      </c>
      <c r="F84" s="539" t="str">
        <f>VLOOKUP(B84,'Actualizada - presupuesto'!$D$7:$L$111,9,0)</f>
        <v>SI</v>
      </c>
      <c r="G84" s="539"/>
      <c r="H84" s="539"/>
      <c r="I84" s="539"/>
      <c r="J84" s="541">
        <v>133000000</v>
      </c>
      <c r="K84" s="605"/>
      <c r="L84" s="541" t="str">
        <f>IF(J84=$AA$1,E84, " ")</f>
        <v xml:space="preserve"> </v>
      </c>
      <c r="M84" s="541"/>
      <c r="N84" s="541" t="str">
        <f>IF(J84&lt;E84,(E84-J84)," ")</f>
        <v xml:space="preserve"> </v>
      </c>
      <c r="O84" s="724" t="str">
        <f>IF(ISERROR(VLOOKUP(B84,'Base de Datos'!$C$7:$K$1048576,7,0))=TRUE," ",(VLOOKUP(B84,'Base de Datos'!$C$7:$K$1048576,8,0)))</f>
        <v>SDH-SIE-05-2015</v>
      </c>
      <c r="P84" s="556">
        <f>IF(ISERROR(VLOOKUP(B84,'Base de Datos'!$C$7:$N$4330,9,0))=TRUE," ",(VLOOKUP(B84,'Base de Datos'!$C$7:$N$4330,10,0)))</f>
        <v>42174</v>
      </c>
      <c r="Q84" s="538" t="s">
        <v>1857</v>
      </c>
      <c r="R84" s="556">
        <f>IF(ISERROR(VLOOKUP(B84,'Base de Datos'!$C$7:$N$4330,10,0))=TRUE," ",(VLOOKUP(B84,'Base de Datos'!$C$7:$N$4330,11,0)))</f>
        <v>42187</v>
      </c>
      <c r="S84" s="556">
        <f>IF(ISERROR(VLOOKUP(B84,'Base de Datos'!$C$7:$N$4330,11,0))=TRUE," ",(VLOOKUP(B84,'Base de Datos'!$C$7:$N$4330,12,0)))</f>
        <v>42492</v>
      </c>
      <c r="T84" s="538" t="str">
        <f ca="1">VLOOKUP(C84,'Base de Datos'!$E$7:$AR$382,39,0)</f>
        <v>SI</v>
      </c>
      <c r="U84" s="727"/>
      <c r="V84" s="639"/>
    </row>
    <row r="85" spans="2:22" ht="17.25" customHeight="1" outlineLevel="1" x14ac:dyDescent="0.25">
      <c r="B85" s="542">
        <v>166</v>
      </c>
      <c r="C85" s="538" t="str">
        <f>IF(ISERROR(VLOOKUP(B85,'Base de Datos'!$C$7:$F$4345,2,0))=TRUE,"",(VLOOKUP('Presupuesto - PAA 2015'!B85,'Base de Datos'!$C$7:$F$4345,3,0)))</f>
        <v>150232-0-2015</v>
      </c>
      <c r="D85" s="538" t="str">
        <f>IF(ISERROR(VLOOKUP(B85,'Base de Datos'!$C$7:$F$4345,3,0))=TRUE,"",(VLOOKUP('Presupuesto - PAA 2015'!B85,'Base de Datos'!$C$7:$F$4345,4,0)))</f>
        <v>FORMARCHIVOS Y SUMINISTROS SAS</v>
      </c>
      <c r="E85" s="541">
        <v>5000000</v>
      </c>
      <c r="F85" s="539" t="str">
        <f>VLOOKUP(B85,'Actualizada - presupuesto'!$D$7:$L$111,9,0)</f>
        <v>SI</v>
      </c>
      <c r="G85" s="539"/>
      <c r="H85" s="539"/>
      <c r="I85" s="539"/>
      <c r="J85" s="541">
        <f>IF(ISERROR(VLOOKUP(B85,'Base de Datos'!$C$7:$N$4345,6,0))=TRUE,"Sin Celebrar",(VLOOKUP(B85,'Base de Datos'!$C$7:$N$4345,7,0)))</f>
        <v>5000000</v>
      </c>
      <c r="K85" s="605"/>
      <c r="L85" s="541" t="str">
        <f>IF(J85=$AA$1,E85, " ")</f>
        <v xml:space="preserve"> </v>
      </c>
      <c r="M85" s="541"/>
      <c r="N85" s="541" t="str">
        <f>IF(J85&lt;E85,(E85-J85)," ")</f>
        <v xml:space="preserve"> </v>
      </c>
      <c r="O85" s="724" t="str">
        <f>IF(ISERROR(VLOOKUP(B85,'Base de Datos'!$C$7:$K$1048576,7,0))=TRUE," ",(VLOOKUP(B85,'Base de Datos'!$C$7:$K$1048576,8,0)))</f>
        <v>SDH-SMINC-26-2015</v>
      </c>
      <c r="P85" s="556">
        <f>IF(ISERROR(VLOOKUP(B85,'Base de Datos'!$C$7:$N$4330,9,0))=TRUE," ",(VLOOKUP(B85,'Base de Datos'!$C$7:$N$4330,10,0)))</f>
        <v>42149</v>
      </c>
      <c r="Q85" s="538" t="s">
        <v>1858</v>
      </c>
      <c r="R85" s="556">
        <f>IF(ISERROR(VLOOKUP(B85,'Base de Datos'!$C$7:$N$4330,10,0))=TRUE," ",(VLOOKUP(B85,'Base de Datos'!$C$7:$N$4330,11,0)))</f>
        <v>42160</v>
      </c>
      <c r="S85" s="556">
        <f>IF(ISERROR(VLOOKUP(B85,'Base de Datos'!$C$7:$N$4330,11,0))=TRUE," ",(VLOOKUP(B85,'Base de Datos'!$C$7:$N$4330,12,0)))</f>
        <v>42252</v>
      </c>
      <c r="T85" s="538" t="str">
        <f ca="1">VLOOKUP(C85,'Base de Datos'!$E$7:$AR$382,39,0)</f>
        <v>SI</v>
      </c>
      <c r="U85" s="727"/>
      <c r="V85" s="639"/>
    </row>
    <row r="86" spans="2:22" outlineLevel="1" x14ac:dyDescent="0.25">
      <c r="B86" s="542">
        <v>167</v>
      </c>
      <c r="C86" s="538" t="str">
        <f>IF(ISERROR(VLOOKUP(B86,'Base de Datos'!$C$7:$F$4345,2,0))=TRUE,"",(VLOOKUP('Presupuesto - PAA 2015'!B86,'Base de Datos'!$C$7:$F$4345,3,0)))</f>
        <v>150252-0-2015</v>
      </c>
      <c r="D86" s="538" t="str">
        <f>IF(ISERROR(VLOOKUP(B86,'Base de Datos'!$C$7:$F$4345,3,0))=TRUE,"",(VLOOKUP('Presupuesto - PAA 2015'!B86,'Base de Datos'!$C$7:$F$4345,4,0)))</f>
        <v xml:space="preserve">INSTITUCIONAL STAR SERVICES LTDA </v>
      </c>
      <c r="E86" s="541">
        <v>69400000</v>
      </c>
      <c r="F86" s="539" t="str">
        <f>VLOOKUP(B86,'Actualizada - presupuesto'!$D$7:$L$111,9,0)</f>
        <v>SI</v>
      </c>
      <c r="G86" s="539"/>
      <c r="H86" s="539"/>
      <c r="I86" s="539"/>
      <c r="J86" s="541">
        <f>IF(ISERROR(VLOOKUP(B86,'Base de Datos'!$C$7:$N$4345,6,0))=TRUE,"Sin Celebrar",(VLOOKUP(B86,'Base de Datos'!$C$7:$N$4345,7,0)))</f>
        <v>69400000</v>
      </c>
      <c r="K86" s="605"/>
      <c r="L86" s="541" t="str">
        <f>IF(J86=$AA$1,E86, " ")</f>
        <v xml:space="preserve"> </v>
      </c>
      <c r="M86" s="541"/>
      <c r="N86" s="541" t="str">
        <f>IF(J86&lt;E86,(E86-J86)," ")</f>
        <v xml:space="preserve"> </v>
      </c>
      <c r="O86" s="724" t="str">
        <f>IF(ISERROR(VLOOKUP(B86,'Base de Datos'!$C$7:$K$1048576,7,0))=TRUE," ",(VLOOKUP(B86,'Base de Datos'!$C$7:$K$1048576,8,0)))</f>
        <v>SDH-SIE-06-2015</v>
      </c>
      <c r="P86" s="556">
        <f>IF(ISERROR(VLOOKUP(B86,'Base de Datos'!$C$7:$N$4330,9,0))=TRUE," ",(VLOOKUP(B86,'Base de Datos'!$C$7:$N$4330,10,0)))</f>
        <v>42167</v>
      </c>
      <c r="Q86" s="538" t="s">
        <v>1854</v>
      </c>
      <c r="R86" s="556">
        <f>IF(ISERROR(VLOOKUP(B86,'Base de Datos'!$C$7:$N$4330,10,0))=TRUE," ",(VLOOKUP(B86,'Base de Datos'!$C$7:$N$4330,11,0)))</f>
        <v>42186</v>
      </c>
      <c r="S86" s="556">
        <f>IF(ISERROR(VLOOKUP(B86,'Base de Datos'!$C$7:$N$4330,11,0))=TRUE," ",(VLOOKUP(B86,'Base de Datos'!$C$7:$N$4330,12,0)))</f>
        <v>42491</v>
      </c>
      <c r="T86" s="538" t="str">
        <f ca="1">VLOOKUP(C86,'Base de Datos'!$E$7:$AR$382,39,0)</f>
        <v>SI</v>
      </c>
      <c r="U86" s="727"/>
      <c r="V86" s="639"/>
    </row>
    <row r="87" spans="2:22" ht="16.5" customHeight="1" outlineLevel="1" x14ac:dyDescent="0.25">
      <c r="B87" s="557">
        <v>266</v>
      </c>
      <c r="C87" s="538" t="str">
        <f>IF(ISERROR(VLOOKUP(B87,'Base de Datos'!$C$7:$F$4345,2,0))=TRUE,"",(VLOOKUP('Presupuesto - PAA 2015'!B87,'Base de Datos'!$C$7:$F$4345,3,0)))</f>
        <v>150331-0-2015</v>
      </c>
      <c r="D87" s="538" t="str">
        <f>IF(ISERROR(VLOOKUP(B87,'Base de Datos'!$C$7:$F$4345,3,0))=TRUE,"",(VLOOKUP('Presupuesto - PAA 2015'!B87,'Base de Datos'!$C$7:$F$4345,4,0)))</f>
        <v xml:space="preserve">VIDEO BEAMS Y LAMPARAS SAS </v>
      </c>
      <c r="E87" s="559">
        <v>812000</v>
      </c>
      <c r="F87" s="539" t="str">
        <f>VLOOKUP(B87,'Actualizada - presupuesto'!$D$7:$L$111,9,0)</f>
        <v>SI</v>
      </c>
      <c r="G87" s="560"/>
      <c r="H87" s="560"/>
      <c r="I87" s="560"/>
      <c r="J87" s="541">
        <f>IF(ISERROR(VLOOKUP(B87,'Base de Datos'!$C$7:$N$4345,6,0))=TRUE,"Sin Celebrar",(VLOOKUP(B87,'Base de Datos'!$C$7:$N$4345,7,0)))</f>
        <v>812000</v>
      </c>
      <c r="K87" s="609"/>
      <c r="L87" s="559" t="str">
        <f>IF(J87=$AA$1,E87, " ")</f>
        <v xml:space="preserve"> </v>
      </c>
      <c r="M87" s="559"/>
      <c r="N87" s="559" t="str">
        <f>IF(J87&lt;E87,(E87-J87)," ")</f>
        <v xml:space="preserve"> </v>
      </c>
      <c r="O87" s="724" t="str">
        <f>IF(ISERROR(VLOOKUP(B87,'Base de Datos'!$C$7:$K$1048576,7,0))=TRUE," ",(VLOOKUP(B87,'Base de Datos'!$C$7:$K$1048576,8,0)))</f>
        <v>SDH-SMINC-047-2015</v>
      </c>
      <c r="P87" s="556">
        <f>IF(ISERROR(VLOOKUP(B87,'Base de Datos'!$C$7:$N$4330,9,0))=TRUE," ",(VLOOKUP(B87,'Base de Datos'!$C$7:$N$4330,10,0)))</f>
        <v>42220</v>
      </c>
      <c r="Q87" s="558" t="s">
        <v>381</v>
      </c>
      <c r="R87" s="556">
        <f>IF(ISERROR(VLOOKUP(B87,'Base de Datos'!$C$7:$N$4330,10,0))=TRUE," ",(VLOOKUP(B87,'Base de Datos'!$C$7:$N$4330,11,0)))</f>
        <v>42235</v>
      </c>
      <c r="S87" s="556">
        <f>IF(ISERROR(VLOOKUP(B87,'Base de Datos'!$C$7:$N$4330,11,0))=TRUE," ",(VLOOKUP(B87,'Base de Datos'!$C$7:$N$4330,12,0)))</f>
        <v>42265</v>
      </c>
      <c r="T87" s="538" t="str">
        <f ca="1">VLOOKUP(C87,'Base de Datos'!$E$7:$AR$382,39,0)</f>
        <v>SI</v>
      </c>
      <c r="U87" s="727"/>
      <c r="V87" s="639"/>
    </row>
    <row r="88" spans="2:22" outlineLevel="1" x14ac:dyDescent="0.25">
      <c r="B88" s="653"/>
      <c r="C88" s="653"/>
      <c r="D88" s="538" t="s">
        <v>1938</v>
      </c>
      <c r="E88" s="541">
        <f>E82-SUM(E84:E87)</f>
        <v>14788000</v>
      </c>
      <c r="F88" s="539"/>
      <c r="G88" s="539"/>
      <c r="H88" s="539"/>
      <c r="I88" s="539"/>
      <c r="J88" s="541"/>
      <c r="K88" s="605"/>
      <c r="L88" s="559"/>
      <c r="M88" s="541"/>
      <c r="N88" s="559">
        <f>IF(J88&lt;E88,(E88-J88)," ")</f>
        <v>14788000</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2" t="s">
        <v>1654</v>
      </c>
      <c r="C90" s="1122"/>
      <c r="D90" s="1122"/>
      <c r="E90" s="562">
        <v>7026221000</v>
      </c>
      <c r="F90" s="563">
        <f>COUNTIF('Actualizada - presupuesto'!$E$7:$E$111,B90)</f>
        <v>0</v>
      </c>
      <c r="G90" s="563"/>
      <c r="H90" s="563"/>
      <c r="I90" s="563"/>
      <c r="J90" s="572">
        <f>+J91+J100+J116+J139+J158+J175+J180+J188+J196+J204+J209</f>
        <v>6311862387</v>
      </c>
      <c r="K90" s="615">
        <f>J90/E90</f>
        <v>0.89832961231933928</v>
      </c>
      <c r="L90" s="572">
        <f>+L91+L100+L116+L139+L158+L175+L180+L188+L196+L204+L209</f>
        <v>391956992</v>
      </c>
      <c r="M90" s="658">
        <v>0</v>
      </c>
      <c r="N90" s="572">
        <f>+N91+N100+N116+N139+N158+N175+N180+N188+N196+N204+N209</f>
        <v>322401603</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18" t="s">
        <v>1655</v>
      </c>
      <c r="C91" s="1118"/>
      <c r="D91" s="1118"/>
      <c r="E91" s="586">
        <v>229000000</v>
      </c>
      <c r="F91" s="591">
        <f>COUNTIF('Actualizada - presupuesto'!$E$7:$E$111,B91)</f>
        <v>5</v>
      </c>
      <c r="G91" s="591"/>
      <c r="H91" s="591"/>
      <c r="I91" s="591"/>
      <c r="J91" s="586">
        <f>SUM(J93:J98)</f>
        <v>194508146</v>
      </c>
      <c r="K91" s="608">
        <f>J91/E91</f>
        <v>0.84938055021834058</v>
      </c>
      <c r="L91" s="586">
        <f>SUM(L93:L98)</f>
        <v>0</v>
      </c>
      <c r="M91" s="637">
        <v>0</v>
      </c>
      <c r="N91" s="586">
        <f>+E91-J91-L91</f>
        <v>34491854</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68</v>
      </c>
      <c r="C93" s="538" t="str">
        <f>IF(ISERROR(VLOOKUP(B93,'Base de Datos'!$C$7:$F$4345,2,0))=TRUE,"",(VLOOKUP('Presupuesto - PAA 2015'!B93,'Base de Datos'!$C$7:$F$4345,3,0)))</f>
        <v>150104-0-2015</v>
      </c>
      <c r="D93" s="538" t="str">
        <f>IF(ISERROR(VLOOKUP(B93,'Base de Datos'!$C$7:$F$4345,3,0))=TRUE,"",(VLOOKUP('Presupuesto - PAA 2015'!B93,'Base de Datos'!$C$7:$F$4345,4,0)))</f>
        <v>EMPRESA DE TELECOMUNICACIONES DE BOGOTA S.A.   ESP</v>
      </c>
      <c r="E93" s="541">
        <v>150000000</v>
      </c>
      <c r="F93" s="539" t="str">
        <f>VLOOKUP(B93,'Actualizada - presupuesto'!$D$7:$L$111,9,0)</f>
        <v>SI</v>
      </c>
      <c r="G93" s="539"/>
      <c r="H93" s="539"/>
      <c r="I93" s="539"/>
      <c r="J93" s="541">
        <f>IF(ISERROR(VLOOKUP(B93,'Base de Datos'!$C$7:$N$4345,6,0))=TRUE,"Sin Celebrar",(VLOOKUP(B93,'Base de Datos'!$C$7:$N$4345,7,0)))</f>
        <v>150000000</v>
      </c>
      <c r="K93" s="605"/>
      <c r="L93" s="541" t="str">
        <f>IF(J93=$AA$1,E93, " ")</f>
        <v xml:space="preserve"> </v>
      </c>
      <c r="M93" s="541"/>
      <c r="N93" s="541" t="str">
        <f t="shared" ref="N93:N98" si="8">IF(J93&lt;E93,(E93-J93)," ")</f>
        <v xml:space="preserve"> </v>
      </c>
      <c r="O93" s="724" t="str">
        <f>IF(ISERROR(VLOOKUP(B93,'Base de Datos'!$C$7:$K$1048576,7,0))=TRUE," ",(VLOOKUP(B93,'Base de Datos'!$C$7:$K$1048576,8,0)))</f>
        <v>150104-0-2015</v>
      </c>
      <c r="P93" s="556">
        <f>IF(ISERROR(VLOOKUP(B93,'Base de Datos'!$C$7:$N$4330,9,0))=TRUE," ",(VLOOKUP(B93,'Base de Datos'!$C$7:$N$4330,10,0)))</f>
        <v>42066</v>
      </c>
      <c r="Q93" s="538" t="s">
        <v>1854</v>
      </c>
      <c r="R93" s="556">
        <f>IF(ISERROR(VLOOKUP(B93,'Base de Datos'!$C$7:$N$4330,10,0))=TRUE," ",(VLOOKUP(B93,'Base de Datos'!$C$7:$N$4330,11,0)))</f>
        <v>42090</v>
      </c>
      <c r="S93" s="556">
        <f>IF(ISERROR(VLOOKUP(B93,'Base de Datos'!$C$7:$N$4330,11,0))=TRUE," ",(VLOOKUP(B93,'Base de Datos'!$C$7:$N$4330,12,0)))</f>
        <v>42456</v>
      </c>
      <c r="T93" s="538" t="str">
        <f ca="1">VLOOKUP(C93,'Base de Datos'!$E$7:$AR$382,39,0)</f>
        <v>SI</v>
      </c>
      <c r="U93" s="727"/>
      <c r="V93" s="639"/>
    </row>
    <row r="94" spans="2:22" outlineLevel="1" x14ac:dyDescent="0.25">
      <c r="B94" s="542">
        <v>138</v>
      </c>
      <c r="C94" s="538" t="s">
        <v>283</v>
      </c>
      <c r="D94" s="543" t="s">
        <v>1963</v>
      </c>
      <c r="E94" s="541">
        <v>5100746</v>
      </c>
      <c r="F94" s="539" t="str">
        <f>VLOOKUP(B94,'Actualizada - presupuesto'!$D$7:$L$111,9,0)</f>
        <v>SI</v>
      </c>
      <c r="G94" s="539"/>
      <c r="H94" s="539"/>
      <c r="I94" s="539"/>
      <c r="J94" s="541">
        <v>5100746</v>
      </c>
      <c r="K94" s="605"/>
      <c r="L94" s="541" t="str">
        <f>IF(J94=$AA$1,E94, " ")</f>
        <v xml:space="preserve"> </v>
      </c>
      <c r="M94" s="541"/>
      <c r="N94" s="541" t="str">
        <f t="shared" si="8"/>
        <v xml:space="preserve"> </v>
      </c>
      <c r="O94" s="724" t="str">
        <f>IF(ISERROR(VLOOKUP(B94,'Base de Datos'!$C$7:$K$1048576,7,0))=TRUE," ",(VLOOKUP(B94,'Base de Datos'!$C$7:$K$1048576,8,0)))</f>
        <v>160245-0-2016</v>
      </c>
      <c r="P94" s="556">
        <f>IF(ISERROR(VLOOKUP(B94,'Base de Datos'!$C$7:$N$4330,9,0))=TRUE," ",(VLOOKUP(B94,'Base de Datos'!$C$7:$N$4330,10,0)))</f>
        <v>42643</v>
      </c>
      <c r="Q94" s="538" t="s">
        <v>378</v>
      </c>
      <c r="R94" s="556">
        <f>IF(ISERROR(VLOOKUP(B94,'Base de Datos'!$C$7:$N$4330,10,0))=TRUE," ",(VLOOKUP(B94,'Base de Datos'!$C$7:$N$4330,11,0)))</f>
        <v>42703</v>
      </c>
      <c r="S94" s="556">
        <f>IF(ISERROR(VLOOKUP(B94,'Base de Datos'!$C$7:$N$4330,11,0))=TRUE," ",(VLOOKUP(B94,'Base de Datos'!$C$7:$N$4330,12,0)))</f>
        <v>43068</v>
      </c>
      <c r="T94" s="538" t="str">
        <f ca="1">VLOOKUP(C94,'Base de Datos'!$E$7:$AR$382,39,0)</f>
        <v>NO</v>
      </c>
      <c r="U94" s="727"/>
      <c r="V94" s="639"/>
    </row>
    <row r="95" spans="2:22" ht="15" customHeight="1" outlineLevel="1" x14ac:dyDescent="0.25">
      <c r="B95" s="542">
        <v>139</v>
      </c>
      <c r="C95" s="538" t="str">
        <f>IF(ISERROR(VLOOKUP(B95,'Base de Datos'!$C$7:$F$4345,2,0))=TRUE,"",(VLOOKUP('Presupuesto - PAA 2015'!B95,'Base de Datos'!$C$7:$F$4345,3,0)))</f>
        <v>150262-0-2015</v>
      </c>
      <c r="D95" s="538" t="str">
        <f>IF(ISERROR(VLOOKUP(B95,'Base de Datos'!$C$7:$F$4345,3,0))=TRUE,"",(VLOOKUP('Presupuesto - PAA 2015'!B95,'Base de Datos'!$C$7:$F$4345,4,0)))</f>
        <v xml:space="preserve">DIRECTV COLOMBIA LTDA  </v>
      </c>
      <c r="E95" s="541">
        <v>1607400</v>
      </c>
      <c r="F95" s="539" t="str">
        <f>VLOOKUP(B95,'Actualizada - presupuesto'!$D$7:$L$111,9,0)</f>
        <v>SI</v>
      </c>
      <c r="G95" s="539"/>
      <c r="H95" s="539"/>
      <c r="I95" s="539"/>
      <c r="J95" s="541">
        <f>IF(ISERROR(VLOOKUP(B95,'Base de Datos'!$C$7:$N$4345,6,0))=TRUE,"Sin Celebrar",(VLOOKUP(B95,'Base de Datos'!$C$7:$N$4345,7,0)))</f>
        <v>1607400</v>
      </c>
      <c r="K95" s="605"/>
      <c r="L95" s="541" t="str">
        <f>IF(J95=$AA$1,E95, " ")</f>
        <v xml:space="preserve"> </v>
      </c>
      <c r="M95" s="541"/>
      <c r="N95" s="541" t="str">
        <f t="shared" si="8"/>
        <v xml:space="preserve"> </v>
      </c>
      <c r="O95" s="724" t="str">
        <f>IF(ISERROR(VLOOKUP(B95,'Base de Datos'!$C$7:$K$1048576,7,0))=TRUE," ",(VLOOKUP(B95,'Base de Datos'!$C$7:$K$1048576,8,0)))</f>
        <v>SDH-SMINC-035-2015</v>
      </c>
      <c r="P95" s="556">
        <f>IF(ISERROR(VLOOKUP(B95,'Base de Datos'!$C$7:$N$4330,9,0))=TRUE," ",(VLOOKUP(B95,'Base de Datos'!$C$7:$N$4330,10,0)))</f>
        <v>42172</v>
      </c>
      <c r="Q95" s="538" t="s">
        <v>1854</v>
      </c>
      <c r="R95" s="556">
        <f>IF(ISERROR(VLOOKUP(B95,'Base de Datos'!$C$7:$N$4330,10,0))=TRUE," ",(VLOOKUP(B95,'Base de Datos'!$C$7:$N$4330,11,0)))</f>
        <v>42202</v>
      </c>
      <c r="S95" s="556">
        <f>IF(ISERROR(VLOOKUP(B95,'Base de Datos'!$C$7:$N$4330,11,0))=TRUE," ",(VLOOKUP(B95,'Base de Datos'!$C$7:$N$4330,12,0)))</f>
        <v>42567</v>
      </c>
      <c r="T95" s="538" t="str">
        <f ca="1">VLOOKUP(C95,'Base de Datos'!$E$7:$AR$382,39,0)</f>
        <v>SI</v>
      </c>
      <c r="U95" s="727"/>
      <c r="V95" s="639"/>
    </row>
    <row r="96" spans="2:22" ht="13.5" customHeight="1" outlineLevel="1" x14ac:dyDescent="0.25">
      <c r="B96" s="542">
        <v>168</v>
      </c>
      <c r="C96" s="538" t="str">
        <f>IF(ISERROR(VLOOKUP(B96,'Base de Datos'!$C$7:$F$4345,2,0))=TRUE,"",(VLOOKUP('Presupuesto - PAA 2015'!B96,'Base de Datos'!$C$7:$F$4345,3,0)))</f>
        <v>150209-0-2015</v>
      </c>
      <c r="D96" s="538" t="str">
        <f>IF(ISERROR(VLOOKUP(B96,'Base de Datos'!$C$7:$F$4345,3,0))=TRUE,"",(VLOOKUP('Presupuesto - PAA 2015'!B96,'Base de Datos'!$C$7:$F$4345,4,0)))</f>
        <v>A&amp;V EXPRESS S.A.</v>
      </c>
      <c r="E96" s="541">
        <v>33500000</v>
      </c>
      <c r="F96" s="539" t="str">
        <f>VLOOKUP(B96,'Actualizada - presupuesto'!$D$7:$L$111,9,0)</f>
        <v>SI</v>
      </c>
      <c r="G96" s="539"/>
      <c r="H96" s="539"/>
      <c r="I96" s="539"/>
      <c r="J96" s="541">
        <f>IF(ISERROR(VLOOKUP(B96,'Base de Datos'!$C$7:$N$4345,6,0))=TRUE,"Sin Celebrar",(VLOOKUP(B96,'Base de Datos'!$C$7:$N$4345,7,0)))</f>
        <v>33500000</v>
      </c>
      <c r="K96" s="605"/>
      <c r="L96" s="541" t="str">
        <f>IF(J96=$AA$1,E96, " ")</f>
        <v xml:space="preserve"> </v>
      </c>
      <c r="M96" s="541"/>
      <c r="N96" s="541" t="str">
        <f t="shared" si="8"/>
        <v xml:space="preserve"> </v>
      </c>
      <c r="O96" s="724" t="str">
        <f>IF(ISERROR(VLOOKUP(B96,'Base de Datos'!$C$7:$K$1048576,7,0))=TRUE," ",(VLOOKUP(B96,'Base de Datos'!$C$7:$K$1048576,8,0)))</f>
        <v>SDH-SIE-02-2015</v>
      </c>
      <c r="P96" s="556">
        <f>IF(ISERROR(VLOOKUP(B96,'Base de Datos'!$C$7:$N$4330,9,0))=TRUE," ",(VLOOKUP(B96,'Base de Datos'!$C$7:$N$4330,10,0)))</f>
        <v>42124</v>
      </c>
      <c r="Q96" s="538" t="s">
        <v>1854</v>
      </c>
      <c r="R96" s="556">
        <f>IF(ISERROR(VLOOKUP(B96,'Base de Datos'!$C$7:$N$4330,10,0))=TRUE," ",(VLOOKUP(B96,'Base de Datos'!$C$7:$N$4330,11,0)))</f>
        <v>42130</v>
      </c>
      <c r="S96" s="556">
        <f>IF(ISERROR(VLOOKUP(B96,'Base de Datos'!$C$7:$N$4330,11,0))=TRUE," ",(VLOOKUP(B96,'Base de Datos'!$C$7:$N$4330,12,0)))</f>
        <v>42496</v>
      </c>
      <c r="T96" s="538" t="str">
        <f ca="1">VLOOKUP(C96,'Base de Datos'!$E$7:$AR$382,39,0)</f>
        <v>SI</v>
      </c>
      <c r="U96" s="727"/>
      <c r="V96" s="639"/>
    </row>
    <row r="97" spans="2:22" outlineLevel="1" x14ac:dyDescent="0.25">
      <c r="B97" s="557">
        <v>169</v>
      </c>
      <c r="C97" s="538" t="str">
        <f>IF(ISERROR(VLOOKUP(B97,'Base de Datos'!$C$7:$F$4345,2,0))=TRUE,"",(VLOOKUP('Presupuesto - PAA 2015'!B97,'Base de Datos'!$C$7:$F$4345,3,0)))</f>
        <v>170095-0-2017</v>
      </c>
      <c r="D97" s="558" t="s">
        <v>1832</v>
      </c>
      <c r="E97" s="559">
        <v>11000000</v>
      </c>
      <c r="F97" s="539" t="str">
        <f>VLOOKUP(B97,'Actualizada - presupuesto'!$D$7:$L$111,9,0)</f>
        <v>SI</v>
      </c>
      <c r="G97" s="560"/>
      <c r="H97" s="560"/>
      <c r="I97" s="560"/>
      <c r="J97" s="541">
        <f>IF(ISERROR(VLOOKUP(B97,'Base de Datos'!$C$7:$N$4345,6,0))=TRUE,"Sin Celebrar",(VLOOKUP(B97,'Base de Datos'!$C$7:$N$4345,7,0)))</f>
        <v>4300000</v>
      </c>
      <c r="K97" s="609"/>
      <c r="L97" s="559" t="str">
        <f>IF(J97=$AA$1,E97, " ")</f>
        <v xml:space="preserve"> </v>
      </c>
      <c r="M97" s="559"/>
      <c r="N97" s="559">
        <f t="shared" si="8"/>
        <v>6700000</v>
      </c>
      <c r="O97" s="724">
        <f>IF(ISERROR(VLOOKUP(B97,'Base de Datos'!$C$7:$K$1048576,7,0))=TRUE," ",(VLOOKUP(B97,'Base de Datos'!$C$7:$K$1048576,7,0)))</f>
        <v>4300000</v>
      </c>
      <c r="P97" s="556">
        <f>IF(ISERROR(VLOOKUP(B97,'Base de Datos'!$C$7:$N$4330,9,0))=TRUE," ",(VLOOKUP(B97,'Base de Datos'!$C$7:$N$4330,9,0)))</f>
        <v>2017</v>
      </c>
      <c r="Q97" s="558" t="s">
        <v>1854</v>
      </c>
      <c r="R97" s="556">
        <f>IF(ISERROR(VLOOKUP(B97,'Base de Datos'!$C$7:$N$4330,10,0))=TRUE," ",(VLOOKUP(B97,'Base de Datos'!$C$7:$N$4330,11,0)))</f>
        <v>42849</v>
      </c>
      <c r="S97" s="556">
        <f>IF(ISERROR(VLOOKUP(B97,'Base de Datos'!$C$7:$N$4330,11,0))=TRUE," ",(VLOOKUP(B97,'Base de Datos'!$C$7:$N$4330,12,0)))</f>
        <v>43002</v>
      </c>
      <c r="T97" s="538" t="e">
        <f>VLOOKUP(C97,'Base de Datos'!$E$7:$AR$382,39,0)</f>
        <v>#N/A</v>
      </c>
      <c r="U97" s="727"/>
      <c r="V97" s="639"/>
    </row>
    <row r="98" spans="2:22" outlineLevel="1" x14ac:dyDescent="0.25">
      <c r="B98" s="538"/>
      <c r="C98" s="538"/>
      <c r="D98" s="538" t="s">
        <v>1938</v>
      </c>
      <c r="E98" s="541">
        <f>E91-SUM(E93:E97)</f>
        <v>27791854</v>
      </c>
      <c r="F98" s="539"/>
      <c r="G98" s="539"/>
      <c r="H98" s="539"/>
      <c r="I98" s="539"/>
      <c r="J98" s="541"/>
      <c r="K98" s="605"/>
      <c r="L98" s="559"/>
      <c r="M98" s="541"/>
      <c r="N98" s="559">
        <f t="shared" si="8"/>
        <v>27791854</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3" t="s">
        <v>1656</v>
      </c>
      <c r="C100" s="1123"/>
      <c r="D100" s="1123"/>
      <c r="E100" s="592">
        <v>54000000</v>
      </c>
      <c r="F100" s="593">
        <f>COUNTIF('Actualizada - presupuesto'!$E$7:$E$111,B100)</f>
        <v>11</v>
      </c>
      <c r="G100" s="593"/>
      <c r="H100" s="593"/>
      <c r="I100" s="593"/>
      <c r="J100" s="592">
        <f>SUM(J102:J114)</f>
        <v>51341594</v>
      </c>
      <c r="K100" s="612">
        <f>J100/E100</f>
        <v>0.95077025925925929</v>
      </c>
      <c r="L100" s="592">
        <f>SUM(L102:L114)</f>
        <v>0</v>
      </c>
      <c r="M100" s="637">
        <v>0</v>
      </c>
      <c r="N100" s="592">
        <f>+E100-J100-L100</f>
        <v>2658406</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140</v>
      </c>
      <c r="C102" s="538" t="str">
        <f>IF(ISERROR(VLOOKUP(B102,'Base de Datos'!$C$7:$F$4345,2,0))=TRUE,"",(VLOOKUP('Presupuesto - PAA 2015'!B102,'Base de Datos'!$C$7:$F$4345,3,0)))</f>
        <v>150320-0-2015</v>
      </c>
      <c r="D102" s="538" t="str">
        <f>IF(ISERROR(VLOOKUP(B102,'Base de Datos'!$C$7:$F$4345,3,0))=TRUE,"",(VLOOKUP('Presupuesto - PAA 2015'!B102,'Base de Datos'!$C$7:$F$4345,4,0)))</f>
        <v>GRUPO EDITORIAL NUEVA LEGISLACION S.A.S.</v>
      </c>
      <c r="E102" s="541">
        <v>715000</v>
      </c>
      <c r="F102" s="539" t="str">
        <f>VLOOKUP(B102,'Actualizada - presupuesto'!$D$7:$L$111,9,0)</f>
        <v>SI</v>
      </c>
      <c r="G102" s="539"/>
      <c r="H102" s="539"/>
      <c r="I102" s="539"/>
      <c r="J102" s="541">
        <f>IF(ISERROR(VLOOKUP(B102,'Base de Datos'!$C$7:$N$4345,6,0))=TRUE,"Sin Celebrar",(VLOOKUP(B102,'Base de Datos'!$C$7:$N$4345,7,0)))</f>
        <v>715000</v>
      </c>
      <c r="K102" s="605"/>
      <c r="L102" s="541" t="str">
        <f t="shared" ref="L102:L112" si="9">IF(J102=$AA$1,E102, " ")</f>
        <v xml:space="preserve"> </v>
      </c>
      <c r="M102" s="541"/>
      <c r="N102" s="541" t="str">
        <f t="shared" ref="N102:N114" si="10">IF(J102&lt;E102,(E102-J102)," ")</f>
        <v xml:space="preserve"> </v>
      </c>
      <c r="O102" s="724" t="str">
        <f>IF(ISERROR(VLOOKUP(B102,'Base de Datos'!$C$7:$K$1048576,7,0))=TRUE," ",(VLOOKUP(B102,'Base de Datos'!$C$7:$K$1048576,8,0)))</f>
        <v>SDH-SMINC-42-2015</v>
      </c>
      <c r="P102" s="556">
        <f>IF(ISERROR(VLOOKUP(B102,'Base de Datos'!$C$7:$N$4330,9,0))=TRUE," ",(VLOOKUP(B102,'Base de Datos'!$C$7:$N$4330,10,0)))</f>
        <v>42207</v>
      </c>
      <c r="Q102" s="538" t="s">
        <v>1854</v>
      </c>
      <c r="R102" s="556">
        <f>IF(ISERROR(VLOOKUP(B102,'Base de Datos'!$C$7:$N$4330,10,0))=TRUE," ",(VLOOKUP(B102,'Base de Datos'!$C$7:$N$4330,11,0)))</f>
        <v>42221</v>
      </c>
      <c r="S102" s="556">
        <f>IF(ISERROR(VLOOKUP(B102,'Base de Datos'!$C$7:$N$4330,11,0))=TRUE," ",(VLOOKUP(B102,'Base de Datos'!$C$7:$N$4330,12,0)))</f>
        <v>42587</v>
      </c>
      <c r="T102" s="538" t="str">
        <f ca="1">VLOOKUP(C102,'Base de Datos'!$E$7:$AR$382,39,0)</f>
        <v>SI</v>
      </c>
      <c r="U102" s="727"/>
      <c r="V102" s="639"/>
    </row>
    <row r="103" spans="2:22" ht="15" customHeight="1" outlineLevel="1" x14ac:dyDescent="0.25">
      <c r="B103" s="542">
        <v>141</v>
      </c>
      <c r="C103" s="538" t="str">
        <f>IF(ISERROR(VLOOKUP(B103,'Base de Datos'!$C$7:$F$4345,2,0))=TRUE,"",(VLOOKUP('Presupuesto - PAA 2015'!B103,'Base de Datos'!$C$7:$F$4345,3,0)))</f>
        <v>150123-0-2015</v>
      </c>
      <c r="D103" s="538" t="str">
        <f>IF(ISERROR(VLOOKUP(B103,'Base de Datos'!$C$7:$F$4345,3,0))=TRUE,"",(VLOOKUP('Presupuesto - PAA 2015'!B103,'Base de Datos'!$C$7:$F$4345,4,0)))</f>
        <v>CASA EDITORIAL EL TIEMPO SA</v>
      </c>
      <c r="E103" s="541">
        <v>1226994</v>
      </c>
      <c r="F103" s="539" t="str">
        <f>VLOOKUP(B103,'Actualizada - presupuesto'!$D$7:$L$111,9,0)</f>
        <v>SI</v>
      </c>
      <c r="G103" s="539"/>
      <c r="H103" s="539"/>
      <c r="I103" s="539"/>
      <c r="J103" s="541">
        <f>IF(ISERROR(VLOOKUP(B103,'Base de Datos'!$C$7:$N$4345,6,0))=TRUE,"Sin Celebrar",(VLOOKUP(B103,'Base de Datos'!$C$7:$N$4345,7,0)))</f>
        <v>1226994</v>
      </c>
      <c r="K103" s="605"/>
      <c r="L103" s="541" t="str">
        <f t="shared" si="9"/>
        <v xml:space="preserve"> </v>
      </c>
      <c r="M103" s="541"/>
      <c r="N103" s="541" t="str">
        <f t="shared" si="10"/>
        <v xml:space="preserve"> </v>
      </c>
      <c r="O103" s="724" t="str">
        <f>IF(ISERROR(VLOOKUP(B103,'Base de Datos'!$C$7:$K$1048576,7,0))=TRUE," ",(VLOOKUP(B103,'Base de Datos'!$C$7:$K$1048576,8,0)))</f>
        <v>150123-0-2015</v>
      </c>
      <c r="P103" s="556">
        <f>IF(ISERROR(VLOOKUP(B103,'Base de Datos'!$C$7:$N$4330,9,0))=TRUE," ",(VLOOKUP(B103,'Base de Datos'!$C$7:$N$4330,10,0)))</f>
        <v>42080</v>
      </c>
      <c r="Q103" s="538" t="s">
        <v>1854</v>
      </c>
      <c r="R103" s="556">
        <f>IF(ISERROR(VLOOKUP(B103,'Base de Datos'!$C$7:$N$4330,10,0))=TRUE," ",(VLOOKUP(B103,'Base de Datos'!$C$7:$N$4330,11,0)))</f>
        <v>42082</v>
      </c>
      <c r="S103" s="556">
        <f>IF(ISERROR(VLOOKUP(B103,'Base de Datos'!$C$7:$N$4330,11,0))=TRUE," ",(VLOOKUP(B103,'Base de Datos'!$C$7:$N$4330,12,0)))</f>
        <v>42447</v>
      </c>
      <c r="T103" s="538" t="str">
        <f ca="1">VLOOKUP(C103,'Base de Datos'!$E$7:$AR$382,39,0)</f>
        <v>SI</v>
      </c>
      <c r="U103" s="727"/>
      <c r="V103" s="639"/>
    </row>
    <row r="104" spans="2:22" ht="15" customHeight="1" outlineLevel="1" x14ac:dyDescent="0.25">
      <c r="B104" s="542">
        <v>142</v>
      </c>
      <c r="C104" s="538" t="str">
        <f>IF(ISERROR(VLOOKUP(B104,'Base de Datos'!$C$7:$F$4345,2,0))=TRUE,"",(VLOOKUP('Presupuesto - PAA 2015'!B104,'Base de Datos'!$C$7:$F$4345,3,0)))</f>
        <v>150228-0-2015</v>
      </c>
      <c r="D104" s="538" t="str">
        <f>IF(ISERROR(VLOOKUP(B104,'Base de Datos'!$C$7:$F$4345,3,0))=TRUE,"",(VLOOKUP('Presupuesto - PAA 2015'!B104,'Base de Datos'!$C$7:$F$4345,4,0)))</f>
        <v xml:space="preserve">REVISTA EL CONGRESO SIGLO XXI </v>
      </c>
      <c r="E104" s="541">
        <v>7800000</v>
      </c>
      <c r="F104" s="539" t="str">
        <f>VLOOKUP(B104,'Actualizada - presupuesto'!$D$7:$L$111,9,0)</f>
        <v>SI</v>
      </c>
      <c r="G104" s="539"/>
      <c r="H104" s="539"/>
      <c r="I104" s="539"/>
      <c r="J104" s="541">
        <f>IF(ISERROR(VLOOKUP(B104,'Base de Datos'!$C$7:$N$4345,6,0))=TRUE,"Sin Celebrar",(VLOOKUP(B104,'Base de Datos'!$C$7:$N$4345,7,0)))</f>
        <v>7800000</v>
      </c>
      <c r="K104" s="605"/>
      <c r="L104" s="541" t="str">
        <f t="shared" si="9"/>
        <v xml:space="preserve"> </v>
      </c>
      <c r="M104" s="541"/>
      <c r="N104" s="541" t="str">
        <f t="shared" si="10"/>
        <v xml:space="preserve"> </v>
      </c>
      <c r="O104" s="724" t="str">
        <f>IF(ISERROR(VLOOKUP(B104,'Base de Datos'!$C$7:$K$1048576,7,0))=TRUE," ",(VLOOKUP(B104,'Base de Datos'!$C$7:$K$1048576,8,0)))</f>
        <v>150228-0-2015</v>
      </c>
      <c r="P104" s="556">
        <f>IF(ISERROR(VLOOKUP(B104,'Base de Datos'!$C$7:$N$4330,9,0))=TRUE," ",(VLOOKUP(B104,'Base de Datos'!$C$7:$N$4330,10,0)))</f>
        <v>42139</v>
      </c>
      <c r="Q104" s="538" t="s">
        <v>1854</v>
      </c>
      <c r="R104" s="556">
        <f>IF(ISERROR(VLOOKUP(B104,'Base de Datos'!$C$7:$N$4330,10,0))=TRUE," ",(VLOOKUP(B104,'Base de Datos'!$C$7:$N$4330,11,0)))</f>
        <v>42145</v>
      </c>
      <c r="S104" s="556">
        <f>IF(ISERROR(VLOOKUP(B104,'Base de Datos'!$C$7:$N$4330,11,0))=TRUE," ",(VLOOKUP(B104,'Base de Datos'!$C$7:$N$4330,12,0)))</f>
        <v>42511</v>
      </c>
      <c r="T104" s="538" t="str">
        <f ca="1">VLOOKUP(C104,'Base de Datos'!$E$7:$AR$382,39,0)</f>
        <v>SI</v>
      </c>
      <c r="U104" s="727"/>
      <c r="V104" s="639"/>
    </row>
    <row r="105" spans="2:22" ht="24.75" customHeight="1" outlineLevel="1" x14ac:dyDescent="0.25">
      <c r="B105" s="542">
        <v>143</v>
      </c>
      <c r="C105" s="538" t="str">
        <f>IF(ISERROR(VLOOKUP(B105,'Base de Datos'!$C$7:$F$4345,2,0))=TRUE,"",(VLOOKUP('Presupuesto - PAA 2015'!B105,'Base de Datos'!$C$7:$F$4345,3,0)))</f>
        <v>150124-0-2015</v>
      </c>
      <c r="D105" s="538" t="str">
        <f>IF(ISERROR(VLOOKUP(B105,'Base de Datos'!$C$7:$F$4345,3,0))=TRUE,"",(VLOOKUP('Presupuesto - PAA 2015'!B105,'Base de Datos'!$C$7:$F$4345,4,0)))</f>
        <v>DPC LTDA PUBLICACIONES DESPACHOS PÚBLICOS DE COLOMBIA LTDA</v>
      </c>
      <c r="E105" s="541">
        <v>4100000</v>
      </c>
      <c r="F105" s="539" t="str">
        <f>VLOOKUP(B105,'Actualizada - presupuesto'!$D$7:$L$111,9,0)</f>
        <v>SI</v>
      </c>
      <c r="G105" s="539"/>
      <c r="H105" s="539"/>
      <c r="I105" s="539"/>
      <c r="J105" s="541">
        <f>IF(ISERROR(VLOOKUP(B105,'Base de Datos'!$C$7:$N$4345,6,0))=TRUE,"Sin Celebrar",(VLOOKUP(B105,'Base de Datos'!$C$7:$N$4345,7,0)))</f>
        <v>4100000</v>
      </c>
      <c r="K105" s="605"/>
      <c r="L105" s="541" t="str">
        <f t="shared" si="9"/>
        <v xml:space="preserve"> </v>
      </c>
      <c r="M105" s="541"/>
      <c r="N105" s="541" t="str">
        <f t="shared" si="10"/>
        <v xml:space="preserve"> </v>
      </c>
      <c r="O105" s="724" t="str">
        <f>IF(ISERROR(VLOOKUP(B105,'Base de Datos'!$C$7:$K$1048576,7,0))=TRUE," ",(VLOOKUP(B105,'Base de Datos'!$C$7:$K$1048576,8,0)))</f>
        <v>150124-0-2015</v>
      </c>
      <c r="P105" s="556">
        <f>IF(ISERROR(VLOOKUP(B105,'Base de Datos'!$C$7:$N$4330,9,0))=TRUE," ",(VLOOKUP(B105,'Base de Datos'!$C$7:$N$4330,10,0)))</f>
        <v>42080</v>
      </c>
      <c r="Q105" s="538" t="s">
        <v>1854</v>
      </c>
      <c r="R105" s="556">
        <f>IF(ISERROR(VLOOKUP(B105,'Base de Datos'!$C$7:$N$4330,10,0))=TRUE," ",(VLOOKUP(B105,'Base de Datos'!$C$7:$N$4330,11,0)))</f>
        <v>42088</v>
      </c>
      <c r="S105" s="556">
        <f>IF(ISERROR(VLOOKUP(B105,'Base de Datos'!$C$7:$N$4330,11,0))=TRUE," ",(VLOOKUP(B105,'Base de Datos'!$C$7:$N$4330,12,0)))</f>
        <v>42241</v>
      </c>
      <c r="T105" s="538" t="str">
        <f ca="1">VLOOKUP(C105,'Base de Datos'!$E$7:$AR$382,39,0)</f>
        <v>SI</v>
      </c>
      <c r="U105" s="727"/>
      <c r="V105" s="639"/>
    </row>
    <row r="106" spans="2:22" ht="14.25" customHeight="1" outlineLevel="1" x14ac:dyDescent="0.25">
      <c r="B106" s="542">
        <v>144</v>
      </c>
      <c r="C106" s="538" t="str">
        <f>IF(ISERROR(VLOOKUP(B106,'Base de Datos'!$C$7:$F$4345,2,0))=TRUE,"",(VLOOKUP('Presupuesto - PAA 2015'!B106,'Base de Datos'!$C$7:$F$4345,3,0)))</f>
        <v>150330-0-2015</v>
      </c>
      <c r="D106" s="538" t="str">
        <f>IF(ISERROR(VLOOKUP(B106,'Base de Datos'!$C$7:$F$4345,3,0))=TRUE,"",(VLOOKUP('Presupuesto - PAA 2015'!B106,'Base de Datos'!$C$7:$F$4345,4,0)))</f>
        <v xml:space="preserve">COMUNICAN SA </v>
      </c>
      <c r="E106" s="541">
        <v>936000</v>
      </c>
      <c r="F106" s="539" t="str">
        <f>VLOOKUP(B106,'Actualizada - presupuesto'!$D$7:$L$111,9,0)</f>
        <v>SI</v>
      </c>
      <c r="G106" s="539"/>
      <c r="H106" s="539"/>
      <c r="I106" s="539"/>
      <c r="J106" s="541">
        <f>IF(ISERROR(VLOOKUP(B106,'Base de Datos'!$C$7:$N$4345,6,0))=TRUE,"Sin Celebrar",(VLOOKUP(B106,'Base de Datos'!$C$7:$N$4345,7,0)))</f>
        <v>936000</v>
      </c>
      <c r="K106" s="605"/>
      <c r="L106" s="541" t="str">
        <f t="shared" si="9"/>
        <v xml:space="preserve"> </v>
      </c>
      <c r="M106" s="541"/>
      <c r="N106" s="541" t="str">
        <f t="shared" si="10"/>
        <v xml:space="preserve"> </v>
      </c>
      <c r="O106" s="724" t="str">
        <f>IF(ISERROR(VLOOKUP(B106,'Base de Datos'!$C$7:$K$1048576,7,0))=TRUE," ",(VLOOKUP(B106,'Base de Datos'!$C$7:$K$1048576,8,0)))</f>
        <v>150330-0-2015</v>
      </c>
      <c r="P106" s="556">
        <f>IF(ISERROR(VLOOKUP(B106,'Base de Datos'!$C$7:$N$4330,9,0))=TRUE," ",(VLOOKUP(B106,'Base de Datos'!$C$7:$N$4330,10,0)))</f>
        <v>42220</v>
      </c>
      <c r="Q106" s="538" t="s">
        <v>1854</v>
      </c>
      <c r="R106" s="556">
        <f>IF(ISERROR(VLOOKUP(B106,'Base de Datos'!$C$7:$N$4330,10,0))=TRUE," ",(VLOOKUP(B106,'Base de Datos'!$C$7:$N$4330,11,0)))</f>
        <v>42261</v>
      </c>
      <c r="S106" s="556">
        <f>IF(ISERROR(VLOOKUP(B106,'Base de Datos'!$C$7:$N$4330,11,0))=TRUE," ",(VLOOKUP(B106,'Base de Datos'!$C$7:$N$4330,12,0)))</f>
        <v>42627</v>
      </c>
      <c r="T106" s="538" t="str">
        <f ca="1">VLOOKUP(C106,'Base de Datos'!$E$7:$AR$382,39,0)</f>
        <v>SI</v>
      </c>
      <c r="U106" s="727"/>
      <c r="V106" s="639"/>
    </row>
    <row r="107" spans="2:22" ht="14.25" customHeight="1" outlineLevel="1" x14ac:dyDescent="0.25">
      <c r="B107" s="542">
        <v>145</v>
      </c>
      <c r="C107" s="538" t="str">
        <f>IF(ISERROR(VLOOKUP(B107,'Base de Datos'!$C$7:$F$4345,2,0))=TRUE,"",(VLOOKUP('Presupuesto - PAA 2015'!B107,'Base de Datos'!$C$7:$F$4345,3,0)))</f>
        <v>150363-0-2015</v>
      </c>
      <c r="D107" s="538" t="str">
        <f>IF(ISERROR(VLOOKUP(B107,'Base de Datos'!$C$7:$F$4345,3,0))=TRUE,"",(VLOOKUP('Presupuesto - PAA 2015'!B107,'Base de Datos'!$C$7:$F$4345,4,0)))</f>
        <v>EDITORIAL EL GLOBO S.A.</v>
      </c>
      <c r="E107" s="541">
        <v>764100</v>
      </c>
      <c r="F107" s="539" t="str">
        <f>VLOOKUP(B107,'Actualizada - presupuesto'!$D$7:$L$111,9,0)</f>
        <v>SI</v>
      </c>
      <c r="G107" s="539"/>
      <c r="H107" s="539"/>
      <c r="I107" s="539"/>
      <c r="J107" s="541">
        <f>IF(ISERROR(VLOOKUP(B107,'Base de Datos'!$C$7:$N$4345,6,0))=TRUE,"Sin Celebrar",(VLOOKUP(B107,'Base de Datos'!$C$7:$N$4345,7,0)))</f>
        <v>764100</v>
      </c>
      <c r="K107" s="605"/>
      <c r="L107" s="541" t="str">
        <f t="shared" si="9"/>
        <v xml:space="preserve"> </v>
      </c>
      <c r="M107" s="541"/>
      <c r="N107" s="541" t="str">
        <f t="shared" si="10"/>
        <v xml:space="preserve"> </v>
      </c>
      <c r="O107" s="724" t="str">
        <f>IF(ISERROR(VLOOKUP(B107,'Base de Datos'!$C$7:$K$1048576,7,0))=TRUE," ",(VLOOKUP(B107,'Base de Datos'!$C$7:$K$1048576,8,0)))</f>
        <v>150363-0-2015</v>
      </c>
      <c r="P107" s="556">
        <f>IF(ISERROR(VLOOKUP(B107,'Base de Datos'!$C$7:$N$4330,9,0))=TRUE," ",(VLOOKUP(B107,'Base de Datos'!$C$7:$N$4330,10,0)))</f>
        <v>42272</v>
      </c>
      <c r="Q107" s="538" t="s">
        <v>1854</v>
      </c>
      <c r="R107" s="556">
        <f>IF(ISERROR(VLOOKUP(B107,'Base de Datos'!$C$7:$N$4330,10,0))=TRUE," ",(VLOOKUP(B107,'Base de Datos'!$C$7:$N$4330,11,0)))</f>
        <v>42336</v>
      </c>
      <c r="S107" s="556">
        <f>IF(ISERROR(VLOOKUP(B107,'Base de Datos'!$C$7:$N$4330,11,0))=TRUE," ",(VLOOKUP(B107,'Base de Datos'!$C$7:$N$4330,12,0)))</f>
        <v>42702</v>
      </c>
      <c r="T107" s="538" t="str">
        <f ca="1">VLOOKUP(C107,'Base de Datos'!$E$7:$AR$382,39,0)</f>
        <v>SI</v>
      </c>
      <c r="U107" s="727"/>
      <c r="V107" s="639"/>
    </row>
    <row r="108" spans="2:22" ht="14.25" customHeight="1" outlineLevel="1" x14ac:dyDescent="0.25">
      <c r="B108" s="542">
        <v>146</v>
      </c>
      <c r="C108" s="538" t="str">
        <f>IF(ISERROR(VLOOKUP(B108,'Base de Datos'!$C$7:$F$4345,2,0))=TRUE,"",(VLOOKUP('Presupuesto - PAA 2015'!B108,'Base de Datos'!$C$7:$F$4345,3,0)))</f>
        <v>150342-0-2015</v>
      </c>
      <c r="D108" s="538" t="str">
        <f>IF(ISERROR(VLOOKUP(B108,'Base de Datos'!$C$7:$F$4345,3,0))=TRUE,"",(VLOOKUP('Presupuesto - PAA 2015'!B108,'Base de Datos'!$C$7:$F$4345,4,0)))</f>
        <v>PUBLICACIONES SEMANA S.A.</v>
      </c>
      <c r="E108" s="541">
        <v>825000</v>
      </c>
      <c r="F108" s="539" t="str">
        <f>VLOOKUP(B108,'Actualizada - presupuesto'!$D$7:$L$111,9,0)</f>
        <v>SI</v>
      </c>
      <c r="G108" s="539"/>
      <c r="H108" s="539"/>
      <c r="I108" s="539"/>
      <c r="J108" s="541">
        <f>IF(ISERROR(VLOOKUP(B108,'Base de Datos'!$C$7:$N$4345,6,0))=TRUE,"Sin Celebrar",(VLOOKUP(B108,'Base de Datos'!$C$7:$N$4345,7,0)))</f>
        <v>825000</v>
      </c>
      <c r="K108" s="605"/>
      <c r="L108" s="541" t="str">
        <f t="shared" si="9"/>
        <v xml:space="preserve"> </v>
      </c>
      <c r="M108" s="541"/>
      <c r="N108" s="541" t="str">
        <f t="shared" si="10"/>
        <v xml:space="preserve"> </v>
      </c>
      <c r="O108" s="724" t="str">
        <f>IF(ISERROR(VLOOKUP(B108,'Base de Datos'!$C$7:$K$1048576,7,0))=TRUE," ",(VLOOKUP(B108,'Base de Datos'!$C$7:$K$1048576,8,0)))</f>
        <v>150342-0-2015</v>
      </c>
      <c r="P108" s="556">
        <f>IF(ISERROR(VLOOKUP(B108,'Base de Datos'!$C$7:$N$4330,9,0))=TRUE," ",(VLOOKUP(B108,'Base de Datos'!$C$7:$N$4330,10,0)))</f>
        <v>42237</v>
      </c>
      <c r="Q108" s="538" t="s">
        <v>1857</v>
      </c>
      <c r="R108" s="556">
        <f>IF(ISERROR(VLOOKUP(B108,'Base de Datos'!$C$7:$N$4330,10,0))=TRUE," ",(VLOOKUP(B108,'Base de Datos'!$C$7:$N$4330,11,0)))</f>
        <v>42278</v>
      </c>
      <c r="S108" s="556">
        <f>IF(ISERROR(VLOOKUP(B108,'Base de Datos'!$C$7:$N$4330,11,0))=TRUE," ",(VLOOKUP(B108,'Base de Datos'!$C$7:$N$4330,12,0)))</f>
        <v>42644</v>
      </c>
      <c r="T108" s="538" t="str">
        <f ca="1">VLOOKUP(C108,'Base de Datos'!$E$7:$AR$382,39,0)</f>
        <v>SI</v>
      </c>
      <c r="U108" s="727"/>
      <c r="V108" s="639"/>
    </row>
    <row r="109" spans="2:22" ht="14.25" customHeight="1" outlineLevel="1" x14ac:dyDescent="0.25">
      <c r="B109" s="542">
        <v>147</v>
      </c>
      <c r="C109" s="538" t="str">
        <f>IF(ISERROR(VLOOKUP(B109,'Base de Datos'!$C$7:$F$4338,2,0))=TRUE,"",(VLOOKUP('Presupuesto - PAA 2015'!B109,'Base de Datos'!$C$7:$F$4338,2,0)))</f>
        <v>2016147</v>
      </c>
      <c r="D109" s="538" t="s">
        <v>1833</v>
      </c>
      <c r="E109" s="737"/>
      <c r="F109" s="539" t="str">
        <f>VLOOKUP(B109,'Actualizada - presupuesto'!$D$7:$L$111,9,0)</f>
        <v>NA</v>
      </c>
      <c r="G109" s="539"/>
      <c r="H109" s="539"/>
      <c r="I109" s="539"/>
      <c r="J109" s="541"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5"/>
      <c r="L109" s="541" t="str">
        <f t="shared" si="9"/>
        <v xml:space="preserve"> </v>
      </c>
      <c r="M109" s="541"/>
      <c r="N109" s="541" t="str">
        <f t="shared" si="10"/>
        <v xml:space="preserve"> </v>
      </c>
      <c r="O109" s="724" t="str">
        <f>IF(ISERROR(VLOOKUP(B109,'Base de Datos'!$C$7:$K$1048576,7,0))=TRUE," ",(VLOOKUP(B109,'Base de Datos'!$C$7:$K$1048576,8,0)))</f>
        <v>SDH-SMINC-17-2016</v>
      </c>
      <c r="P109" s="556">
        <f>IF(ISERROR(VLOOKUP(B109,'Base de Datos'!$C$7:$N$4330,9,0))=TRUE," ",(VLOOKUP(B109,'Base de Datos'!$C$7:$N$4330,10,0)))</f>
        <v>42556</v>
      </c>
      <c r="Q109" s="538" t="s">
        <v>1854</v>
      </c>
      <c r="R109" s="556">
        <f>IF(ISERROR(VLOOKUP(B109,'Base de Datos'!$C$7:$N$4330,10,0))=TRUE," ",(VLOOKUP(B109,'Base de Datos'!$C$7:$N$4330,11,0)))</f>
        <v>42579</v>
      </c>
      <c r="S109" s="556">
        <f>IF(ISERROR(VLOOKUP(B109,'Base de Datos'!$C$7:$N$4330,11,0))=TRUE," ",(VLOOKUP(B109,'Base de Datos'!$C$7:$N$4330,12,0)))</f>
        <v>42794</v>
      </c>
      <c r="T109" s="538" t="e">
        <f>VLOOKUP(C109,'Base de Datos'!$E$7:$AR$382,39,0)</f>
        <v>#N/A</v>
      </c>
      <c r="U109" s="727"/>
      <c r="V109" s="639"/>
    </row>
    <row r="110" spans="2:22" ht="28.5" customHeight="1" outlineLevel="1" x14ac:dyDescent="0.25">
      <c r="B110" s="542">
        <v>148</v>
      </c>
      <c r="C110" s="538" t="str">
        <f>IF(ISERROR(VLOOKUP(B110,'Base de Datos'!$C$7:$F$4345,2,0))=TRUE,"",(VLOOKUP('Presupuesto - PAA 2015'!B110,'Base de Datos'!$C$7:$F$4345,3,0)))</f>
        <v>150338-0-2015</v>
      </c>
      <c r="D110" s="538" t="str">
        <f>IF(ISERROR(VLOOKUP(B110,'Base de Datos'!$C$7:$F$4345,3,0))=TRUE,"",(VLOOKUP('Presupuesto - PAA 2015'!B110,'Base de Datos'!$C$7:$F$4345,4,0)))</f>
        <v>EDITORIAL LA UNIDAD S.A EN EJECUCIÓN DEL ACUERDO DE REESTRUCTURACIÓN</v>
      </c>
      <c r="E110" s="541">
        <v>880500</v>
      </c>
      <c r="F110" s="539" t="str">
        <f>VLOOKUP(B110,'Actualizada - presupuesto'!$D$7:$L$111,9,0)</f>
        <v>SI</v>
      </c>
      <c r="G110" s="539"/>
      <c r="H110" s="539"/>
      <c r="I110" s="539"/>
      <c r="J110" s="541">
        <f>IF(ISERROR(VLOOKUP(B110,'Base de Datos'!$C$7:$N$4345,6,0))=TRUE,"Sin Celebrar",(VLOOKUP(B110,'Base de Datos'!$C$7:$N$4345,7,0)))</f>
        <v>880500</v>
      </c>
      <c r="K110" s="605"/>
      <c r="L110" s="541" t="str">
        <f t="shared" si="9"/>
        <v xml:space="preserve"> </v>
      </c>
      <c r="M110" s="541"/>
      <c r="N110" s="541" t="str">
        <f t="shared" si="10"/>
        <v xml:space="preserve"> </v>
      </c>
      <c r="O110" s="724" t="str">
        <f>IF(ISERROR(VLOOKUP(B110,'Base de Datos'!$C$7:$K$1048576,7,0))=TRUE," ",(VLOOKUP(B110,'Base de Datos'!$C$7:$K$1048576,8,0)))</f>
        <v>150338-0-2015</v>
      </c>
      <c r="P110" s="556">
        <f>IF(ISERROR(VLOOKUP(B110,'Base de Datos'!$C$7:$N$4330,9,0))=TRUE," ",(VLOOKUP(B110,'Base de Datos'!$C$7:$N$4330,10,0)))</f>
        <v>42230</v>
      </c>
      <c r="Q110" s="538" t="s">
        <v>1854</v>
      </c>
      <c r="R110" s="556">
        <f>IF(ISERROR(VLOOKUP(B110,'Base de Datos'!$C$7:$N$4330,10,0))=TRUE," ",(VLOOKUP(B110,'Base de Datos'!$C$7:$N$4330,11,0)))</f>
        <v>42262</v>
      </c>
      <c r="S110" s="556">
        <f>IF(ISERROR(VLOOKUP(B110,'Base de Datos'!$C$7:$N$4330,11,0))=TRUE," ",(VLOOKUP(B110,'Base de Datos'!$C$7:$N$4330,12,0)))</f>
        <v>42628</v>
      </c>
      <c r="T110" s="538" t="str">
        <f ca="1">VLOOKUP(C110,'Base de Datos'!$E$7:$AR$382,39,0)</f>
        <v>SI</v>
      </c>
      <c r="U110" s="727"/>
      <c r="V110" s="639"/>
    </row>
    <row r="111" spans="2:22" ht="14.25" customHeight="1" outlineLevel="1" x14ac:dyDescent="0.25">
      <c r="B111" s="542">
        <v>170</v>
      </c>
      <c r="C111" s="538" t="str">
        <f>IF(ISERROR(VLOOKUP(B111,'Base de Datos'!$C$7:$F$4345,2,0))=TRUE,"",(VLOOKUP('Presupuesto - PAA 2015'!B111,'Base de Datos'!$C$7:$F$4345,3,0)))</f>
        <v>150241-0-2015</v>
      </c>
      <c r="D111" s="538" t="str">
        <f>IF(ISERROR(VLOOKUP(B111,'Base de Datos'!$C$7:$F$4345,3,0))=TRUE,"",(VLOOKUP('Presupuesto - PAA 2015'!B111,'Base de Datos'!$C$7:$F$4345,4,0)))</f>
        <v>SOLUTION COPY LTDA</v>
      </c>
      <c r="E111" s="541">
        <v>30552000</v>
      </c>
      <c r="F111" s="539" t="str">
        <f>VLOOKUP(B111,'Actualizada - presupuesto'!$D$7:$L$111,9,0)</f>
        <v>SI</v>
      </c>
      <c r="G111" s="539"/>
      <c r="H111" s="539"/>
      <c r="I111" s="539"/>
      <c r="J111" s="541">
        <f>IF(ISERROR(VLOOKUP(B111,'Base de Datos'!$C$7:$N$4345,6,0))=TRUE,"Sin Celebrar",(VLOOKUP(B111,'Base de Datos'!$C$7:$N$4345,7,0)))</f>
        <v>30552000</v>
      </c>
      <c r="K111" s="605"/>
      <c r="L111" s="541" t="str">
        <f t="shared" si="9"/>
        <v xml:space="preserve"> </v>
      </c>
      <c r="M111" s="541"/>
      <c r="N111" s="541" t="str">
        <f t="shared" si="10"/>
        <v xml:space="preserve"> </v>
      </c>
      <c r="O111" s="724" t="str">
        <f>IF(ISERROR(VLOOKUP(B111,'Base de Datos'!$C$7:$K$1048576,7,0))=TRUE," ",(VLOOKUP(B111,'Base de Datos'!$C$7:$K$1048576,8,0)))</f>
        <v>SDH-SIE-07-2015</v>
      </c>
      <c r="P111" s="556">
        <f>IF(ISERROR(VLOOKUP(B111,'Base de Datos'!$C$7:$N$4330,9,0))=TRUE," ",(VLOOKUP(B111,'Base de Datos'!$C$7:$N$4330,10,0)))</f>
        <v>42157</v>
      </c>
      <c r="Q111" s="538" t="s">
        <v>1857</v>
      </c>
      <c r="R111" s="556">
        <f>IF(ISERROR(VLOOKUP(B111,'Base de Datos'!$C$7:$N$4330,10,0))=TRUE," ",(VLOOKUP(B111,'Base de Datos'!$C$7:$N$4330,11,0)))</f>
        <v>42187</v>
      </c>
      <c r="S111" s="556">
        <f>IF(ISERROR(VLOOKUP(B111,'Base de Datos'!$C$7:$N$4330,11,0))=TRUE," ",(VLOOKUP(B111,'Base de Datos'!$C$7:$N$4330,12,0)))</f>
        <v>42431</v>
      </c>
      <c r="T111" s="538" t="str">
        <f ca="1">VLOOKUP(C111,'Base de Datos'!$E$7:$AR$382,39,0)</f>
        <v>SI</v>
      </c>
      <c r="U111" s="727"/>
      <c r="V111" s="639"/>
    </row>
    <row r="112" spans="2:22" ht="14.25" customHeight="1" outlineLevel="1" x14ac:dyDescent="0.25">
      <c r="B112" s="557">
        <v>267</v>
      </c>
      <c r="C112" s="538" t="s">
        <v>1345</v>
      </c>
      <c r="D112" s="558" t="s">
        <v>1855</v>
      </c>
      <c r="E112" s="559">
        <v>800000</v>
      </c>
      <c r="F112" s="560" t="s">
        <v>390</v>
      </c>
      <c r="G112" s="560"/>
      <c r="H112" s="560"/>
      <c r="I112" s="560"/>
      <c r="J112" s="559">
        <v>800000</v>
      </c>
      <c r="K112" s="609"/>
      <c r="L112" s="541" t="str">
        <f t="shared" si="9"/>
        <v xml:space="preserve"> </v>
      </c>
      <c r="M112" s="559"/>
      <c r="N112" s="559" t="str">
        <f t="shared" si="10"/>
        <v xml:space="preserve"> </v>
      </c>
      <c r="O112" s="724" t="str">
        <f>IF(ISERROR(VLOOKUP(B112,'Base de Datos'!$C$7:$K$1048576,7,0))=TRUE," ",(VLOOKUP(B112,'Base de Datos'!$C$7:$K$1048576,8,0)))</f>
        <v xml:space="preserve"> </v>
      </c>
      <c r="P112" s="556" t="str">
        <f>IF(ISERROR(VLOOKUP(B112,'Base de Datos'!$C$7:$N$4330,9,0))=TRUE," ",(VLOOKUP(B112,'Base de Datos'!$C$7:$N$4330,10,0)))</f>
        <v xml:space="preserve"> </v>
      </c>
      <c r="Q112" s="558"/>
      <c r="R112" s="556" t="str">
        <f>IF(ISERROR(VLOOKUP(B112,'Base de Datos'!$C$7:$N$4330,10,0))=TRUE," ",(VLOOKUP(B112,'Base de Datos'!$C$7:$N$4330,11,0)))</f>
        <v xml:space="preserve"> </v>
      </c>
      <c r="S112" s="556" t="str">
        <f>IF(ISERROR(VLOOKUP(B112,'Base de Datos'!$C$7:$N$4330,11,0))=TRUE," ",(VLOOKUP(B112,'Base de Datos'!$C$7:$N$4330,12,0)))</f>
        <v xml:space="preserve"> </v>
      </c>
      <c r="T112" s="538" t="str">
        <f ca="1">VLOOKUP(C112,'Base de Datos'!$E$7:$AR$382,39,0)</f>
        <v>SI</v>
      </c>
      <c r="U112" s="727"/>
      <c r="V112" s="639"/>
    </row>
    <row r="113" spans="2:22" ht="24.75" customHeight="1" outlineLevel="1" x14ac:dyDescent="0.25">
      <c r="B113" s="557">
        <v>335</v>
      </c>
      <c r="C113" s="538" t="str">
        <f>IF(ISERROR(VLOOKUP(B113,'Base de Datos'!$C$7:$F$4345,2,0))=TRUE,"",(VLOOKUP('Presupuesto - PAA 2015'!B113,'Base de Datos'!$C$7:$F$4345,3,0)))</f>
        <v>150380-0-2015</v>
      </c>
      <c r="D113" s="538" t="str">
        <f>IF(ISERROR(VLOOKUP(B113,'Base de Datos'!$C$7:$F$4345,3,0))=TRUE,"",(VLOOKUP('Presupuesto - PAA 2015'!B113,'Base de Datos'!$C$7:$F$4345,4,0)))</f>
        <v>EDITORES CONARTE SAS</v>
      </c>
      <c r="E113" s="559">
        <v>2742000</v>
      </c>
      <c r="F113" s="560"/>
      <c r="G113" s="560"/>
      <c r="H113" s="560"/>
      <c r="I113" s="560"/>
      <c r="J113" s="541">
        <f>IF(ISERROR(VLOOKUP(B113,'Base de Datos'!$C$7:$N$4345,6,0))=TRUE,"Sin Celebrar",(VLOOKUP(B113,'Base de Datos'!$C$7:$N$4345,7,0)))</f>
        <v>2742000</v>
      </c>
      <c r="K113" s="609"/>
      <c r="L113" s="541"/>
      <c r="M113" s="559"/>
      <c r="N113" s="559"/>
      <c r="O113" s="724" t="str">
        <f>IF(ISERROR(VLOOKUP(B113,'Base de Datos'!$C$7:$K$1048576,7,0))=TRUE," ",(VLOOKUP(B113,'Base de Datos'!$C$7:$K$1048576,8,0)))</f>
        <v>SDH-SMINC-60-2015</v>
      </c>
      <c r="P113" s="556">
        <f>IF(ISERROR(VLOOKUP(B113,'Base de Datos'!$C$7:$N$4330,9,0))=TRUE," ",(VLOOKUP(B113,'Base de Datos'!$C$7:$N$4330,10,0)))</f>
        <v>42305</v>
      </c>
      <c r="Q113" s="558" t="s">
        <v>544</v>
      </c>
      <c r="R113" s="556">
        <f>IF(ISERROR(VLOOKUP(B113,'Base de Datos'!$C$7:$N$4330,10,0))=TRUE," ",(VLOOKUP(B113,'Base de Datos'!$C$7:$N$4330,11,0)))</f>
        <v>42321</v>
      </c>
      <c r="S113" s="556">
        <f>IF(ISERROR(VLOOKUP(B113,'Base de Datos'!$C$7:$N$4330,11,0))=TRUE," ",(VLOOKUP(B113,'Base de Datos'!$C$7:$N$4330,12,0)))</f>
        <v>42534</v>
      </c>
      <c r="T113" s="538" t="str">
        <f ca="1">VLOOKUP(C113,'Base de Datos'!$E$7:$AR$382,39,0)</f>
        <v>SI</v>
      </c>
      <c r="U113" s="727"/>
      <c r="V113" s="639"/>
    </row>
    <row r="114" spans="2:22" outlineLevel="1" x14ac:dyDescent="0.25">
      <c r="B114" s="538"/>
      <c r="C114" s="538"/>
      <c r="D114" s="538" t="s">
        <v>1938</v>
      </c>
      <c r="E114" s="541">
        <f>E100-SUM(E102:E113)</f>
        <v>2658406</v>
      </c>
      <c r="F114" s="539"/>
      <c r="G114" s="539"/>
      <c r="H114" s="539"/>
      <c r="I114" s="539"/>
      <c r="J114" s="541"/>
      <c r="K114" s="605"/>
      <c r="L114" s="541"/>
      <c r="M114" s="541"/>
      <c r="N114" s="559">
        <f t="shared" si="10"/>
        <v>2658406</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2" t="s">
        <v>1657</v>
      </c>
      <c r="C116" s="1122"/>
      <c r="D116" s="1122"/>
      <c r="E116" s="562">
        <v>1188000000</v>
      </c>
      <c r="F116" s="563">
        <f>COUNTIF('Actualizada - presupuesto'!$E$7:$E$111,B116)</f>
        <v>0</v>
      </c>
      <c r="G116" s="563"/>
      <c r="H116" s="563"/>
      <c r="I116" s="563"/>
      <c r="J116" s="572">
        <f>+J117</f>
        <v>1168456110</v>
      </c>
      <c r="K116" s="614">
        <f>J116/E116</f>
        <v>0.9835489141414141</v>
      </c>
      <c r="L116" s="572">
        <f>+L117</f>
        <v>0</v>
      </c>
      <c r="M116" s="572"/>
      <c r="N116" s="572">
        <f>+N117</f>
        <v>19543890</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18" t="s">
        <v>1658</v>
      </c>
      <c r="C117" s="1118"/>
      <c r="D117" s="1118"/>
      <c r="E117" s="586">
        <v>1188000000</v>
      </c>
      <c r="F117" s="591">
        <f>COUNTIF('Actualizada - presupuesto'!$E$7:$E$111,B117)</f>
        <v>17</v>
      </c>
      <c r="G117" s="591"/>
      <c r="H117" s="591"/>
      <c r="I117" s="591"/>
      <c r="J117" s="586">
        <f>SUM(J119:J136)</f>
        <v>1168456110</v>
      </c>
      <c r="K117" s="608">
        <f>J117/E117</f>
        <v>0.9835489141414141</v>
      </c>
      <c r="L117" s="586">
        <f>SUM(L119:L136)</f>
        <v>0</v>
      </c>
      <c r="M117" s="586"/>
      <c r="N117" s="586">
        <f>+E117-J117-L117</f>
        <v>19543890</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ht="24" outlineLevel="1" x14ac:dyDescent="0.25">
      <c r="B119" s="542">
        <v>149</v>
      </c>
      <c r="C119" s="538" t="str">
        <f>IF(ISERROR(VLOOKUP(B119,'Base de Datos'!$C$7:$F$4345,2,0))=TRUE,"",(VLOOKUP('Presupuesto - PAA 2015'!B119,'Base de Datos'!$C$7:$F$4345,3,0)))</f>
        <v>150223-0-2015</v>
      </c>
      <c r="D119" s="538" t="str">
        <f>IF(ISERROR(VLOOKUP(B119,'Base de Datos'!$C$7:$F$4345,3,0))=TRUE,"",(VLOOKUP('Presupuesto - PAA 2015'!B119,'Base de Datos'!$C$7:$F$4345,4,0)))</f>
        <v>SECURITYCOM SAS</v>
      </c>
      <c r="E119" s="541">
        <v>2000000</v>
      </c>
      <c r="F119" s="539" t="str">
        <f>VLOOKUP(B119,'Actualizada - presupuesto'!$D$7:$L$111,9,0)</f>
        <v>SI</v>
      </c>
      <c r="G119" s="539"/>
      <c r="H119" s="539"/>
      <c r="I119" s="539"/>
      <c r="J119" s="541">
        <f>IF(ISERROR(VLOOKUP(B119,'Base de Datos'!$C$7:$N$4345,6,0))=TRUE,"Sin Celebrar",(VLOOKUP(B119,'Base de Datos'!$C$7:$N$4345,7,0)))</f>
        <v>2000000</v>
      </c>
      <c r="K119" s="605"/>
      <c r="L119" s="541" t="str">
        <f t="shared" ref="L119:L133" si="11">IF(J119=$AA$1,E119, " ")</f>
        <v xml:space="preserve"> </v>
      </c>
      <c r="M119" s="541"/>
      <c r="N119" s="541" t="str">
        <f t="shared" ref="N119:N133" si="12">IF(J119&lt;E119,(E119-J119)," ")</f>
        <v xml:space="preserve"> </v>
      </c>
      <c r="O119" s="724" t="str">
        <f>IF(ISERROR(VLOOKUP(B119,'Base de Datos'!$C$7:$K$1048576,7,0))=TRUE," ",(VLOOKUP(B119,'Base de Datos'!$C$7:$K$1048576,8,0)))</f>
        <v>SDH-SMINC-024-2015</v>
      </c>
      <c r="P119" s="556">
        <f>IF(ISERROR(VLOOKUP(B119,'Base de Datos'!$C$7:$N$4330,9,0))=TRUE," ",(VLOOKUP(B119,'Base de Datos'!$C$7:$N$4330,10,0)))</f>
        <v>42135</v>
      </c>
      <c r="Q119" s="538" t="s">
        <v>1857</v>
      </c>
      <c r="R119" s="556">
        <f>IF(ISERROR(VLOOKUP(B119,'Base de Datos'!$C$7:$N$4330,10,0))=TRUE," ",(VLOOKUP(B119,'Base de Datos'!$C$7:$N$4330,11,0)))</f>
        <v>42150</v>
      </c>
      <c r="S119" s="556">
        <f>IF(ISERROR(VLOOKUP(B119,'Base de Datos'!$C$7:$N$4330,11,0))=TRUE," ",(VLOOKUP(B119,'Base de Datos'!$C$7:$N$4330,12,0)))</f>
        <v>42455</v>
      </c>
      <c r="T119" s="538" t="str">
        <f ca="1">VLOOKUP(C119,'Base de Datos'!$E$7:$AR$382,39,0)</f>
        <v>SI</v>
      </c>
      <c r="U119" s="727"/>
      <c r="V119" s="639"/>
    </row>
    <row r="120" spans="2:22" ht="12" customHeight="1" outlineLevel="1" x14ac:dyDescent="0.25">
      <c r="B120" s="542">
        <v>150</v>
      </c>
      <c r="C120" s="538" t="str">
        <f>IF(ISERROR(VLOOKUP(B120,'Base de Datos'!$C$7:$F$4345,2,0))=TRUE,"",(VLOOKUP('Presupuesto - PAA 2015'!B120,'Base de Datos'!$C$7:$F$4345,3,0)))</f>
        <v>150168-0-2015</v>
      </c>
      <c r="D120" s="538" t="str">
        <f>IF(ISERROR(VLOOKUP(B120,'Base de Datos'!$C$7:$F$4345,3,0))=TRUE,"",(VLOOKUP('Presupuesto - PAA 2015'!B120,'Base de Datos'!$C$7:$F$4345,4,0)))</f>
        <v>MONRAK INGENIERIA LIMITADA</v>
      </c>
      <c r="E120" s="541">
        <v>4721200</v>
      </c>
      <c r="F120" s="539" t="str">
        <f>VLOOKUP(B120,'Actualizada - presupuesto'!$D$7:$L$111,9,0)</f>
        <v>SI</v>
      </c>
      <c r="G120" s="539"/>
      <c r="H120" s="539"/>
      <c r="I120" s="539"/>
      <c r="J120" s="541">
        <f>IF(ISERROR(VLOOKUP(B120,'Base de Datos'!$C$7:$N$4345,6,0))=TRUE,"Sin Celebrar",(VLOOKUP(B120,'Base de Datos'!$C$7:$N$4345,7,0)))</f>
        <v>4721200</v>
      </c>
      <c r="K120" s="605"/>
      <c r="L120" s="541" t="str">
        <f t="shared" si="11"/>
        <v xml:space="preserve"> </v>
      </c>
      <c r="M120" s="541"/>
      <c r="N120" s="541" t="str">
        <f t="shared" si="12"/>
        <v xml:space="preserve"> </v>
      </c>
      <c r="O120" s="724" t="str">
        <f>IF(ISERROR(VLOOKUP(B120,'Base de Datos'!$C$7:$K$1048576,7,0))=TRUE," ",(VLOOKUP(B120,'Base de Datos'!$C$7:$K$1048576,8,0)))</f>
        <v>SDH-SMINC-09-2015</v>
      </c>
      <c r="P120" s="556">
        <f>IF(ISERROR(VLOOKUP(B120,'Base de Datos'!$C$7:$N$4330,9,0))=TRUE," ",(VLOOKUP(B120,'Base de Datos'!$C$7:$N$4330,10,0)))</f>
        <v>42104</v>
      </c>
      <c r="Q120" s="538" t="s">
        <v>1110</v>
      </c>
      <c r="R120" s="556">
        <f>IF(ISERROR(VLOOKUP(B120,'Base de Datos'!$C$7:$N$4330,10,0))=TRUE," ",(VLOOKUP(B120,'Base de Datos'!$C$7:$N$4330,11,0)))</f>
        <v>42116</v>
      </c>
      <c r="S120" s="556">
        <f>IF(ISERROR(VLOOKUP(B120,'Base de Datos'!$C$7:$N$4330,11,0))=TRUE," ",(VLOOKUP(B120,'Base de Datos'!$C$7:$N$4330,12,0)))</f>
        <v>42451</v>
      </c>
      <c r="T120" s="538" t="str">
        <f ca="1">VLOOKUP(C120,'Base de Datos'!$E$7:$AR$382,39,0)</f>
        <v>SI</v>
      </c>
      <c r="U120" s="727"/>
      <c r="V120" s="639"/>
    </row>
    <row r="121" spans="2:22" ht="24" outlineLevel="1" x14ac:dyDescent="0.25">
      <c r="B121" s="542">
        <v>151</v>
      </c>
      <c r="C121" s="538" t="str">
        <f>IF(ISERROR(VLOOKUP(B121,'Base de Datos'!$C$7:$F$4345,2,0))=TRUE,"",(VLOOKUP('Presupuesto - PAA 2015'!B121,'Base de Datos'!$C$7:$F$4345,3,0)))</f>
        <v>150333-0-2015</v>
      </c>
      <c r="D121" s="538" t="str">
        <f>IF(ISERROR(VLOOKUP(B121,'Base de Datos'!$C$7:$F$4345,3,0))=TRUE,"",(VLOOKUP('Presupuesto - PAA 2015'!B121,'Base de Datos'!$C$7:$F$4345,4,0)))</f>
        <v>Consultoría Estructural y de Construcción SAS - CEYCO Ingeniería SAS</v>
      </c>
      <c r="E121" s="541">
        <v>14917500</v>
      </c>
      <c r="F121" s="539" t="str">
        <f>VLOOKUP(B121,'Actualizada - presupuesto'!$D$7:$L$111,9,0)</f>
        <v>SI</v>
      </c>
      <c r="G121" s="539"/>
      <c r="H121" s="539"/>
      <c r="I121" s="539"/>
      <c r="J121" s="541">
        <f>IF(ISERROR(VLOOKUP(B121,'Base de Datos'!$C$7:$N$4345,6,0))=TRUE,"Sin Celebrar",(VLOOKUP(B121,'Base de Datos'!$C$7:$N$4345,7,0)))</f>
        <v>14917500</v>
      </c>
      <c r="K121" s="605"/>
      <c r="L121" s="541" t="str">
        <f t="shared" si="11"/>
        <v xml:space="preserve"> </v>
      </c>
      <c r="M121" s="541"/>
      <c r="N121" s="541" t="str">
        <f t="shared" si="12"/>
        <v xml:space="preserve"> </v>
      </c>
      <c r="O121" s="724" t="str">
        <f>IF(ISERROR(VLOOKUP(B121,'Base de Datos'!$C$7:$K$1048576,7,0))=TRUE," ",(VLOOKUP(B121,'Base de Datos'!$C$7:$K$1048576,8,0)))</f>
        <v>SDH-SMINC-041-2015</v>
      </c>
      <c r="P121" s="556">
        <f>IF(ISERROR(VLOOKUP(B121,'Base de Datos'!$C$7:$N$4330,9,0))=TRUE," ",(VLOOKUP(B121,'Base de Datos'!$C$7:$N$4330,10,0)))</f>
        <v>42228</v>
      </c>
      <c r="Q121" s="538" t="s">
        <v>1857</v>
      </c>
      <c r="R121" s="556">
        <f>IF(ISERROR(VLOOKUP(B121,'Base de Datos'!$C$7:$N$4330,10,0))=TRUE," ",(VLOOKUP(B121,'Base de Datos'!$C$7:$N$4330,11,0)))</f>
        <v>42247</v>
      </c>
      <c r="S121" s="556">
        <f>IF(ISERROR(VLOOKUP(B121,'Base de Datos'!$C$7:$N$4330,11,0))=TRUE," ",(VLOOKUP(B121,'Base de Datos'!$C$7:$N$4330,12,0)))</f>
        <v>42551</v>
      </c>
      <c r="T121" s="538" t="str">
        <f ca="1">VLOOKUP(C121,'Base de Datos'!$E$7:$AR$382,39,0)</f>
        <v>SI</v>
      </c>
      <c r="U121" s="727"/>
      <c r="V121" s="639"/>
    </row>
    <row r="122" spans="2:22" ht="13.5" customHeight="1" outlineLevel="1" x14ac:dyDescent="0.25">
      <c r="B122" s="542">
        <v>152</v>
      </c>
      <c r="C122" s="538" t="str">
        <f>IF(ISERROR(VLOOKUP(B122,'Base de Datos'!$C$7:$F$4345,2,0))=TRUE,"",(VLOOKUP('Presupuesto - PAA 2015'!B122,'Base de Datos'!$C$7:$F$4345,3,0)))</f>
        <v>150129-0-2015</v>
      </c>
      <c r="D122" s="538" t="str">
        <f>IF(ISERROR(VLOOKUP(B122,'Base de Datos'!$C$7:$F$4345,3,0))=TRUE,"",(VLOOKUP('Presupuesto - PAA 2015'!B122,'Base de Datos'!$C$7:$F$4345,4,0)))</f>
        <v>DIEGO ALEJANDRO RUBIO RAMOS</v>
      </c>
      <c r="E122" s="541">
        <v>7442000</v>
      </c>
      <c r="F122" s="539" t="str">
        <f>VLOOKUP(B122,'Actualizada - presupuesto'!$D$7:$L$111,9,0)</f>
        <v>SI</v>
      </c>
      <c r="G122" s="539"/>
      <c r="H122" s="539"/>
      <c r="I122" s="539"/>
      <c r="J122" s="541">
        <f>IF(ISERROR(VLOOKUP(B122,'Base de Datos'!$C$7:$N$4345,6,0))=TRUE,"Sin Celebrar",(VLOOKUP(B122,'Base de Datos'!$C$7:$N$4345,7,0)))</f>
        <v>7442000</v>
      </c>
      <c r="K122" s="605"/>
      <c r="L122" s="541" t="str">
        <f t="shared" si="11"/>
        <v xml:space="preserve"> </v>
      </c>
      <c r="M122" s="541"/>
      <c r="N122" s="541" t="str">
        <f t="shared" si="12"/>
        <v xml:space="preserve"> </v>
      </c>
      <c r="O122" s="724" t="str">
        <f>IF(ISERROR(VLOOKUP(B122,'Base de Datos'!$C$7:$K$1048576,7,0))=TRUE," ",(VLOOKUP(B122,'Base de Datos'!$C$7:$K$1048576,8,0)))</f>
        <v>SDH-SMINC-02-2015</v>
      </c>
      <c r="P122" s="556">
        <f>IF(ISERROR(VLOOKUP(B122,'Base de Datos'!$C$7:$N$4330,9,0))=TRUE," ",(VLOOKUP(B122,'Base de Datos'!$C$7:$N$4330,10,0)))</f>
        <v>42082</v>
      </c>
      <c r="Q122" s="538" t="s">
        <v>1854</v>
      </c>
      <c r="R122" s="556">
        <f>IF(ISERROR(VLOOKUP(B122,'Base de Datos'!$C$7:$N$4330,10,0))=TRUE," ",(VLOOKUP(B122,'Base de Datos'!$C$7:$N$4330,11,0)))</f>
        <v>42111</v>
      </c>
      <c r="S122" s="556">
        <f>IF(ISERROR(VLOOKUP(B122,'Base de Datos'!$C$7:$N$4330,11,0))=TRUE," ",(VLOOKUP(B122,'Base de Datos'!$C$7:$N$4330,12,0)))</f>
        <v>42477</v>
      </c>
      <c r="T122" s="538" t="str">
        <f ca="1">VLOOKUP(C122,'Base de Datos'!$E$7:$AR$382,39,0)</f>
        <v>SI</v>
      </c>
      <c r="U122" s="727"/>
      <c r="V122" s="639"/>
    </row>
    <row r="123" spans="2:22" ht="10.5" customHeight="1" outlineLevel="1" x14ac:dyDescent="0.25">
      <c r="B123" s="632">
        <v>154</v>
      </c>
      <c r="C123" s="538" t="str">
        <f>IF(ISERROR(VLOOKUP(B123,'Base de Datos'!$C$7:$F$4345,2,0))=TRUE,"",(VLOOKUP('Presupuesto - PAA 2015'!B123,'Base de Datos'!$C$7:$F$4345,3,0)))</f>
        <v>150229-0-2015</v>
      </c>
      <c r="D123" s="538" t="str">
        <f>IF(ISERROR(VLOOKUP(B123,'Base de Datos'!$C$7:$F$4345,3,0))=TRUE,"",(VLOOKUP('Presupuesto - PAA 2015'!B123,'Base de Datos'!$C$7:$F$4345,4,0)))</f>
        <v xml:space="preserve">MOTORES Y MAQUINAS S.A. MOTORYSA </v>
      </c>
      <c r="E123" s="541">
        <v>28000000</v>
      </c>
      <c r="F123" s="539" t="str">
        <f>VLOOKUP(B123,'Actualizada - presupuesto'!$D$7:$L$111,9,0)</f>
        <v>SI</v>
      </c>
      <c r="G123" s="539"/>
      <c r="H123" s="539"/>
      <c r="I123" s="539"/>
      <c r="J123" s="541">
        <f>IF(ISERROR(VLOOKUP(B123,'Base de Datos'!$C$7:$N$4345,6,0))=TRUE,"Sin Celebrar",(VLOOKUP(B123,'Base de Datos'!$C$7:$N$4345,7,0)))</f>
        <v>28000000</v>
      </c>
      <c r="K123" s="605"/>
      <c r="L123" s="541" t="str">
        <f t="shared" si="11"/>
        <v xml:space="preserve"> </v>
      </c>
      <c r="M123" s="541"/>
      <c r="N123" s="541" t="str">
        <f t="shared" si="12"/>
        <v xml:space="preserve"> </v>
      </c>
      <c r="O123" s="724" t="str">
        <f>IF(ISERROR(VLOOKUP(B123,'Base de Datos'!$C$7:$K$1048576,7,0))=TRUE," ",(VLOOKUP(B123,'Base de Datos'!$C$7:$K$1048576,8,0)))</f>
        <v>150229-0-2015</v>
      </c>
      <c r="P123" s="556">
        <f>IF(ISERROR(VLOOKUP(B123,'Base de Datos'!$C$7:$N$4330,9,0))=TRUE," ",(VLOOKUP(B123,'Base de Datos'!$C$7:$N$4330,10,0)))</f>
        <v>42144</v>
      </c>
      <c r="Q123" s="538" t="s">
        <v>1110</v>
      </c>
      <c r="R123" s="556">
        <f>IF(ISERROR(VLOOKUP(B123,'Base de Datos'!$C$7:$N$4330,10,0))=TRUE," ",(VLOOKUP(B123,'Base de Datos'!$C$7:$N$4330,11,0)))</f>
        <v>42180</v>
      </c>
      <c r="S123" s="556">
        <f>IF(ISERROR(VLOOKUP(B123,'Base de Datos'!$C$7:$N$4330,11,0))=TRUE," ",(VLOOKUP(B123,'Base de Datos'!$C$7:$N$4330,12,0)))</f>
        <v>42546</v>
      </c>
      <c r="T123" s="538" t="str">
        <f ca="1">VLOOKUP(C123,'Base de Datos'!$E$7:$AR$382,39,0)</f>
        <v>SI</v>
      </c>
      <c r="U123" s="727"/>
      <c r="V123" s="639"/>
    </row>
    <row r="124" spans="2:22" ht="24" outlineLevel="1" x14ac:dyDescent="0.25">
      <c r="B124" s="542">
        <v>155</v>
      </c>
      <c r="C124" s="538" t="str">
        <f>IF(ISERROR(VLOOKUP(B124,'Base de Datos'!$C$7:$F$4345,2,0))=TRUE,"",(VLOOKUP('Presupuesto - PAA 2015'!B124,'Base de Datos'!$C$7:$F$4345,3,0)))</f>
        <v>150341-0-2015</v>
      </c>
      <c r="D124" s="538" t="str">
        <f>IF(ISERROR(VLOOKUP(B124,'Base de Datos'!$C$7:$F$4345,3,0))=TRUE,"",(VLOOKUP('Presupuesto - PAA 2015'!B124,'Base de Datos'!$C$7:$F$4345,4,0)))</f>
        <v>INGENIERIA DE BOMBAS Y PLANTAS LIMITADA</v>
      </c>
      <c r="E124" s="541">
        <v>5000000</v>
      </c>
      <c r="F124" s="539" t="str">
        <f>VLOOKUP(B124,'Actualizada - presupuesto'!$D$7:$L$111,9,0)</f>
        <v>SI</v>
      </c>
      <c r="G124" s="539"/>
      <c r="H124" s="539"/>
      <c r="I124" s="539"/>
      <c r="J124" s="541">
        <f>IF(ISERROR(VLOOKUP(B124,'Base de Datos'!$C$7:$N$4345,6,0))=TRUE,"Sin Celebrar",(VLOOKUP(B124,'Base de Datos'!$C$7:$N$4345,7,0)))</f>
        <v>5000000</v>
      </c>
      <c r="K124" s="605"/>
      <c r="L124" s="541" t="str">
        <f t="shared" si="11"/>
        <v xml:space="preserve"> </v>
      </c>
      <c r="M124" s="541"/>
      <c r="N124" s="541" t="str">
        <f t="shared" si="12"/>
        <v xml:space="preserve"> </v>
      </c>
      <c r="O124" s="724" t="str">
        <f>IF(ISERROR(VLOOKUP(B124,'Base de Datos'!$C$7:$K$1048576,7,0))=TRUE," ",(VLOOKUP(B124,'Base de Datos'!$C$7:$K$1048576,8,0)))</f>
        <v>SDH-SMINC-49-2015</v>
      </c>
      <c r="P124" s="556">
        <f>IF(ISERROR(VLOOKUP(B124,'Base de Datos'!$C$7:$N$4330,9,0))=TRUE," ",(VLOOKUP(B124,'Base de Datos'!$C$7:$N$4330,10,0)))</f>
        <v>42236</v>
      </c>
      <c r="Q124" s="538" t="s">
        <v>1322</v>
      </c>
      <c r="R124" s="556">
        <f>IF(ISERROR(VLOOKUP(B124,'Base de Datos'!$C$7:$N$4330,10,0))=TRUE," ",(VLOOKUP(B124,'Base de Datos'!$C$7:$N$4330,11,0)))</f>
        <v>42244</v>
      </c>
      <c r="S124" s="556">
        <f>IF(ISERROR(VLOOKUP(B124,'Base de Datos'!$C$7:$N$4330,11,0))=TRUE," ",(VLOOKUP(B124,'Base de Datos'!$C$7:$N$4330,12,0)))</f>
        <v>42549</v>
      </c>
      <c r="T124" s="538" t="str">
        <f ca="1">VLOOKUP(C124,'Base de Datos'!$E$7:$AR$382,39,0)</f>
        <v>SI</v>
      </c>
      <c r="U124" s="727"/>
      <c r="V124" s="639"/>
    </row>
    <row r="125" spans="2:22" ht="24" outlineLevel="1" x14ac:dyDescent="0.25">
      <c r="B125" s="542">
        <v>164</v>
      </c>
      <c r="C125" s="538" t="str">
        <f>IF(ISERROR(VLOOKUP(B125,'Base de Datos'!$C$7:$F$4345,2,0))=TRUE,"",(VLOOKUP('Presupuesto - PAA 2015'!B125,'Base de Datos'!$C$7:$F$4345,3,0)))</f>
        <v>150358-0-2015</v>
      </c>
      <c r="D125" s="538" t="str">
        <f>IF(ISERROR(VLOOKUP(B125,'Base de Datos'!$C$7:$F$4345,3,0))=TRUE,"",(VLOOKUP('Presupuesto - PAA 2015'!B125,'Base de Datos'!$C$7:$F$4345,4,0)))</f>
        <v>MITSU MOTORS SERVICE S.A.S.</v>
      </c>
      <c r="E125" s="541">
        <v>25390000</v>
      </c>
      <c r="F125" s="539" t="str">
        <f>VLOOKUP(B125,'Actualizada - presupuesto'!$D$7:$L$111,9,0)</f>
        <v>SI</v>
      </c>
      <c r="G125" s="539"/>
      <c r="H125" s="539"/>
      <c r="I125" s="539"/>
      <c r="J125" s="541">
        <v>25390000</v>
      </c>
      <c r="K125" s="605"/>
      <c r="L125" s="541" t="str">
        <f t="shared" si="11"/>
        <v xml:space="preserve"> </v>
      </c>
      <c r="M125" s="541"/>
      <c r="N125" s="541" t="str">
        <f t="shared" si="12"/>
        <v xml:space="preserve"> </v>
      </c>
      <c r="O125" s="724" t="str">
        <f>IF(ISERROR(VLOOKUP(B125,'Base de Datos'!$C$7:$K$1048576,7,0))=TRUE," ",(VLOOKUP(B125,'Base de Datos'!$C$7:$K$1048576,8,0)))</f>
        <v>SDH-SMINC-053-2015</v>
      </c>
      <c r="P125" s="556">
        <f>IF(ISERROR(VLOOKUP(B125,'Base de Datos'!$C$7:$N$4330,9,0))=TRUE," ",(VLOOKUP(B125,'Base de Datos'!$C$7:$N$4330,10,0)))</f>
        <v>42268</v>
      </c>
      <c r="Q125" s="538" t="s">
        <v>1854</v>
      </c>
      <c r="R125" s="556">
        <f>IF(ISERROR(VLOOKUP(B125,'Base de Datos'!$C$7:$N$4330,10,0))=TRUE," ",(VLOOKUP(B125,'Base de Datos'!$C$7:$N$4330,11,0)))</f>
        <v>42296</v>
      </c>
      <c r="S125" s="556">
        <f>IF(ISERROR(VLOOKUP(B125,'Base de Datos'!$C$7:$N$4330,11,0))=TRUE," ",(VLOOKUP(B125,'Base de Datos'!$C$7:$N$4330,12,0)))</f>
        <v>42662</v>
      </c>
      <c r="T125" s="538" t="str">
        <f ca="1">VLOOKUP(C125,'Base de Datos'!$E$7:$AR$382,39,0)</f>
        <v>SI</v>
      </c>
      <c r="U125" s="727"/>
      <c r="V125" s="639"/>
    </row>
    <row r="126" spans="2:22" ht="15" customHeight="1" outlineLevel="1" x14ac:dyDescent="0.25">
      <c r="B126" s="542">
        <v>165</v>
      </c>
      <c r="C126" s="538" t="str">
        <f>IF(ISERROR(VLOOKUP(B126,'Base de Datos'!$C$7:$F$4345,2,0))=TRUE,"",(VLOOKUP('Presupuesto - PAA 2015'!B126,'Base de Datos'!$C$7:$F$4345,3,0)))</f>
        <v>150265-0-2015</v>
      </c>
      <c r="D126" s="538" t="str">
        <f>IF(ISERROR(VLOOKUP(B126,'Base de Datos'!$C$7:$F$4345,3,0))=TRUE,"",(VLOOKUP('Presupuesto - PAA 2015'!B126,'Base de Datos'!$C$7:$F$4345,4,0)))</f>
        <v>FLOREZ &amp; ALVAREZ S.A.</v>
      </c>
      <c r="E126" s="541">
        <v>209000000</v>
      </c>
      <c r="F126" s="539" t="str">
        <f>VLOOKUP(B126,'Actualizada - presupuesto'!$D$7:$L$111,9,0)</f>
        <v>SI</v>
      </c>
      <c r="G126" s="539"/>
      <c r="H126" s="539"/>
      <c r="I126" s="539"/>
      <c r="J126" s="541">
        <v>209000000</v>
      </c>
      <c r="K126" s="605"/>
      <c r="L126" s="541" t="str">
        <f t="shared" si="11"/>
        <v xml:space="preserve"> </v>
      </c>
      <c r="M126" s="541"/>
      <c r="N126" s="541" t="str">
        <f t="shared" si="12"/>
        <v xml:space="preserve"> </v>
      </c>
      <c r="O126" s="724" t="str">
        <f>IF(ISERROR(VLOOKUP(B126,'Base de Datos'!$C$7:$K$1048576,7,0))=TRUE," ",(VLOOKUP(B126,'Base de Datos'!$C$7:$K$1048576,8,0)))</f>
        <v>SDH-SIE-05-2015</v>
      </c>
      <c r="P126" s="556">
        <f>IF(ISERROR(VLOOKUP(B126,'Base de Datos'!$C$7:$N$4330,9,0))=TRUE," ",(VLOOKUP(B126,'Base de Datos'!$C$7:$N$4330,10,0)))</f>
        <v>42174</v>
      </c>
      <c r="Q126" s="538" t="s">
        <v>1857</v>
      </c>
      <c r="R126" s="556">
        <f>IF(ISERROR(VLOOKUP(B126,'Base de Datos'!$C$7:$N$4330,10,0))=TRUE," ",(VLOOKUP(B126,'Base de Datos'!$C$7:$N$4330,11,0)))</f>
        <v>42187</v>
      </c>
      <c r="S126" s="556">
        <f>IF(ISERROR(VLOOKUP(B126,'Base de Datos'!$C$7:$N$4330,11,0))=TRUE," ",(VLOOKUP(B126,'Base de Datos'!$C$7:$N$4330,12,0)))</f>
        <v>42492</v>
      </c>
      <c r="T126" s="538" t="str">
        <f ca="1">VLOOKUP(C126,'Base de Datos'!$E$7:$AR$382,39,0)</f>
        <v>SI</v>
      </c>
      <c r="U126" s="727"/>
      <c r="V126" s="639"/>
    </row>
    <row r="127" spans="2:22" outlineLevel="1" x14ac:dyDescent="0.25">
      <c r="B127" s="542">
        <v>171</v>
      </c>
      <c r="C127" s="538" t="str">
        <f>IF(ISERROR(VLOOKUP(B127,'Base de Datos'!$C$7:$F$4345,2,0))=TRUE,"",(VLOOKUP('Presupuesto - PAA 2015'!B127,'Base de Datos'!$C$7:$F$4345,3,0)))</f>
        <v>150219-0-2015</v>
      </c>
      <c r="D127" s="538" t="str">
        <f>IF(ISERROR(VLOOKUP(B127,'Base de Datos'!$C$7:$F$4345,3,0))=TRUE,"",(VLOOKUP('Presupuesto - PAA 2015'!B127,'Base de Datos'!$C$7:$F$4345,4,0)))</f>
        <v>MITSUBISHI ELECTRIC DE COLOMBIA LTDA</v>
      </c>
      <c r="E127" s="541">
        <v>14210000</v>
      </c>
      <c r="F127" s="539" t="str">
        <f>VLOOKUP(B127,'Actualizada - presupuesto'!$D$7:$L$111,9,0)</f>
        <v>SI</v>
      </c>
      <c r="G127" s="539"/>
      <c r="H127" s="539"/>
      <c r="I127" s="539"/>
      <c r="J127" s="541">
        <f>IF(ISERROR(VLOOKUP(B127,'Base de Datos'!$C$7:$N$4345,6,0))=TRUE,"Sin Celebrar",(VLOOKUP(B127,'Base de Datos'!$C$7:$N$4345,7,0)))</f>
        <v>14210000</v>
      </c>
      <c r="K127" s="605"/>
      <c r="L127" s="541" t="str">
        <f t="shared" si="11"/>
        <v xml:space="preserve"> </v>
      </c>
      <c r="M127" s="541"/>
      <c r="N127" s="541" t="str">
        <f t="shared" si="12"/>
        <v xml:space="preserve"> </v>
      </c>
      <c r="O127" s="724" t="str">
        <f>IF(ISERROR(VLOOKUP(B127,'Base de Datos'!$C$7:$K$1048576,7,0))=TRUE," ",(VLOOKUP(B127,'Base de Datos'!$C$7:$K$1048576,8,0)))</f>
        <v>150219-0-2015</v>
      </c>
      <c r="P127" s="556">
        <f>IF(ISERROR(VLOOKUP(B127,'Base de Datos'!$C$7:$N$4330,9,0))=TRUE," ",(VLOOKUP(B127,'Base de Datos'!$C$7:$N$4330,10,0)))</f>
        <v>42132</v>
      </c>
      <c r="Q127" s="538" t="s">
        <v>1857</v>
      </c>
      <c r="R127" s="556">
        <f>IF(ISERROR(VLOOKUP(B127,'Base de Datos'!$C$7:$N$4330,10,0))=TRUE," ",(VLOOKUP(B127,'Base de Datos'!$C$7:$N$4330,11,0)))</f>
        <v>42149</v>
      </c>
      <c r="S127" s="556">
        <f>IF(ISERROR(VLOOKUP(B127,'Base de Datos'!$C$7:$N$4330,11,0))=TRUE," ",(VLOOKUP(B127,'Base de Datos'!$C$7:$N$4330,12,0)))</f>
        <v>42454</v>
      </c>
      <c r="T127" s="538" t="str">
        <f ca="1">VLOOKUP(C127,'Base de Datos'!$E$7:$AR$382,39,0)</f>
        <v>SI</v>
      </c>
      <c r="U127" s="727"/>
      <c r="V127" s="639"/>
    </row>
    <row r="128" spans="2:22" ht="12" customHeight="1" outlineLevel="1" x14ac:dyDescent="0.25">
      <c r="B128" s="542">
        <v>172</v>
      </c>
      <c r="C128" s="538" t="str">
        <f>IF(ISERROR(VLOOKUP(B128,'Base de Datos'!$C$7:$F$4345,2,0))=TRUE,"",(VLOOKUP('Presupuesto - PAA 2015'!B128,'Base de Datos'!$C$7:$F$4345,3,0)))</f>
        <v>150215-0-2015</v>
      </c>
      <c r="D128" s="538" t="str">
        <f>IF(ISERROR(VLOOKUP(B128,'Base de Datos'!$C$7:$F$4345,3,0))=TRUE,"",(VLOOKUP('Presupuesto - PAA 2015'!B128,'Base de Datos'!$C$7:$F$4345,4,0)))</f>
        <v>MODULARES OFIMA LTDA</v>
      </c>
      <c r="E128" s="541">
        <v>5874000</v>
      </c>
      <c r="F128" s="539" t="str">
        <f>VLOOKUP(B128,'Actualizada - presupuesto'!$D$7:$L$111,9,0)</f>
        <v>SI</v>
      </c>
      <c r="G128" s="539"/>
      <c r="H128" s="539"/>
      <c r="I128" s="539"/>
      <c r="J128" s="541">
        <f>IF(ISERROR(VLOOKUP(B128,'Base de Datos'!$C$7:$N$4345,6,0))=TRUE,"Sin Celebrar",(VLOOKUP(B128,'Base de Datos'!$C$7:$N$4345,7,0)))</f>
        <v>5874000</v>
      </c>
      <c r="K128" s="605"/>
      <c r="L128" s="541" t="str">
        <f t="shared" si="11"/>
        <v xml:space="preserve"> </v>
      </c>
      <c r="M128" s="541"/>
      <c r="N128" s="541" t="str">
        <f t="shared" si="12"/>
        <v xml:space="preserve"> </v>
      </c>
      <c r="O128" s="724" t="str">
        <f>IF(ISERROR(VLOOKUP(B128,'Base de Datos'!$C$7:$K$1048576,7,0))=TRUE," ",(VLOOKUP(B128,'Base de Datos'!$C$7:$K$1048576,8,0)))</f>
        <v>SDH-SMINC-19-2015</v>
      </c>
      <c r="P128" s="556">
        <f>IF(ISERROR(VLOOKUP(B128,'Base de Datos'!$C$7:$N$4330,9,0))=TRUE," ",(VLOOKUP(B128,'Base de Datos'!$C$7:$N$4330,10,0)))</f>
        <v>42130</v>
      </c>
      <c r="Q128" s="538" t="s">
        <v>1854</v>
      </c>
      <c r="R128" s="556">
        <f>IF(ISERROR(VLOOKUP(B128,'Base de Datos'!$C$7:$N$4330,10,0))=TRUE," ",(VLOOKUP(B128,'Base de Datos'!$C$7:$N$4330,11,0)))</f>
        <v>42149</v>
      </c>
      <c r="S128" s="556">
        <f>IF(ISERROR(VLOOKUP(B128,'Base de Datos'!$C$7:$N$4330,11,0))=TRUE," ",(VLOOKUP(B128,'Base de Datos'!$C$7:$N$4330,12,0)))</f>
        <v>42515</v>
      </c>
      <c r="T128" s="538" t="str">
        <f ca="1">VLOOKUP(C128,'Base de Datos'!$E$7:$AR$382,39,0)</f>
        <v>SI</v>
      </c>
      <c r="U128" s="727"/>
      <c r="V128" s="639"/>
    </row>
    <row r="129" spans="2:22" ht="24" outlineLevel="1" x14ac:dyDescent="0.25">
      <c r="B129" s="542">
        <v>173</v>
      </c>
      <c r="C129" s="538" t="str">
        <f>IF(ISERROR(VLOOKUP(B129,'Base de Datos'!$C$7:$F$4345,2,0))=TRUE,"",(VLOOKUP('Presupuesto - PAA 2015'!B129,'Base de Datos'!$C$7:$F$4345,3,0)))</f>
        <v>150323-0-2015</v>
      </c>
      <c r="D129" s="538" t="str">
        <f>IF(ISERROR(VLOOKUP(B129,'Base de Datos'!$C$7:$F$4345,3,0))=TRUE,"",(VLOOKUP('Presupuesto - PAA 2015'!B129,'Base de Datos'!$C$7:$F$4345,4,0)))</f>
        <v>ALCALA &amp; ESPINOSA DISEÑO Y CONSTRUCCIÓN Ltda.</v>
      </c>
      <c r="E129" s="541">
        <v>213921490</v>
      </c>
      <c r="F129" s="539" t="str">
        <f>VLOOKUP(B129,'Actualizada - presupuesto'!$D$7:$L$111,9,0)</f>
        <v>SI</v>
      </c>
      <c r="G129" s="539"/>
      <c r="H129" s="539"/>
      <c r="I129" s="539"/>
      <c r="J129" s="541">
        <f>IF(ISERROR(VLOOKUP(B129,'Base de Datos'!$C$7:$N$4345,6,0))=TRUE,"Sin Celebrar",(VLOOKUP(B129,'Base de Datos'!$C$7:$N$4345,7,0)))</f>
        <v>213921490</v>
      </c>
      <c r="K129" s="605"/>
      <c r="L129" s="541" t="str">
        <f t="shared" si="11"/>
        <v xml:space="preserve"> </v>
      </c>
      <c r="M129" s="541"/>
      <c r="N129" s="541" t="str">
        <f t="shared" si="12"/>
        <v xml:space="preserve"> </v>
      </c>
      <c r="O129" s="724" t="str">
        <f>IF(ISERROR(VLOOKUP(B129,'Base de Datos'!$C$7:$K$1048576,7,0))=TRUE," ",(VLOOKUP(B129,'Base de Datos'!$C$7:$K$1048576,8,0)))</f>
        <v>SDH-SAMC-05-2015</v>
      </c>
      <c r="P129" s="556">
        <f>IF(ISERROR(VLOOKUP(B129,'Base de Datos'!$C$7:$N$4330,9,0))=TRUE," ",(VLOOKUP(B129,'Base de Datos'!$C$7:$N$4330,10,0)))</f>
        <v>42213</v>
      </c>
      <c r="Q129" s="538" t="s">
        <v>1322</v>
      </c>
      <c r="R129" s="556">
        <f>IF(ISERROR(VLOOKUP(B129,'Base de Datos'!$C$7:$N$4330,10,0))=TRUE," ",(VLOOKUP(B129,'Base de Datos'!$C$7:$N$4330,11,0)))</f>
        <v>42250</v>
      </c>
      <c r="S129" s="556">
        <f>IF(ISERROR(VLOOKUP(B129,'Base de Datos'!$C$7:$N$4330,11,0))=TRUE," ",(VLOOKUP(B129,'Base de Datos'!$C$7:$N$4330,12,0)))</f>
        <v>42524</v>
      </c>
      <c r="T129" s="538" t="str">
        <f ca="1">VLOOKUP(C129,'Base de Datos'!$E$7:$AR$382,39,0)</f>
        <v>SI</v>
      </c>
      <c r="U129" s="727"/>
      <c r="V129" s="639"/>
    </row>
    <row r="130" spans="2:22" outlineLevel="1" x14ac:dyDescent="0.25">
      <c r="B130" s="542">
        <v>174</v>
      </c>
      <c r="C130" s="538" t="str">
        <f>IF(ISERROR(VLOOKUP(B130,'Base de Datos'!$C$7:$F$4345,2,0))=TRUE,"",(VLOOKUP('Presupuesto - PAA 2015'!B130,'Base de Datos'!$C$7:$F$4345,3,0)))</f>
        <v>150226-0-2015</v>
      </c>
      <c r="D130" s="538" t="str">
        <f>IF(ISERROR(VLOOKUP(B130,'Base de Datos'!$C$7:$F$4345,3,0))=TRUE,"",(VLOOKUP('Presupuesto - PAA 2015'!B130,'Base de Datos'!$C$7:$F$4345,4,0)))</f>
        <v>COOPERATIVA DE VIGILANTES STARCOOP CTA</v>
      </c>
      <c r="E130" s="541">
        <v>566000000</v>
      </c>
      <c r="F130" s="539" t="str">
        <f>VLOOKUP(B130,'Actualizada - presupuesto'!$D$7:$L$111,9,0)</f>
        <v>SI</v>
      </c>
      <c r="G130" s="539"/>
      <c r="H130" s="539"/>
      <c r="I130" s="539"/>
      <c r="J130" s="541">
        <f>IF(ISERROR(VLOOKUP(B130,'Base de Datos'!$C$7:$N$4345,6,0))=TRUE,"Sin Celebrar",(VLOOKUP(B130,'Base de Datos'!$C$7:$N$4345,7,0)))</f>
        <v>566000000</v>
      </c>
      <c r="K130" s="605"/>
      <c r="L130" s="541" t="str">
        <f t="shared" si="11"/>
        <v xml:space="preserve"> </v>
      </c>
      <c r="M130" s="541"/>
      <c r="N130" s="541" t="str">
        <f t="shared" si="12"/>
        <v xml:space="preserve"> </v>
      </c>
      <c r="O130" s="724" t="str">
        <f>IF(ISERROR(VLOOKUP(B130,'Base de Datos'!$C$7:$K$1048576,7,0))=TRUE," ",(VLOOKUP(B130,'Base de Datos'!$C$7:$K$1048576,8,0)))</f>
        <v>SDH-SIE-03-2015</v>
      </c>
      <c r="P130" s="556">
        <f>IF(ISERROR(VLOOKUP(B130,'Base de Datos'!$C$7:$N$4330,9,0))=TRUE," ",(VLOOKUP(B130,'Base de Datos'!$C$7:$N$4330,10,0)))</f>
        <v>42136</v>
      </c>
      <c r="Q130" s="538" t="s">
        <v>1854</v>
      </c>
      <c r="R130" s="556">
        <f>IF(ISERROR(VLOOKUP(B130,'Base de Datos'!$C$7:$N$4330,10,0))=TRUE," ",(VLOOKUP(B130,'Base de Datos'!$C$7:$N$4330,11,0)))</f>
        <v>42141</v>
      </c>
      <c r="S130" s="556">
        <f>IF(ISERROR(VLOOKUP(B130,'Base de Datos'!$C$7:$N$4330,11,0))=TRUE," ",(VLOOKUP(B130,'Base de Datos'!$C$7:$N$4330,12,0)))</f>
        <v>42507</v>
      </c>
      <c r="T130" s="538" t="str">
        <f ca="1">VLOOKUP(C130,'Base de Datos'!$E$7:$AR$382,39,0)</f>
        <v>SI</v>
      </c>
      <c r="U130" s="727"/>
      <c r="V130" s="639"/>
    </row>
    <row r="131" spans="2:22" ht="9.75" customHeight="1" outlineLevel="1" x14ac:dyDescent="0.25">
      <c r="B131" s="542">
        <v>175</v>
      </c>
      <c r="C131" s="538" t="str">
        <f>IF(ISERROR(VLOOKUP(B131,'Base de Datos'!$C$7:$F$4345,2,0))=TRUE,"",(VLOOKUP('Presupuesto - PAA 2015'!B131,'Base de Datos'!$C$7:$F$4345,3,0)))</f>
        <v>150191-0-2015</v>
      </c>
      <c r="D131" s="538" t="str">
        <f>IF(ISERROR(VLOOKUP(B131,'Base de Datos'!$C$7:$F$4345,3,0))=TRUE,"",(VLOOKUP('Presupuesto - PAA 2015'!B131,'Base de Datos'!$C$7:$F$4345,4,0)))</f>
        <v>HERNANDO  BULLA ORJUELA</v>
      </c>
      <c r="E131" s="541">
        <v>27620000</v>
      </c>
      <c r="F131" s="539" t="str">
        <f>VLOOKUP(B131,'Actualizada - presupuesto'!$D$7:$L$111,9,0)</f>
        <v>SI</v>
      </c>
      <c r="G131" s="539"/>
      <c r="H131" s="539"/>
      <c r="I131" s="539"/>
      <c r="J131" s="541">
        <f>IF(ISERROR(VLOOKUP(B131,'Base de Datos'!$C$7:$N$4345,6,0))=TRUE,"Sin Celebrar",(VLOOKUP(B131,'Base de Datos'!$C$7:$N$4345,7,0)))</f>
        <v>27620000</v>
      </c>
      <c r="K131" s="605"/>
      <c r="L131" s="541" t="str">
        <f t="shared" si="11"/>
        <v xml:space="preserve"> </v>
      </c>
      <c r="M131" s="541"/>
      <c r="N131" s="541" t="str">
        <f t="shared" si="12"/>
        <v xml:space="preserve"> </v>
      </c>
      <c r="O131" s="724" t="str">
        <f>IF(ISERROR(VLOOKUP(B131,'Base de Datos'!$C$7:$K$1048576,7,0))=TRUE," ",(VLOOKUP(B131,'Base de Datos'!$C$7:$K$1048576,8,0)))</f>
        <v>SDH-SMINC-15-2015</v>
      </c>
      <c r="P131" s="556">
        <f>IF(ISERROR(VLOOKUP(B131,'Base de Datos'!$C$7:$N$4330,9,0))=TRUE," ",(VLOOKUP(B131,'Base de Datos'!$C$7:$N$4330,10,0)))</f>
        <v>42109</v>
      </c>
      <c r="Q131" s="538" t="s">
        <v>1854</v>
      </c>
      <c r="R131" s="556">
        <f>IF(ISERROR(VLOOKUP(B131,'Base de Datos'!$C$7:$N$4330,10,0))=TRUE," ",(VLOOKUP(B131,'Base de Datos'!$C$7:$N$4330,11,0)))</f>
        <v>42137</v>
      </c>
      <c r="S131" s="556">
        <f>IF(ISERROR(VLOOKUP(B131,'Base de Datos'!$C$7:$N$4330,11,0))=TRUE," ",(VLOOKUP(B131,'Base de Datos'!$C$7:$N$4330,12,0)))</f>
        <v>42503</v>
      </c>
      <c r="T131" s="538" t="str">
        <f ca="1">VLOOKUP(C131,'Base de Datos'!$E$7:$AR$382,39,0)</f>
        <v>SI</v>
      </c>
      <c r="U131" s="727"/>
      <c r="V131" s="639"/>
    </row>
    <row r="132" spans="2:22" ht="14.25" customHeight="1" outlineLevel="1" x14ac:dyDescent="0.25">
      <c r="B132" s="542">
        <v>176</v>
      </c>
      <c r="C132" s="538" t="str">
        <f>IF(ISERROR(VLOOKUP(B132,'Base de Datos'!$C$7:$F$4345,2,0))=TRUE,"",(VLOOKUP('Presupuesto - PAA 2015'!B132,'Base de Datos'!$C$7:$F$4345,3,0)))</f>
        <v>150141-0-2015</v>
      </c>
      <c r="D132" s="538" t="str">
        <f>IF(ISERROR(VLOOKUP(B132,'Base de Datos'!$C$7:$F$4345,3,0))=TRUE,"",(VLOOKUP('Presupuesto - PAA 2015'!B132,'Base de Datos'!$C$7:$F$4345,4,0)))</f>
        <v>MIGUEL ANDRÉS GUTIÉRREZ ROMERO</v>
      </c>
      <c r="E132" s="541">
        <v>28000000</v>
      </c>
      <c r="F132" s="539" t="str">
        <f>VLOOKUP(B132,'Actualizada - presupuesto'!$D$7:$L$111,9,0)</f>
        <v>SI</v>
      </c>
      <c r="G132" s="539"/>
      <c r="H132" s="539"/>
      <c r="I132" s="539"/>
      <c r="J132" s="541">
        <f>IF(ISERROR(VLOOKUP(B132,'Base de Datos'!$C$7:$N$4345,6,0))=TRUE,"Sin Celebrar",(VLOOKUP(B132,'Base de Datos'!$C$7:$N$4345,7,0)))</f>
        <v>28000000</v>
      </c>
      <c r="K132" s="605"/>
      <c r="L132" s="541" t="str">
        <f t="shared" si="11"/>
        <v xml:space="preserve"> </v>
      </c>
      <c r="M132" s="541"/>
      <c r="N132" s="541" t="str">
        <f t="shared" si="12"/>
        <v xml:space="preserve"> </v>
      </c>
      <c r="O132" s="724" t="str">
        <f>IF(ISERROR(VLOOKUP(B132,'Base de Datos'!$C$7:$K$1048576,7,0))=TRUE," ",(VLOOKUP(B132,'Base de Datos'!$C$7:$K$1048576,8,0)))</f>
        <v>SDH-SMINC-07-2015</v>
      </c>
      <c r="P132" s="556">
        <f>IF(ISERROR(VLOOKUP(B132,'Base de Datos'!$C$7:$N$4330,9,0))=TRUE," ",(VLOOKUP(B132,'Base de Datos'!$C$7:$N$4330,10,0)))</f>
        <v>42093</v>
      </c>
      <c r="Q132" s="538" t="s">
        <v>1854</v>
      </c>
      <c r="R132" s="556">
        <f>IF(ISERROR(VLOOKUP(B132,'Base de Datos'!$C$7:$N$4330,10,0))=TRUE," ",(VLOOKUP(B132,'Base de Datos'!$C$7:$N$4330,11,0)))</f>
        <v>42116</v>
      </c>
      <c r="S132" s="556">
        <f>IF(ISERROR(VLOOKUP(B132,'Base de Datos'!$C$7:$N$4330,11,0))=TRUE," ",(VLOOKUP(B132,'Base de Datos'!$C$7:$N$4330,12,0)))</f>
        <v>42482</v>
      </c>
      <c r="T132" s="538" t="str">
        <f ca="1">VLOOKUP(C132,'Base de Datos'!$E$7:$AR$382,39,0)</f>
        <v>SI</v>
      </c>
      <c r="U132" s="727"/>
      <c r="V132" s="639"/>
    </row>
    <row r="133" spans="2:22" ht="24" outlineLevel="1" x14ac:dyDescent="0.25">
      <c r="B133" s="542">
        <v>177</v>
      </c>
      <c r="C133" s="538" t="str">
        <f>IF(ISERROR(VLOOKUP(B133,'Base de Datos'!$C$7:$F$4345,2,0))=TRUE,"",(VLOOKUP('Presupuesto - PAA 2015'!B133,'Base de Datos'!$C$7:$F$4345,3,0)))</f>
        <v>150193-0-2015</v>
      </c>
      <c r="D133" s="538" t="str">
        <f>IF(ISERROR(VLOOKUP(B133,'Base de Datos'!$C$7:$F$4345,3,0))=TRUE,"",(VLOOKUP('Presupuesto - PAA 2015'!B133,'Base de Datos'!$C$7:$F$4345,4,0)))</f>
        <v>SOMOS LA OPTIMIZACION EMPRESARIAL A SU SERVICIO- SOPT SAS</v>
      </c>
      <c r="E133" s="541">
        <v>11000000</v>
      </c>
      <c r="F133" s="539" t="str">
        <f>VLOOKUP(B133,'Actualizada - presupuesto'!$D$7:$L$111,9,0)</f>
        <v>SI</v>
      </c>
      <c r="G133" s="539"/>
      <c r="H133" s="539"/>
      <c r="I133" s="539"/>
      <c r="J133" s="541">
        <f>IF(ISERROR(VLOOKUP(B133,'Base de Datos'!$C$7:$N$4345,6,0))=TRUE,"Sin Celebrar",(VLOOKUP(B133,'Base de Datos'!$C$7:$N$4345,7,0)))</f>
        <v>11000000</v>
      </c>
      <c r="K133" s="605"/>
      <c r="L133" s="541" t="str">
        <f t="shared" si="11"/>
        <v xml:space="preserve"> </v>
      </c>
      <c r="M133" s="541"/>
      <c r="N133" s="541" t="str">
        <f t="shared" si="12"/>
        <v xml:space="preserve"> </v>
      </c>
      <c r="O133" s="724" t="str">
        <f>IF(ISERROR(VLOOKUP(B133,'Base de Datos'!$C$7:$K$1048576,7,0))=TRUE," ",(VLOOKUP(B133,'Base de Datos'!$C$7:$K$1048576,8,0)))</f>
        <v>SDH-SMINC-010-2015</v>
      </c>
      <c r="P133" s="556">
        <f>IF(ISERROR(VLOOKUP(B133,'Base de Datos'!$C$7:$N$4330,9,0))=TRUE," ",(VLOOKUP(B133,'Base de Datos'!$C$7:$N$4330,10,0)))</f>
        <v>42109</v>
      </c>
      <c r="Q133" s="538" t="s">
        <v>1854</v>
      </c>
      <c r="R133" s="556">
        <f>IF(ISERROR(VLOOKUP(B133,'Base de Datos'!$C$7:$N$4330,10,0))=TRUE," ",(VLOOKUP(B133,'Base de Datos'!$C$7:$N$4330,11,0)))</f>
        <v>42135</v>
      </c>
      <c r="S133" s="556">
        <f>IF(ISERROR(VLOOKUP(B133,'Base de Datos'!$C$7:$N$4330,11,0))=TRUE," ",(VLOOKUP(B133,'Base de Datos'!$C$7:$N$4330,12,0)))</f>
        <v>42501</v>
      </c>
      <c r="T133" s="538" t="str">
        <f ca="1">VLOOKUP(C133,'Base de Datos'!$E$7:$AR$382,39,0)</f>
        <v>SI</v>
      </c>
      <c r="U133" s="727"/>
      <c r="V133" s="639"/>
    </row>
    <row r="134" spans="2:22" ht="24" outlineLevel="1" x14ac:dyDescent="0.25">
      <c r="B134" s="557">
        <v>178</v>
      </c>
      <c r="C134" s="538" t="str">
        <f>IF(ISERROR(VLOOKUP(B134,'Base de Datos'!$C$7:$F$4345,2,0))=TRUE,"",(VLOOKUP('Presupuesto - PAA 2015'!B134,'Base de Datos'!$C$7:$F$4345,3,0)))</f>
        <v>150152-0-2015</v>
      </c>
      <c r="D134" s="538" t="str">
        <f>IF(ISERROR(VLOOKUP(B134,'Base de Datos'!$C$7:$F$4345,3,0))=TRUE,"",(VLOOKUP('Presupuesto - PAA 2015'!B134,'Base de Datos'!$C$7:$F$4345,4,0)))</f>
        <v>REPRESENTACIONES E INVERSIONES AGUAFILTERS J F LTDA</v>
      </c>
      <c r="E134" s="559">
        <v>3035520</v>
      </c>
      <c r="F134" s="539" t="str">
        <f>VLOOKUP(B134,'Actualizada - presupuesto'!$D$7:$L$111,9,0)</f>
        <v>SI</v>
      </c>
      <c r="G134" s="560"/>
      <c r="H134" s="560"/>
      <c r="I134" s="560"/>
      <c r="J134" s="541">
        <f>IF(ISERROR(VLOOKUP(B134,'Base de Datos'!$C$7:$N$4345,6,0))=TRUE,"Sin Celebrar",(VLOOKUP(B134,'Base de Datos'!$C$7:$N$4345,7,0)))</f>
        <v>3035520</v>
      </c>
      <c r="K134" s="609"/>
      <c r="L134" s="541" t="str">
        <f>IF(J134=$AA$1,E134, " ")</f>
        <v xml:space="preserve"> </v>
      </c>
      <c r="M134" s="559"/>
      <c r="N134" s="541" t="str">
        <f>IF(J134&lt;E134,(E134-J134)," ")</f>
        <v xml:space="preserve"> </v>
      </c>
      <c r="O134" s="724" t="str">
        <f>IF(ISERROR(VLOOKUP(B134,'Base de Datos'!$C$7:$K$1048576,7,0))=TRUE," ",(VLOOKUP(B134,'Base de Datos'!$C$7:$K$1048576,8,0)))</f>
        <v>SDH-SMINC-05-2015</v>
      </c>
      <c r="P134" s="556">
        <f>IF(ISERROR(VLOOKUP(B134,'Base de Datos'!$C$7:$N$4330,9,0))=TRUE," ",(VLOOKUP(B134,'Base de Datos'!$C$7:$N$4330,10,0)))</f>
        <v>42100</v>
      </c>
      <c r="Q134" s="558" t="s">
        <v>1854</v>
      </c>
      <c r="R134" s="556">
        <f>IF(ISERROR(VLOOKUP(B134,'Base de Datos'!$C$7:$N$4330,10,0))=TRUE," ",(VLOOKUP(B134,'Base de Datos'!$C$7:$N$4330,11,0)))</f>
        <v>42121</v>
      </c>
      <c r="S134" s="556">
        <f>IF(ISERROR(VLOOKUP(B134,'Base de Datos'!$C$7:$N$4330,11,0))=TRUE," ",(VLOOKUP(B134,'Base de Datos'!$C$7:$N$4330,12,0)))</f>
        <v>42487</v>
      </c>
      <c r="T134" s="538" t="str">
        <f ca="1">VLOOKUP(C134,'Base de Datos'!$E$7:$AR$382,39,0)</f>
        <v>SI</v>
      </c>
      <c r="U134" s="727"/>
      <c r="V134" s="639"/>
    </row>
    <row r="135" spans="2:22" ht="24" outlineLevel="1" x14ac:dyDescent="0.25">
      <c r="B135" s="557">
        <v>327</v>
      </c>
      <c r="C135" s="538" t="s">
        <v>292</v>
      </c>
      <c r="D135" s="558" t="s">
        <v>2111</v>
      </c>
      <c r="E135" s="559">
        <v>2324400</v>
      </c>
      <c r="F135" s="560" t="s">
        <v>390</v>
      </c>
      <c r="G135" s="560"/>
      <c r="H135" s="560"/>
      <c r="I135" s="560"/>
      <c r="J135" s="559">
        <v>2324400</v>
      </c>
      <c r="K135" s="609"/>
      <c r="L135" s="541" t="str">
        <f>IF(J135=$AA$1,E135, " ")</f>
        <v xml:space="preserve"> </v>
      </c>
      <c r="M135" s="559"/>
      <c r="N135" s="541" t="str">
        <f>IF(J135&lt;E135,(E135-J135)," ")</f>
        <v xml:space="preserve"> </v>
      </c>
      <c r="O135" s="724" t="str">
        <f>IF(ISERROR(VLOOKUP(B135,'Base de Datos'!$C$7:$K$1048576,7,0))=TRUE," ",(VLOOKUP(B135,'Base de Datos'!$C$7:$K$1048576,8,0)))</f>
        <v xml:space="preserve"> </v>
      </c>
      <c r="P135" s="556" t="str">
        <f>IF(ISERROR(VLOOKUP(B135,'Base de Datos'!$C$7:$N$4330,9,0))=TRUE," ",(VLOOKUP(B135,'Base de Datos'!$C$7:$N$4330,10,0)))</f>
        <v xml:space="preserve"> </v>
      </c>
      <c r="Q135" s="558"/>
      <c r="R135" s="561" t="str">
        <f>IF(ISERROR(VLOOKUP(B135,'Base de Datos'!$C$7:$N$4330,10,0))=TRUE," ",(VLOOKUP(B135,'Base de Datos'!$C$7:$N$4330,10,0)))</f>
        <v xml:space="preserve"> </v>
      </c>
      <c r="S135" s="561" t="str">
        <f>IF(ISERROR(VLOOKUP(B135,'Base de Datos'!$C$7:$N$4330,11,0))=TRUE," ",(VLOOKUP(B135,'Base de Datos'!$C$7:$N$4330,11,0)))</f>
        <v xml:space="preserve"> </v>
      </c>
      <c r="T135" s="538" t="str">
        <f ca="1">VLOOKUP(C135,'Base de Datos'!$E$7:$AR$382,39,0)</f>
        <v>SI</v>
      </c>
      <c r="U135" s="727"/>
      <c r="V135" s="639"/>
    </row>
    <row r="136" spans="2:22" outlineLevel="1" x14ac:dyDescent="0.25">
      <c r="B136" s="557"/>
      <c r="C136" s="558"/>
      <c r="D136" s="558" t="s">
        <v>1938</v>
      </c>
      <c r="E136" s="541">
        <f>E117-SUM(E119:E135)</f>
        <v>19543890</v>
      </c>
      <c r="F136" s="560"/>
      <c r="G136" s="560"/>
      <c r="H136" s="560"/>
      <c r="I136" s="560"/>
      <c r="J136" s="559"/>
      <c r="K136" s="609"/>
      <c r="L136" s="559"/>
      <c r="M136" s="559"/>
      <c r="N136" s="559">
        <f>IF(J136&lt;E136,(E136-J136)," ")</f>
        <v>19543890</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2" t="s">
        <v>1659</v>
      </c>
      <c r="C139" s="1122"/>
      <c r="D139" s="1122"/>
      <c r="E139" s="562">
        <v>1513500000</v>
      </c>
      <c r="F139" s="563">
        <f>COUNTIF('Actualizada - presupuesto'!$E$7:$E$111,B139)</f>
        <v>0</v>
      </c>
      <c r="G139" s="563"/>
      <c r="H139" s="563"/>
      <c r="I139" s="563"/>
      <c r="J139" s="572">
        <v>1306122735</v>
      </c>
      <c r="K139" s="614">
        <f>J139/E139</f>
        <v>0.86298165510406344</v>
      </c>
      <c r="L139" s="572">
        <f>+L140+L147+L154</f>
        <v>204558372</v>
      </c>
      <c r="M139" s="572"/>
      <c r="N139" s="572">
        <f>+N140+N147+N154</f>
        <v>2818875</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18" t="s">
        <v>1660</v>
      </c>
      <c r="C140" s="1118"/>
      <c r="D140" s="1118"/>
      <c r="E140" s="586">
        <v>205193000</v>
      </c>
      <c r="F140" s="591">
        <f>COUNTIF('Actualizada - presupuesto'!$E$7:$E$111,B140)</f>
        <v>2</v>
      </c>
      <c r="G140" s="591"/>
      <c r="H140" s="591"/>
      <c r="I140" s="591"/>
      <c r="J140" s="738">
        <v>188702234</v>
      </c>
      <c r="K140" s="608">
        <f>J140/E140</f>
        <v>0.91963290170717327</v>
      </c>
      <c r="L140" s="586">
        <f>SUM(L142:L145)</f>
        <v>14211967</v>
      </c>
      <c r="M140" s="586"/>
      <c r="N140" s="586">
        <f>+E140-J140-L140</f>
        <v>2278799</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179</v>
      </c>
      <c r="C142" s="538" t="str">
        <f>IF(ISERROR(VLOOKUP(B142,'Base de Datos'!$C$7:$F$4345,2,0))=TRUE,"",(VLOOKUP('Presupuesto - PAA 2015'!B142,'Base de Datos'!$C$7:$F$4345,3,0)))</f>
        <v xml:space="preserve">150302-0-2015 </v>
      </c>
      <c r="D142" s="538" t="str">
        <f>IF(ISERROR(VLOOKUP(B142,'Base de Datos'!$C$7:$F$4345,3,0))=TRUE,"",(VLOOKUP('Presupuesto - PAA 2015'!B142,'Base de Datos'!$C$7:$F$4345,4,0)))</f>
        <v xml:space="preserve">AXA COLPATRIA SEGUROS S. A. </v>
      </c>
      <c r="E142" s="541">
        <v>174490259</v>
      </c>
      <c r="F142" s="539">
        <f>VLOOKUP(B142,'Actualizada - presupuesto'!$D$7:$L$111,9,0)</f>
        <v>0</v>
      </c>
      <c r="G142" s="539"/>
      <c r="H142" s="539"/>
      <c r="I142" s="539"/>
      <c r="J142" s="559">
        <v>2324400</v>
      </c>
      <c r="K142" s="605"/>
      <c r="L142" s="541" t="str">
        <f>IF(J142=$AA$1,E142, " ")</f>
        <v xml:space="preserve"> </v>
      </c>
      <c r="M142" s="541"/>
      <c r="N142" s="541">
        <f>IF(J142&lt;E142,(E142-J142)," ")</f>
        <v>172165859</v>
      </c>
      <c r="O142" s="724" t="str">
        <f>IF(ISERROR(VLOOKUP(B142,'Base de Datos'!$C$7:$K$1048576,7,0))=TRUE," ",(VLOOKUP(B142,'Base de Datos'!$C$7:$K$1048576,8,0)))</f>
        <v>SDH-SAMC-04-2015</v>
      </c>
      <c r="P142" s="556">
        <f>IF(ISERROR(VLOOKUP(B142,'Base de Datos'!$C$7:$N$4330,9,0))=TRUE," ",(VLOOKUP(B142,'Base de Datos'!$C$7:$N$4330,10,0)))</f>
        <v>42187</v>
      </c>
      <c r="Q142" s="538" t="s">
        <v>1854</v>
      </c>
      <c r="R142" s="556">
        <f>IF(ISERROR(VLOOKUP(B142,'Base de Datos'!$C$7:$N$4330,10,0))=TRUE," ",(VLOOKUP(B142,'Base de Datos'!$C$7:$N$4330,11,0)))</f>
        <v>0</v>
      </c>
      <c r="S142" s="556">
        <f>IF(ISERROR(VLOOKUP(B142,'Base de Datos'!$C$7:$N$4330,11,0))=TRUE," ",(VLOOKUP(B142,'Base de Datos'!$C$7:$N$4330,12,0)))</f>
        <v>0</v>
      </c>
      <c r="T142" s="538" t="str">
        <f ca="1">VLOOKUP(C142,'Base de Datos'!$E$7:$AR$382,39,0)</f>
        <v>NO</v>
      </c>
      <c r="U142" s="727"/>
      <c r="V142" s="639"/>
    </row>
    <row r="143" spans="2:22" ht="11.25" customHeight="1" outlineLevel="1" x14ac:dyDescent="0.25">
      <c r="B143" s="557">
        <v>180</v>
      </c>
      <c r="C143" s="558"/>
      <c r="D143" s="558" t="s">
        <v>1513</v>
      </c>
      <c r="E143" s="559">
        <v>4201951</v>
      </c>
      <c r="F143" s="539">
        <f>VLOOKUP(B143,'Actualizada - presupuesto'!$D$7:$L$111,9,0)</f>
        <v>0</v>
      </c>
      <c r="G143" s="560"/>
      <c r="H143" s="560"/>
      <c r="I143" s="560"/>
      <c r="J143" s="541" t="str">
        <f>IF(ISERROR(VLOOKUP(B143,'Base de Datos'!$C$7:$N$4330,6,0))=TRUE,"Sin Celebrar",(VLOOKUP(B143,'Base de Datos'!$C$7:$N$4330,6,0)))</f>
        <v>Sin Celebrar</v>
      </c>
      <c r="K143" s="609"/>
      <c r="L143" s="559">
        <f>IF(J143=$AA$1,E143, " ")</f>
        <v>4201951</v>
      </c>
      <c r="M143" s="559"/>
      <c r="N143" s="559" t="str">
        <f>IF(J143&lt;E143,(E143-J143)," ")</f>
        <v xml:space="preserve"> </v>
      </c>
      <c r="O143" s="724" t="str">
        <f>IF(ISERROR(VLOOKUP(B143,'Base de Datos'!$C$7:$K$1048576,7,0))=TRUE," ",(VLOOKUP(B143,'Base de Datos'!$C$7:$K$1048576,7,0)))</f>
        <v xml:space="preserve"> </v>
      </c>
      <c r="P143" s="556" t="str">
        <f>IF(ISERROR(VLOOKUP(B143,'Base de Datos'!$C$7:$N$315,9,0))=TRUE," ",(VLOOKUP(B143,'Base de Datos'!$C$7:$N$315,9,0)))</f>
        <v xml:space="preserve"> </v>
      </c>
      <c r="Q143" s="558" t="s">
        <v>1854</v>
      </c>
      <c r="R143" s="561" t="str">
        <f>IF(ISERROR(VLOOKUP(B143,'Base de Datos'!$C$7:$N$315,10,0))=TRUE," ",(VLOOKUP(B143,'Base de Datos'!$C$7:$N$315,10,0)))</f>
        <v xml:space="preserve"> </v>
      </c>
      <c r="S143" s="561" t="str">
        <f>IF(ISERROR(VLOOKUP(B143,'Base de Datos'!$C$7:$N$315,11,0))=TRUE," ",(VLOOKUP(B143,'Base de Datos'!$C$7:$N$315,11,0)))</f>
        <v xml:space="preserve"> </v>
      </c>
      <c r="T143" s="538" t="e">
        <f>VLOOKUP(C143,'Base de Datos'!$E$7:$AR$382,39,0)</f>
        <v>#N/A</v>
      </c>
      <c r="U143" s="727"/>
      <c r="V143" s="639"/>
    </row>
    <row r="144" spans="2:22" outlineLevel="1" x14ac:dyDescent="0.25">
      <c r="B144" s="557">
        <v>305</v>
      </c>
      <c r="C144" s="558"/>
      <c r="D144" s="558" t="s">
        <v>1982</v>
      </c>
      <c r="E144" s="559">
        <v>10010016</v>
      </c>
      <c r="F144" s="539"/>
      <c r="G144" s="560"/>
      <c r="H144" s="560"/>
      <c r="I144" s="560"/>
      <c r="J144" s="541" t="str">
        <f>IF(ISERROR(VLOOKUP(B144,'Base de Datos'!$C$7:$N$4330,6,0))=TRUE,"Sin Celebrar",(VLOOKUP(B144,'Base de Datos'!$C$7:$N$4330,6,0)))</f>
        <v>Sin Celebrar</v>
      </c>
      <c r="K144" s="609"/>
      <c r="L144" s="559">
        <f>IF(J144=$AA$1,E144, " ")</f>
        <v>10010016</v>
      </c>
      <c r="M144" s="559"/>
      <c r="N144" s="559" t="str">
        <f>IF(J144&lt;E144,(E144-J144)," ")</f>
        <v xml:space="preserve"> </v>
      </c>
      <c r="O144" s="683"/>
      <c r="P144" s="556"/>
      <c r="Q144" s="558" t="s">
        <v>1983</v>
      </c>
      <c r="R144" s="561"/>
      <c r="S144" s="561"/>
      <c r="T144" s="538" t="e">
        <f>VLOOKUP(C144,'Base de Datos'!$E$7:$AR$382,39,0)</f>
        <v>#N/A</v>
      </c>
      <c r="U144" s="727"/>
      <c r="V144" s="639"/>
    </row>
    <row r="145" spans="2:22" outlineLevel="1" x14ac:dyDescent="0.25">
      <c r="B145" s="653"/>
      <c r="C145" s="653"/>
      <c r="D145" s="538" t="s">
        <v>1938</v>
      </c>
      <c r="E145" s="541">
        <f>E140-SUM(E142:E144)</f>
        <v>16490774</v>
      </c>
      <c r="F145" s="539"/>
      <c r="G145" s="539"/>
      <c r="H145" s="539"/>
      <c r="I145" s="539"/>
      <c r="J145" s="541"/>
      <c r="K145" s="605"/>
      <c r="L145" s="541"/>
      <c r="M145" s="541"/>
      <c r="N145" s="559">
        <f>IF(J145&lt;E145,(E145-J145)," ")</f>
        <v>16490774</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3" t="s">
        <v>1661</v>
      </c>
      <c r="C147" s="1123"/>
      <c r="D147" s="1123"/>
      <c r="E147" s="592">
        <v>227307000</v>
      </c>
      <c r="F147" s="593">
        <f>COUNTIF('Actualizada - presupuesto'!$E$7:$E$111,B147)</f>
        <v>2</v>
      </c>
      <c r="G147" s="593"/>
      <c r="H147" s="593"/>
      <c r="I147" s="593"/>
      <c r="J147" s="592">
        <f>SUM(J149:J151)</f>
        <v>226766924</v>
      </c>
      <c r="K147" s="612">
        <f>J147/E147</f>
        <v>0.99762402389719629</v>
      </c>
      <c r="L147" s="592">
        <f>SUM(L149:L151)</f>
        <v>0</v>
      </c>
      <c r="M147" s="592"/>
      <c r="N147" s="592">
        <f>+E147-J147-L147</f>
        <v>540076</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156</v>
      </c>
      <c r="C149" s="538" t="s">
        <v>872</v>
      </c>
      <c r="D149" s="538" t="s">
        <v>1836</v>
      </c>
      <c r="E149" s="541">
        <v>25824000</v>
      </c>
      <c r="F149" s="539">
        <f>VLOOKUP(B149,'Actualizada - presupuesto'!$D$7:$L$111,9,0)</f>
        <v>0</v>
      </c>
      <c r="G149" s="539"/>
      <c r="H149" s="539"/>
      <c r="I149" s="539"/>
      <c r="J149" s="541">
        <v>25823237</v>
      </c>
      <c r="K149" s="605"/>
      <c r="L149" s="541" t="str">
        <f>IF(J149=$AA$1,E149, " ")</f>
        <v xml:space="preserve"> </v>
      </c>
      <c r="M149" s="541"/>
      <c r="N149" s="541">
        <f>IF(J149&lt;E149,(E149-J149)," ")</f>
        <v>763</v>
      </c>
      <c r="O149" s="724">
        <f>IF(ISERROR(VLOOKUP(B149,'Base de Datos'!$C$7:$K$1048576,7,0))=TRUE," ",(VLOOKUP(B149,'Base de Datos'!$C$7:$K$1048576,7,0)))</f>
        <v>57000000</v>
      </c>
      <c r="P149" s="556" t="str">
        <f>IF(ISERROR(VLOOKUP(B149,'Base de Datos'!$C$7:$N$315,9,0))=TRUE," ",(VLOOKUP(B149,'Base de Datos'!$C$7:$N$315,9,0)))</f>
        <v xml:space="preserve"> </v>
      </c>
      <c r="Q149" s="538"/>
      <c r="R149" s="561" t="str">
        <f>IF(ISERROR(VLOOKUP(B149,'Base de Datos'!$C$7:$N$315,10,0))=TRUE," ",(VLOOKUP(B149,'Base de Datos'!$C$7:$N$315,10,0)))</f>
        <v xml:space="preserve"> </v>
      </c>
      <c r="S149" s="561" t="str">
        <f>IF(ISERROR(VLOOKUP(B149,'Base de Datos'!$C$7:$N$315,11,0))=TRUE," ",(VLOOKUP(B149,'Base de Datos'!$C$7:$N$315,11,0)))</f>
        <v xml:space="preserve"> </v>
      </c>
      <c r="T149" s="538" t="e">
        <f>VLOOKUP(C149,'Base de Datos'!$E$7:$AR$382,39,0)</f>
        <v>#N/A</v>
      </c>
      <c r="U149" s="727"/>
      <c r="V149" s="639"/>
    </row>
    <row r="150" spans="2:22" ht="21" customHeight="1" outlineLevel="1" x14ac:dyDescent="0.25">
      <c r="B150" s="557">
        <v>179</v>
      </c>
      <c r="C150" s="538" t="str">
        <f>IF(ISERROR(VLOOKUP(B150,'Base de Datos'!$C$7:$F$4345,2,0))=TRUE,"",(VLOOKUP('Presupuesto - PAA 2015'!B150,'Base de Datos'!$C$7:$F$4345,3,0)))</f>
        <v xml:space="preserve">150302-0-2015 </v>
      </c>
      <c r="D150" s="538" t="str">
        <f>IF(ISERROR(VLOOKUP(B150,'Base de Datos'!$C$7:$F$4345,3,0))=TRUE,"",(VLOOKUP('Presupuesto - PAA 2015'!B150,'Base de Datos'!$C$7:$F$4345,4,0)))</f>
        <v xml:space="preserve">AXA COLPATRIA SEGUROS S. A. </v>
      </c>
      <c r="E150" s="559">
        <v>186482674</v>
      </c>
      <c r="F150" s="539">
        <f>VLOOKUP(B150,'Actualizada - presupuesto'!$D$7:$L$111,9,0)</f>
        <v>0</v>
      </c>
      <c r="G150" s="560"/>
      <c r="H150" s="560"/>
      <c r="I150" s="560"/>
      <c r="J150" s="541">
        <f>IF(ISERROR(VLOOKUP(B150,'Base de Datos'!$C$7:$N$4345,6,0))=TRUE,"Sin Celebrar",(VLOOKUP(B150,'Base de Datos'!$C$7:$N$4345,7,0)))</f>
        <v>186482674</v>
      </c>
      <c r="K150" s="609"/>
      <c r="L150" s="559" t="str">
        <f>IF(J150=$AA$1,E150, " ")</f>
        <v xml:space="preserve"> </v>
      </c>
      <c r="M150" s="559"/>
      <c r="N150" s="559" t="str">
        <f>IF(J150&lt;E150,(E150-J150)," ")</f>
        <v xml:space="preserve"> </v>
      </c>
      <c r="O150" s="724" t="str">
        <f>IF(ISERROR(VLOOKUP(B150,'Base de Datos'!$C$7:$K$1048576,7,0))=TRUE," ",(VLOOKUP(B150,'Base de Datos'!$C$7:$K$1048576,8,0)))</f>
        <v>SDH-SAMC-04-2015</v>
      </c>
      <c r="P150" s="556">
        <f>IF(ISERROR(VLOOKUP(B150,'Base de Datos'!$C$7:$N$4330,9,0))=TRUE," ",(VLOOKUP(B150,'Base de Datos'!$C$7:$N$4330,10,0)))</f>
        <v>42187</v>
      </c>
      <c r="Q150" s="558" t="s">
        <v>1854</v>
      </c>
      <c r="R150" s="556">
        <f>IF(ISERROR(VLOOKUP(B150,'Base de Datos'!$C$7:$N$4330,10,0))=TRUE," ",(VLOOKUP(B150,'Base de Datos'!$C$7:$N$4330,11,0)))</f>
        <v>0</v>
      </c>
      <c r="S150" s="556">
        <f>IF(ISERROR(VLOOKUP(B150,'Base de Datos'!$C$7:$N$4330,11,0))=TRUE," ",(VLOOKUP(B150,'Base de Datos'!$C$7:$N$4330,12,0)))</f>
        <v>0</v>
      </c>
      <c r="T150" s="538" t="str">
        <f ca="1">VLOOKUP(C150,'Base de Datos'!$E$7:$AR$382,39,0)</f>
        <v>NO</v>
      </c>
      <c r="U150" s="727"/>
      <c r="V150" s="639"/>
    </row>
    <row r="151" spans="2:22" outlineLevel="1" x14ac:dyDescent="0.25">
      <c r="B151" s="542">
        <v>304</v>
      </c>
      <c r="C151" s="538" t="s">
        <v>872</v>
      </c>
      <c r="D151" s="538" t="s">
        <v>1836</v>
      </c>
      <c r="E151" s="541">
        <v>14461013</v>
      </c>
      <c r="F151" s="539"/>
      <c r="G151" s="539"/>
      <c r="H151" s="539"/>
      <c r="I151" s="539"/>
      <c r="J151" s="559">
        <v>14461013</v>
      </c>
      <c r="K151" s="605"/>
      <c r="L151" s="559" t="str">
        <f>IF(J151=$AA$1,E151, " ")</f>
        <v xml:space="preserve"> </v>
      </c>
      <c r="M151" s="541"/>
      <c r="N151" s="559" t="str">
        <f>IF(J151&lt;E151,(E151-J151)," ")</f>
        <v xml:space="preserve"> </v>
      </c>
      <c r="O151" s="724" t="str">
        <f>IF(ISERROR(VLOOKUP(B151,'Base de Datos'!$C$7:$K$1048576,7,0))=TRUE," ",(VLOOKUP(B151,'Base de Datos'!$C$7:$K$1048576,7,0)))</f>
        <v xml:space="preserve"> </v>
      </c>
      <c r="P151" s="556"/>
      <c r="Q151" s="538" t="s">
        <v>1981</v>
      </c>
      <c r="R151" s="561" t="str">
        <f>IF(ISERROR(VLOOKUP(B151,'Base de Datos'!$C$7:$N$315,10,0))=TRUE," ",(VLOOKUP(B151,'Base de Datos'!$C$7:$N$315,10,0)))</f>
        <v xml:space="preserve"> </v>
      </c>
      <c r="S151" s="561" t="str">
        <f>IF(ISERROR(VLOOKUP(B151,'Base de Datos'!$C$7:$N$315,11,0))=TRUE," ",(VLOOKUP(B151,'Base de Datos'!$C$7:$N$315,11,0)))</f>
        <v xml:space="preserve"> </v>
      </c>
      <c r="T151" s="538" t="e">
        <f>VLOOKUP(C151,'Base de Datos'!$E$7:$AR$382,39,0)</f>
        <v>#N/A</v>
      </c>
      <c r="U151" s="727"/>
      <c r="V151" s="639"/>
    </row>
    <row r="152" spans="2:22" outlineLevel="1" x14ac:dyDescent="0.25">
      <c r="B152" s="542"/>
      <c r="C152" s="538"/>
      <c r="D152" s="538" t="s">
        <v>1938</v>
      </c>
      <c r="E152" s="541">
        <f>+E147-SUM(E149:E151)</f>
        <v>539313</v>
      </c>
      <c r="F152" s="539"/>
      <c r="G152" s="539"/>
      <c r="H152" s="539"/>
      <c r="I152" s="539"/>
      <c r="J152" s="559"/>
      <c r="K152" s="605"/>
      <c r="L152" s="559"/>
      <c r="M152" s="541"/>
      <c r="N152" s="559">
        <f>IF(J152&lt;E152,(E152-J152)," ")</f>
        <v>539313</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3" t="s">
        <v>1662</v>
      </c>
      <c r="C154" s="1123"/>
      <c r="D154" s="1123"/>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77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1" t="s">
        <v>1663</v>
      </c>
      <c r="C158" s="1121"/>
      <c r="D158" s="1121"/>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19" t="s">
        <v>1664</v>
      </c>
      <c r="C159" s="1119"/>
      <c r="D159" s="1119"/>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77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736"/>
      <c r="C162" s="736"/>
      <c r="D162" s="736"/>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19" t="s">
        <v>1665</v>
      </c>
      <c r="C163" s="1119"/>
      <c r="D163" s="1119"/>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775"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736"/>
      <c r="C166" s="736"/>
      <c r="D166" s="736"/>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19" t="s">
        <v>1666</v>
      </c>
      <c r="C167" s="1119"/>
      <c r="D167" s="1119"/>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775"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736"/>
      <c r="C170" s="736"/>
      <c r="D170" s="736"/>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19" t="s">
        <v>1667</v>
      </c>
      <c r="C171" s="1119"/>
      <c r="D171" s="1119"/>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775"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736"/>
      <c r="C174" s="736"/>
      <c r="D174" s="736"/>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1" t="s">
        <v>1668</v>
      </c>
      <c r="C175" s="1121"/>
      <c r="D175" s="1121"/>
      <c r="E175" s="544">
        <v>478000000</v>
      </c>
      <c r="F175" s="545"/>
      <c r="G175" s="545"/>
      <c r="H175" s="545"/>
      <c r="I175" s="545"/>
      <c r="J175" s="548">
        <f>+J176</f>
        <v>436914000</v>
      </c>
      <c r="K175" s="615"/>
      <c r="L175" s="548">
        <f>+L176</f>
        <v>0</v>
      </c>
      <c r="M175" s="548"/>
      <c r="N175" s="548">
        <f>+N176</f>
        <v>41086000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18" t="s">
        <v>1669</v>
      </c>
      <c r="C176" s="1118"/>
      <c r="D176" s="1118"/>
      <c r="E176" s="586">
        <v>478000000</v>
      </c>
      <c r="F176" s="591">
        <f>COUNTIF('Actualizada - presupuesto'!$E$7:$E$111,B176)</f>
        <v>1</v>
      </c>
      <c r="G176" s="591"/>
      <c r="H176" s="591"/>
      <c r="I176" s="591"/>
      <c r="J176" s="586">
        <f>SUM(J178)</f>
        <v>436914000</v>
      </c>
      <c r="K176" s="608">
        <f>J176/E176</f>
        <v>0.91404602510460253</v>
      </c>
      <c r="L176" s="586">
        <f>SUM(L178)</f>
        <v>0</v>
      </c>
      <c r="M176" s="586"/>
      <c r="N176" s="586">
        <f>+E176-J176-L176</f>
        <v>41086000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181</v>
      </c>
      <c r="C178" s="538" t="str">
        <f>IF(ISERROR(VLOOKUP(B178,'Base de Datos'!$C$7:$F$4345,2,0))=TRUE,"",(VLOOKUP('Presupuesto - PAA 2015'!B178,'Base de Datos'!$C$7:$F$4345,3,0)))</f>
        <v>150373-0-2015</v>
      </c>
      <c r="D178" s="538" t="str">
        <f>IF(ISERROR(VLOOKUP(B178,'Base de Datos'!$C$7:$F$4345,3,0))=TRUE,"",(VLOOKUP('Presupuesto - PAA 2015'!B178,'Base de Datos'!$C$7:$F$4345,4,0)))</f>
        <v>CENTRO DE RECURSOS EDUCATIVOS PARA LA COMPETITIVIDAD EMPRESARIAL LTDA. CRECE LTDA.</v>
      </c>
      <c r="E178" s="713">
        <v>478000000</v>
      </c>
      <c r="F178" s="539" t="str">
        <f>VLOOKUP(B178,'Actualizada - presupuesto'!$D$7:$L$111,9,0)</f>
        <v>SI</v>
      </c>
      <c r="G178" s="560"/>
      <c r="H178" s="560"/>
      <c r="I178" s="560"/>
      <c r="J178" s="541">
        <f>IF(ISERROR(VLOOKUP(B178,'Base de Datos'!$C$7:$N$4345,6,0))=TRUE,"Sin Celebrar",(VLOOKUP(B178,'Base de Datos'!$C$7:$N$4345,7,0)))</f>
        <v>436914000</v>
      </c>
      <c r="K178" s="714"/>
      <c r="L178" s="713" t="str">
        <f>IF(J178=$AA$1,E178, " ")</f>
        <v xml:space="preserve"> </v>
      </c>
      <c r="M178" s="713"/>
      <c r="N178" s="713">
        <f>IF(J178&lt;E178,(E178-J178)," ")</f>
        <v>41086000</v>
      </c>
      <c r="O178" s="724" t="str">
        <f>IF(ISERROR(VLOOKUP(B178,'Base de Datos'!$C$7:$K$1048576,7,0))=TRUE," ",(VLOOKUP(B178,'Base de Datos'!$C$7:$K$1048576,8,0)))</f>
        <v>SDH-LP-04-2015</v>
      </c>
      <c r="P178" s="556">
        <f>IF(ISERROR(VLOOKUP(B178,'Base de Datos'!$C$7:$N$4330,9,0))=TRUE," ",(VLOOKUP(B178,'Base de Datos'!$C$7:$N$4330,10,0)))</f>
        <v>42293</v>
      </c>
      <c r="Q178" s="712" t="s">
        <v>1322</v>
      </c>
      <c r="R178" s="556">
        <f>IF(ISERROR(VLOOKUP(B178,'Base de Datos'!$C$7:$N$4330,10,0))=TRUE," ",(VLOOKUP(B178,'Base de Datos'!$C$7:$N$4330,11,0)))</f>
        <v>42362</v>
      </c>
      <c r="S178" s="556">
        <f>IF(ISERROR(VLOOKUP(B178,'Base de Datos'!$C$7:$N$4330,11,0))=TRUE," ",(VLOOKUP(B178,'Base de Datos'!$C$7:$N$4330,12,0)))</f>
        <v>42605</v>
      </c>
      <c r="T178" s="538" t="str">
        <f ca="1">VLOOKUP(C178,'Base de Datos'!$E$7:$AR$382,39,0)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3" t="s">
        <v>1670</v>
      </c>
      <c r="C180" s="1123"/>
      <c r="D180" s="1123"/>
      <c r="E180" s="592">
        <v>834000000</v>
      </c>
      <c r="F180" s="593">
        <f>COUNTIF('Actualizada - presupuesto'!$E$7:$E$111,B180)</f>
        <v>3</v>
      </c>
      <c r="G180" s="593"/>
      <c r="H180" s="593"/>
      <c r="I180" s="593"/>
      <c r="J180" s="592">
        <f>SUM(J182:J186)</f>
        <v>750240969</v>
      </c>
      <c r="K180" s="612">
        <f>J180/E180</f>
        <v>0.89956950719424456</v>
      </c>
      <c r="L180" s="592">
        <f>SUM(L182:L186)</f>
        <v>0</v>
      </c>
      <c r="M180" s="592"/>
      <c r="N180" s="592">
        <f>+E180-J180-L180</f>
        <v>83759031</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184</v>
      </c>
      <c r="C182" s="538" t="str">
        <f>IF(ISERROR(VLOOKUP(B182,'Base de Datos'!$C$7:$F$4345,2,0))=TRUE,"",(VLOOKUP('Presupuesto - PAA 2015'!B182,'Base de Datos'!$C$7:$F$4345,3,0)))</f>
        <v>150386-0-2015</v>
      </c>
      <c r="D182" s="538" t="str">
        <f>IF(ISERROR(VLOOKUP(B182,'Base de Datos'!$C$7:$F$4345,3,0))=TRUE,"",(VLOOKUP('Presupuesto - PAA 2015'!B182,'Base de Datos'!$C$7:$F$4345,4,0)))</f>
        <v>ALMACENES EXITO S.A</v>
      </c>
      <c r="E182" s="541">
        <v>40000000</v>
      </c>
      <c r="F182" s="539" t="str">
        <f>VLOOKUP(B182,'Actualizada - presupuesto'!$D$7:$L$111,9,0)</f>
        <v>SI</v>
      </c>
      <c r="G182" s="539"/>
      <c r="H182" s="539"/>
      <c r="I182" s="539"/>
      <c r="J182" s="541">
        <f>IF(ISERROR(VLOOKUP(B182,'Base de Datos'!$C$7:$N$4345,6,0))=TRUE,"Sin Celebrar",(VLOOKUP(B182,'Base de Datos'!$C$7:$N$4345,7,0)))</f>
        <v>37372300</v>
      </c>
      <c r="K182" s="605"/>
      <c r="L182" s="541" t="str">
        <f>IF(J182=$AA$1,E182, " ")</f>
        <v xml:space="preserve"> </v>
      </c>
      <c r="M182" s="541"/>
      <c r="N182" s="541">
        <f>IF(J182&lt;E182,(E182-J182)," ")</f>
        <v>2627700</v>
      </c>
      <c r="O182" s="724" t="str">
        <f>IF(ISERROR(VLOOKUP(B182,'Base de Datos'!$C$7:$K$1048576,7,0))=TRUE," ",(VLOOKUP(B182,'Base de Datos'!$C$7:$K$1048576,8,0)))</f>
        <v>SDH-SAMC-06-2015</v>
      </c>
      <c r="P182" s="556">
        <f>IF(ISERROR(VLOOKUP(B182,'Base de Datos'!$C$7:$N$4330,9,0))=TRUE," ",(VLOOKUP(B182,'Base de Datos'!$C$7:$N$4330,10,0)))</f>
        <v>42314</v>
      </c>
      <c r="Q182" s="538" t="s">
        <v>381</v>
      </c>
      <c r="R182" s="556">
        <f>IF(ISERROR(VLOOKUP(B182,'Base de Datos'!$C$7:$N$4330,10,0))=TRUE," ",(VLOOKUP(B182,'Base de Datos'!$C$7:$N$4330,11,0)))</f>
        <v>42331</v>
      </c>
      <c r="S182" s="556">
        <f>IF(ISERROR(VLOOKUP(B182,'Base de Datos'!$C$7:$N$4330,11,0))=TRUE," ",(VLOOKUP(B182,'Base de Datos'!$C$7:$N$4330,12,0)))</f>
        <v>42392</v>
      </c>
      <c r="T182" s="538" t="str">
        <f ca="1">VLOOKUP(C182,'Base de Datos'!$E$7:$AR$382,39,0)</f>
        <v>SI</v>
      </c>
      <c r="U182" s="727"/>
      <c r="V182" s="639"/>
    </row>
    <row r="183" spans="2:22" outlineLevel="1" x14ac:dyDescent="0.25">
      <c r="B183" s="542">
        <v>185</v>
      </c>
      <c r="C183" s="538" t="str">
        <f>IF(ISERROR(VLOOKUP(B183,'Base de Datos'!$C$7:$F$4345,2,0))=TRUE,"",(VLOOKUP('Presupuesto - PAA 2015'!B183,'Base de Datos'!$C$7:$F$4345,3,0)))</f>
        <v>150377-0-2015</v>
      </c>
      <c r="D183" s="538" t="str">
        <f>IF(ISERROR(VLOOKUP(B183,'Base de Datos'!$C$7:$F$4345,3,0))=TRUE,"",(VLOOKUP('Presupuesto - PAA 2015'!B183,'Base de Datos'!$C$7:$F$4345,4,0)))</f>
        <v>CAJA DE COMPENSACION FAMILIAR COMPENSAR</v>
      </c>
      <c r="E183" s="541">
        <v>550762000</v>
      </c>
      <c r="F183" s="539" t="str">
        <f>VLOOKUP(B183,'Actualizada - presupuesto'!$D$7:$L$111,9,0)</f>
        <v>SI</v>
      </c>
      <c r="G183" s="539"/>
      <c r="H183" s="539"/>
      <c r="I183" s="539"/>
      <c r="J183" s="541">
        <f>IF(ISERROR(VLOOKUP(B183,'Base de Datos'!$C$7:$N$4345,6,0))=TRUE,"Sin Celebrar",(VLOOKUP(B183,'Base de Datos'!$C$7:$N$4345,7,0)))</f>
        <v>550762000</v>
      </c>
      <c r="K183" s="605"/>
      <c r="L183" s="541" t="str">
        <f>IF(J183=$AA$1,E183, " ")</f>
        <v xml:space="preserve"> </v>
      </c>
      <c r="M183" s="541"/>
      <c r="N183" s="541" t="str">
        <f>IF(J183&lt;E183,(E183-J183)," ")</f>
        <v xml:space="preserve"> </v>
      </c>
      <c r="O183" s="724" t="str">
        <f>IF(ISERROR(VLOOKUP(B183,'Base de Datos'!$C$7:$K$1048576,7,0))=TRUE," ",(VLOOKUP(B183,'Base de Datos'!$C$7:$K$1048576,8,0)))</f>
        <v>SDH-LP-03-2015</v>
      </c>
      <c r="P183" s="556">
        <f>IF(ISERROR(VLOOKUP(B183,'Base de Datos'!$C$7:$N$4330,9,0))=TRUE," ",(VLOOKUP(B183,'Base de Datos'!$C$7:$N$4330,10,0)))</f>
        <v>42297</v>
      </c>
      <c r="Q183" s="538" t="s">
        <v>1322</v>
      </c>
      <c r="R183" s="556">
        <f>IF(ISERROR(VLOOKUP(B183,'Base de Datos'!$C$7:$N$4330,10,0))=TRUE," ",(VLOOKUP(B183,'Base de Datos'!$C$7:$N$4330,11,0)))</f>
        <v>42305</v>
      </c>
      <c r="S183" s="556">
        <f>IF(ISERROR(VLOOKUP(B183,'Base de Datos'!$C$7:$N$4330,11,0))=TRUE," ",(VLOOKUP(B183,'Base de Datos'!$C$7:$N$4330,12,0)))</f>
        <v>42579</v>
      </c>
      <c r="T183" s="538" t="str">
        <f ca="1">VLOOKUP(C183,'Base de Datos'!$E$7:$AR$382,39,0)</f>
        <v>SI</v>
      </c>
      <c r="U183" s="727"/>
      <c r="V183" s="639"/>
    </row>
    <row r="184" spans="2:22" outlineLevel="1" x14ac:dyDescent="0.25">
      <c r="B184" s="557">
        <v>289</v>
      </c>
      <c r="C184" s="558" t="s">
        <v>1425</v>
      </c>
      <c r="D184" s="558" t="s">
        <v>1837</v>
      </c>
      <c r="E184" s="559">
        <v>15868800</v>
      </c>
      <c r="F184" s="539" t="str">
        <f>VLOOKUP(B184,'Actualizada - presupuesto'!$D$7:$L$111,9,0)</f>
        <v>SI</v>
      </c>
      <c r="G184" s="560"/>
      <c r="H184" s="560"/>
      <c r="I184" s="560"/>
      <c r="J184" s="559">
        <v>15868800</v>
      </c>
      <c r="K184" s="609"/>
      <c r="L184" s="559" t="str">
        <f>IF(J184=$AA$1,E184, " ")</f>
        <v xml:space="preserve"> </v>
      </c>
      <c r="M184" s="559"/>
      <c r="N184" s="541" t="str">
        <f>IF(J184&lt;E184,(E184-J184)," ")</f>
        <v xml:space="preserve"> </v>
      </c>
      <c r="O184" s="724" t="str">
        <f>IF(ISERROR(VLOOKUP(B184,'Base de Datos'!$C$7:$K$1048576,7,0))=TRUE," ",(VLOOKUP(B184,'Base de Datos'!$C$7:$K$1048576,7,0)))</f>
        <v xml:space="preserve"> </v>
      </c>
      <c r="P184" s="556" t="str">
        <f>IF(ISERROR(VLOOKUP(B184,'Base de Datos'!$C$7:$N$315,9,0))=TRUE," ",(VLOOKUP(B184,'Base de Datos'!$C$7:$N$315,9,0)))</f>
        <v xml:space="preserve"> </v>
      </c>
      <c r="Q184" s="558"/>
      <c r="R184" s="715" t="str">
        <f>IF(ISERROR(VLOOKUP(B184,'Base de Datos'!$C$7:$N$4330,10,0))=TRUE," ",(VLOOKUP(B184,'Base de Datos'!$C$7:$N$4330,10,0)))</f>
        <v xml:space="preserve"> </v>
      </c>
      <c r="S184" s="715" t="str">
        <f>IF(ISERROR(VLOOKUP(B184,'Base de Datos'!$C$7:$N$4330,11,0))=TRUE," ",(VLOOKUP(B184,'Base de Datos'!$C$7:$N$4330,11,0)))</f>
        <v xml:space="preserve"> </v>
      </c>
      <c r="T184" s="538" t="str">
        <f ca="1">VLOOKUP(C184,'Base de Datos'!$E$7:$AR$382,39,0)</f>
        <v>NO</v>
      </c>
      <c r="U184" s="727"/>
      <c r="V184" s="639"/>
    </row>
    <row r="185" spans="2:22" outlineLevel="1" x14ac:dyDescent="0.25">
      <c r="B185" s="557">
        <v>309</v>
      </c>
      <c r="C185" s="558" t="s">
        <v>1425</v>
      </c>
      <c r="D185" s="558" t="s">
        <v>1837</v>
      </c>
      <c r="E185" s="559">
        <v>146237869</v>
      </c>
      <c r="F185" s="539" t="s">
        <v>390</v>
      </c>
      <c r="G185" s="560"/>
      <c r="H185" s="560"/>
      <c r="I185" s="560"/>
      <c r="J185" s="541">
        <v>146237869</v>
      </c>
      <c r="K185" s="609"/>
      <c r="L185" s="559" t="str">
        <f>IF(J185=$AA$1,E185, " ")</f>
        <v xml:space="preserve"> </v>
      </c>
      <c r="M185" s="559"/>
      <c r="N185" s="541" t="str">
        <f>IF(J185&lt;E185,(E185-J185)," ")</f>
        <v xml:space="preserve"> </v>
      </c>
      <c r="O185" s="724" t="str">
        <f>IF(ISERROR(VLOOKUP(B185,'Base de Datos'!$C$7:$K$1048576,7,0))=TRUE," ",(VLOOKUP(B185,'Base de Datos'!$C$7:$K$1048576,7,0)))</f>
        <v xml:space="preserve"> </v>
      </c>
      <c r="P185" s="556"/>
      <c r="Q185" s="558"/>
      <c r="R185" s="715" t="str">
        <f>IF(ISERROR(VLOOKUP(B185,'Base de Datos'!$C$7:$N$4330,10,0))=TRUE," ",(VLOOKUP(B185,'Base de Datos'!$C$7:$N$4330,10,0)))</f>
        <v xml:space="preserve"> </v>
      </c>
      <c r="S185" s="715" t="str">
        <f>IF(ISERROR(VLOOKUP(B185,'Base de Datos'!$C$7:$N$4330,11,0))=TRUE," ",(VLOOKUP(B185,'Base de Datos'!$C$7:$N$4330,11,0)))</f>
        <v xml:space="preserve"> </v>
      </c>
      <c r="T185" s="538" t="str">
        <f ca="1">VLOOKUP(C185,'Base de Datos'!$E$7:$AR$382,39,0)</f>
        <v>NO</v>
      </c>
      <c r="U185" s="727"/>
      <c r="V185" s="639"/>
    </row>
    <row r="186" spans="2:22" outlineLevel="1" x14ac:dyDescent="0.25">
      <c r="B186" s="538"/>
      <c r="C186" s="538"/>
      <c r="D186" s="538" t="s">
        <v>1938</v>
      </c>
      <c r="E186" s="541">
        <f>E180-SUM(E182:E185)</f>
        <v>81131331</v>
      </c>
      <c r="F186" s="539"/>
      <c r="G186" s="539"/>
      <c r="H186" s="539"/>
      <c r="I186" s="539"/>
      <c r="J186" s="541"/>
      <c r="K186" s="605"/>
      <c r="L186" s="559"/>
      <c r="M186" s="559"/>
      <c r="N186" s="541">
        <f>IF(J186&lt;E186,(E186-J186)," ")</f>
        <v>81131331</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29" t="s">
        <v>1671</v>
      </c>
      <c r="C188" s="1129"/>
      <c r="D188" s="1129"/>
      <c r="E188" s="592">
        <v>351721000</v>
      </c>
      <c r="F188" s="593">
        <f>COUNTIF('Actualizada - presupuesto'!$E$7:$E$111,B188)</f>
        <v>4</v>
      </c>
      <c r="G188" s="593"/>
      <c r="H188" s="593"/>
      <c r="I188" s="593"/>
      <c r="J188" s="592">
        <f>SUM(J190:J194)</f>
        <v>343600000</v>
      </c>
      <c r="K188" s="612">
        <f>J188/E188</f>
        <v>0.97691067635995577</v>
      </c>
      <c r="L188" s="592">
        <f>SUM(L190:L194)</f>
        <v>0</v>
      </c>
      <c r="M188" s="592"/>
      <c r="N188" s="592">
        <f>+E188-J188-L188</f>
        <v>8121000</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157</v>
      </c>
      <c r="C190" s="538" t="str">
        <f>IF(ISERROR(VLOOKUP(B190,'Base de Datos'!$C$7:$F$4345,2,0))=TRUE,"",(VLOOKUP('Presupuesto - PAA 2015'!B190,'Base de Datos'!$C$7:$F$4345,3,0)))</f>
        <v>150255-0-2015</v>
      </c>
      <c r="D190" s="538" t="str">
        <f>IF(ISERROR(VLOOKUP(B190,'Base de Datos'!$C$7:$F$4345,3,0))=TRUE,"",(VLOOKUP('Presupuesto - PAA 2015'!B190,'Base de Datos'!$C$7:$F$4345,4,0)))</f>
        <v>MEDALLAS COLOMBIANAS S.A.S</v>
      </c>
      <c r="E190" s="541">
        <v>29000000</v>
      </c>
      <c r="F190" s="539" t="str">
        <f>VLOOKUP(B190,'Actualizada - presupuesto'!$D$7:$L$111,9,0)</f>
        <v>SI</v>
      </c>
      <c r="G190" s="539"/>
      <c r="H190" s="539"/>
      <c r="I190" s="539"/>
      <c r="J190" s="541">
        <f>IF(ISERROR(VLOOKUP(B190,'Base de Datos'!$C$7:$N$4345,6,0))=TRUE,"Sin Celebrar",(VLOOKUP(B190,'Base de Datos'!$C$7:$N$4345,7,0)))</f>
        <v>29000000</v>
      </c>
      <c r="K190" s="605"/>
      <c r="L190" s="541" t="str">
        <f>IF(J190=$AA$1,E190, " ")</f>
        <v xml:space="preserve"> </v>
      </c>
      <c r="M190" s="541"/>
      <c r="N190" s="541" t="str">
        <f>IF(J190&lt;E190,(E190-J190)," ")</f>
        <v xml:space="preserve"> </v>
      </c>
      <c r="O190" s="724" t="str">
        <f>IF(ISERROR(VLOOKUP(B190,'Base de Datos'!$C$7:$K$1048576,7,0))=TRUE," ",(VLOOKUP(B190,'Base de Datos'!$C$7:$K$1048576,8,0)))</f>
        <v>SDH-SMINC-31-2015</v>
      </c>
      <c r="P190" s="556">
        <f>IF(ISERROR(VLOOKUP(B190,'Base de Datos'!$C$7:$N$4330,9,0))=TRUE," ",(VLOOKUP(B190,'Base de Datos'!$C$7:$N$4330,10,0)))</f>
        <v>42167</v>
      </c>
      <c r="Q190" s="538" t="s">
        <v>1857</v>
      </c>
      <c r="R190" s="556">
        <f>IF(ISERROR(VLOOKUP(B190,'Base de Datos'!$C$7:$N$4330,10,0))=TRUE," ",(VLOOKUP(B190,'Base de Datos'!$C$7:$N$4330,11,0)))</f>
        <v>42179</v>
      </c>
      <c r="S190" s="556">
        <f>IF(ISERROR(VLOOKUP(B190,'Base de Datos'!$C$7:$N$4330,11,0))=TRUE," ",(VLOOKUP(B190,'Base de Datos'!$C$7:$N$4330,12,0)))</f>
        <v>42484</v>
      </c>
      <c r="T190" s="538" t="str">
        <f ca="1">VLOOKUP(C190,'Base de Datos'!$E$7:$AR$382,39,0)</f>
        <v>SI</v>
      </c>
      <c r="U190" s="727"/>
      <c r="V190" s="639"/>
    </row>
    <row r="191" spans="2:22" ht="18" customHeight="1" outlineLevel="1" x14ac:dyDescent="0.25">
      <c r="B191" s="542">
        <v>158</v>
      </c>
      <c r="C191" s="538" t="str">
        <f>IF(ISERROR(VLOOKUP(B191,'Base de Datos'!$C$7:$F$4345,2,0))=TRUE,"",(VLOOKUP('Presupuesto - PAA 2015'!B191,'Base de Datos'!$C$7:$F$4345,3,0)))</f>
        <v>150271-0-2015</v>
      </c>
      <c r="D191" s="538" t="str">
        <f>IF(ISERROR(VLOOKUP(B191,'Base de Datos'!$C$7:$F$4345,3,0))=TRUE,"",(VLOOKUP('Presupuesto - PAA 2015'!B191,'Base de Datos'!$C$7:$F$4345,4,0)))</f>
        <v>INSTITUTO DISTRITAL DEL PATRIMONIO CULTURAL - IDPC</v>
      </c>
      <c r="E191" s="541">
        <v>180000000</v>
      </c>
      <c r="F191" s="539" t="s">
        <v>390</v>
      </c>
      <c r="G191" s="539"/>
      <c r="H191" s="539"/>
      <c r="I191" s="539"/>
      <c r="J191" s="541">
        <f>IF(ISERROR(VLOOKUP(B191,'Base de Datos'!$C$7:$N$4345,6,0))=TRUE,"Sin Celebrar",(VLOOKUP(B191,'Base de Datos'!$C$7:$N$4345,7,0)))</f>
        <v>180000000</v>
      </c>
      <c r="K191" s="605"/>
      <c r="L191" s="541" t="str">
        <f>IF(J191=$AA$1,E191, " ")</f>
        <v xml:space="preserve"> </v>
      </c>
      <c r="M191" s="541"/>
      <c r="N191" s="541" t="str">
        <f>IF(J191&lt;E191,(E191-J191)," ")</f>
        <v xml:space="preserve"> </v>
      </c>
      <c r="O191" s="724" t="str">
        <f>IF(ISERROR(VLOOKUP(B191,'Base de Datos'!$C$7:$K$1048576,7,0))=TRUE," ",(VLOOKUP(B191,'Base de Datos'!$C$7:$K$1048576,8,0)))</f>
        <v>150271-0-2015</v>
      </c>
      <c r="P191" s="556">
        <f>IF(ISERROR(VLOOKUP(B191,'Base de Datos'!$C$7:$N$4330,9,0))=TRUE," ",(VLOOKUP(B191,'Base de Datos'!$C$7:$N$4330,10,0)))</f>
        <v>42179</v>
      </c>
      <c r="Q191" s="538" t="s">
        <v>380</v>
      </c>
      <c r="R191" s="556">
        <f>IF(ISERROR(VLOOKUP(B191,'Base de Datos'!$C$7:$N$4330,10,0))=TRUE," ",(VLOOKUP(B191,'Base de Datos'!$C$7:$N$4330,11,0)))</f>
        <v>42219</v>
      </c>
      <c r="S191" s="556">
        <f>IF(ISERROR(VLOOKUP(B191,'Base de Datos'!$C$7:$N$4330,11,0))=TRUE," ",(VLOOKUP(B191,'Base de Datos'!$C$7:$N$4330,12,0)))</f>
        <v>42492</v>
      </c>
      <c r="T191" s="538" t="str">
        <f ca="1">VLOOKUP(C191,'Base de Datos'!$E$7:$AR$382,39,0)</f>
        <v>SI</v>
      </c>
      <c r="U191" s="727"/>
      <c r="V191" s="639"/>
    </row>
    <row r="192" spans="2:22" ht="15" customHeight="1" outlineLevel="1" x14ac:dyDescent="0.25">
      <c r="B192" s="542">
        <v>182</v>
      </c>
      <c r="C192" s="538" t="str">
        <f>IF(ISERROR(VLOOKUP(B192,'Base de Datos'!$C$7:$F$4345,2,0))=TRUE,"",(VLOOKUP('Presupuesto - PAA 2015'!B192,'Base de Datos'!$C$7:$F$4345,3,0)))</f>
        <v>150260-0-2015</v>
      </c>
      <c r="D192" s="538" t="str">
        <f>IF(ISERROR(VLOOKUP(B192,'Base de Datos'!$C$7:$F$4345,3,0))=TRUE,"",(VLOOKUP('Presupuesto - PAA 2015'!B192,'Base de Datos'!$C$7:$F$4345,4,0)))</f>
        <v>CAJA DE COMPENSACION FAMILIAR COMPENSAR</v>
      </c>
      <c r="E192" s="541">
        <v>102000000</v>
      </c>
      <c r="F192" s="539" t="str">
        <f>VLOOKUP(B192,'Actualizada - presupuesto'!$D$7:$L$111,9,0)</f>
        <v>SI</v>
      </c>
      <c r="G192" s="539"/>
      <c r="H192" s="539"/>
      <c r="I192" s="539"/>
      <c r="J192" s="541">
        <f>IF(ISERROR(VLOOKUP(B192,'Base de Datos'!$C$7:$N$4345,6,0))=TRUE,"Sin Celebrar",(VLOOKUP(B192,'Base de Datos'!$C$7:$N$4345,7,0)))</f>
        <v>102000000</v>
      </c>
      <c r="K192" s="605"/>
      <c r="L192" s="541" t="str">
        <f>IF(J192=$AA$1,E192, " ")</f>
        <v xml:space="preserve"> </v>
      </c>
      <c r="M192" s="541"/>
      <c r="N192" s="541" t="str">
        <f>IF(J192&lt;E192,(E192-J192)," ")</f>
        <v xml:space="preserve"> </v>
      </c>
      <c r="O192" s="724" t="str">
        <f>IF(ISERROR(VLOOKUP(B192,'Base de Datos'!$C$7:$K$1048576,7,0))=TRUE," ",(VLOOKUP(B192,'Base de Datos'!$C$7:$K$1048576,8,0)))</f>
        <v>SDH-SAMC-01-2015</v>
      </c>
      <c r="P192" s="556">
        <f>IF(ISERROR(VLOOKUP(B192,'Base de Datos'!$C$7:$N$4330,9,0))=TRUE," ",(VLOOKUP(B192,'Base de Datos'!$C$7:$N$4330,10,0)))</f>
        <v>42171</v>
      </c>
      <c r="Q192" s="538" t="s">
        <v>1857</v>
      </c>
      <c r="R192" s="556">
        <f>IF(ISERROR(VLOOKUP(B192,'Base de Datos'!$C$7:$N$4330,10,0))=TRUE," ",(VLOOKUP(B192,'Base de Datos'!$C$7:$N$4330,11,0)))</f>
        <v>42214</v>
      </c>
      <c r="S192" s="556">
        <f>IF(ISERROR(VLOOKUP(B192,'Base de Datos'!$C$7:$N$4330,11,0))=TRUE," ",(VLOOKUP(B192,'Base de Datos'!$C$7:$N$4330,12,0)))</f>
        <v>42519</v>
      </c>
      <c r="T192" s="538" t="str">
        <f ca="1">VLOOKUP(C192,'Base de Datos'!$E$7:$AR$382,39,0)</f>
        <v>SI</v>
      </c>
      <c r="U192" s="727"/>
      <c r="V192" s="639"/>
    </row>
    <row r="193" spans="2:22" outlineLevel="1" x14ac:dyDescent="0.25">
      <c r="B193" s="557">
        <v>275</v>
      </c>
      <c r="C193" s="558" t="s">
        <v>297</v>
      </c>
      <c r="D193" s="558" t="s">
        <v>1838</v>
      </c>
      <c r="E193" s="559">
        <v>32600000</v>
      </c>
      <c r="F193" s="539" t="str">
        <f>VLOOKUP(B193,'Actualizada - presupuesto'!$D$7:$L$111,9,0)</f>
        <v>SI</v>
      </c>
      <c r="G193" s="560"/>
      <c r="H193" s="560"/>
      <c r="I193" s="560"/>
      <c r="J193" s="559">
        <v>32600000</v>
      </c>
      <c r="K193" s="609"/>
      <c r="L193" s="559" t="str">
        <f>IF(J193=$AA$1,E193, " ")</f>
        <v xml:space="preserve"> </v>
      </c>
      <c r="M193" s="559"/>
      <c r="N193" s="559" t="str">
        <f>IF(J193&lt;E193,(E193-J193)," ")</f>
        <v xml:space="preserve"> </v>
      </c>
      <c r="O193" s="724" t="str">
        <f>IF(ISERROR(VLOOKUP(B193,'Base de Datos'!$C$7:$K$1048576,7,0))=TRUE," ",(VLOOKUP(B193,'Base de Datos'!$C$7:$K$1048576,7,0)))</f>
        <v xml:space="preserve"> </v>
      </c>
      <c r="P193" s="556" t="str">
        <f>IF(ISERROR(VLOOKUP(B193,'Base de Datos'!$C$7:$N$315,9,0))=TRUE," ",(VLOOKUP(B193,'Base de Datos'!$C$7:$N$315,9,0)))</f>
        <v xml:space="preserve"> </v>
      </c>
      <c r="Q193" s="558"/>
      <c r="R193" s="561" t="str">
        <f>IF(ISERROR(VLOOKUP(B193,'Base de Datos'!$C$7:$N$315,10,0))=TRUE," ",(VLOOKUP(B193,'Base de Datos'!$C$7:$N$315,10,0)))</f>
        <v xml:space="preserve"> </v>
      </c>
      <c r="S193" s="561" t="str">
        <f>IF(ISERROR(VLOOKUP(B193,'Base de Datos'!$C$7:$N$315,11,0))=TRUE," ",(VLOOKUP(B193,'Base de Datos'!$C$7:$N$315,11,0)))</f>
        <v xml:space="preserve"> </v>
      </c>
      <c r="T193" s="538" t="str">
        <f ca="1">VLOOKUP(C193,'Base de Datos'!$E$7:$AR$382,39,0)</f>
        <v>NO</v>
      </c>
      <c r="U193" s="727"/>
      <c r="V193" s="639"/>
    </row>
    <row r="194" spans="2:22" outlineLevel="1" x14ac:dyDescent="0.25">
      <c r="B194" s="538"/>
      <c r="C194" s="538"/>
      <c r="D194" s="538" t="s">
        <v>1938</v>
      </c>
      <c r="E194" s="541">
        <f>+E188-SUM(E190:E193)</f>
        <v>8121000</v>
      </c>
      <c r="F194" s="539"/>
      <c r="G194" s="539"/>
      <c r="H194" s="539"/>
      <c r="I194" s="539"/>
      <c r="J194" s="541"/>
      <c r="K194" s="605"/>
      <c r="L194" s="559"/>
      <c r="M194" s="559"/>
      <c r="N194" s="559">
        <f>IF(J194&lt;E194,(E194-J194)," ")</f>
        <v>8121000</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3" t="s">
        <v>1672</v>
      </c>
      <c r="C196" s="1123"/>
      <c r="D196" s="1123"/>
      <c r="E196" s="592">
        <v>108000000</v>
      </c>
      <c r="F196" s="593">
        <f>COUNTIF('Actualizada - presupuesto'!$E$7:$E$111,B196)</f>
        <v>3</v>
      </c>
      <c r="G196" s="593"/>
      <c r="H196" s="593"/>
      <c r="I196" s="593"/>
      <c r="J196" s="592">
        <f>SUM(J198:J202)</f>
        <v>81139000</v>
      </c>
      <c r="K196" s="612">
        <f>J196/E196</f>
        <v>0.75128703703703703</v>
      </c>
      <c r="L196" s="592">
        <f>SUM(L198:L202)</f>
        <v>0</v>
      </c>
      <c r="M196" s="592"/>
      <c r="N196" s="592">
        <f>+E196-J196-L196</f>
        <v>26861000</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186</v>
      </c>
      <c r="C198" s="538" t="str">
        <f>IF(ISERROR(VLOOKUP(B198,'Base de Datos'!$C$7:$F$4345,2,0))=TRUE,"",(VLOOKUP('Presupuesto - PAA 2015'!B198,'Base de Datos'!$C$7:$F$4345,3,0)))</f>
        <v>150353-0-2015</v>
      </c>
      <c r="D198" s="538" t="str">
        <f>IF(ISERROR(VLOOKUP(B198,'Base de Datos'!$C$7:$F$4345,3,0))=TRUE,"",(VLOOKUP('Presupuesto - PAA 2015'!B198,'Base de Datos'!$C$7:$F$4345,4,0)))</f>
        <v>PRODUCTORA Y COMERCIALIZADORA ODONTOLÓGICA NEW STETIC S.A.</v>
      </c>
      <c r="E198" s="541">
        <v>6000000</v>
      </c>
      <c r="F198" s="539" t="str">
        <f>VLOOKUP(B198,'Actualizada - presupuesto'!$D$7:$L$111,9,0)</f>
        <v>SI</v>
      </c>
      <c r="G198" s="539"/>
      <c r="H198" s="539"/>
      <c r="I198" s="539"/>
      <c r="J198" s="541">
        <f>IF(ISERROR(VLOOKUP(B198,'Base de Datos'!$C$7:$N$4345,6,0))=TRUE,"Sin Celebrar",(VLOOKUP(B198,'Base de Datos'!$C$7:$N$4345,7,0)))</f>
        <v>6000000</v>
      </c>
      <c r="K198" s="605"/>
      <c r="L198" s="541" t="str">
        <f>IF(J198=$AA$1,E198, " ")</f>
        <v xml:space="preserve"> </v>
      </c>
      <c r="M198" s="541"/>
      <c r="N198" s="541" t="str">
        <f>IF(J198&lt;E198,(E198-J198)," ")</f>
        <v xml:space="preserve"> </v>
      </c>
      <c r="O198" s="724" t="str">
        <f>IF(ISERROR(VLOOKUP(B198,'Base de Datos'!$C$7:$K$1048576,7,0))=TRUE," ",(VLOOKUP(B198,'Base de Datos'!$C$7:$K$1048576,8,0)))</f>
        <v>SDH-SMINC-052-2015</v>
      </c>
      <c r="P198" s="556">
        <f>IF(ISERROR(VLOOKUP(B198,'Base de Datos'!$C$7:$N$4330,9,0))=TRUE," ",(VLOOKUP(B198,'Base de Datos'!$C$7:$N$4330,10,0)))</f>
        <v>42261</v>
      </c>
      <c r="Q198" s="538" t="s">
        <v>378</v>
      </c>
      <c r="R198" s="556">
        <f>IF(ISERROR(VLOOKUP(B198,'Base de Datos'!$C$7:$N$4330,10,0))=TRUE," ",(VLOOKUP(B198,'Base de Datos'!$C$7:$N$4330,11,0)))</f>
        <v>42291</v>
      </c>
      <c r="S198" s="556">
        <f>IF(ISERROR(VLOOKUP(B198,'Base de Datos'!$C$7:$N$4330,11,0))=TRUE," ",(VLOOKUP(B198,'Base de Datos'!$C$7:$N$4330,12,0)))</f>
        <v>42352</v>
      </c>
      <c r="T198" s="538" t="str">
        <f ca="1">VLOOKUP(C198,'Base de Datos'!$E$7:$AR$382,39,0)</f>
        <v>SI</v>
      </c>
      <c r="U198" s="727"/>
      <c r="V198" s="639"/>
    </row>
    <row r="199" spans="2:22" ht="24" outlineLevel="1" x14ac:dyDescent="0.25">
      <c r="B199" s="542">
        <v>187</v>
      </c>
      <c r="C199" s="538" t="str">
        <f>IF(ISERROR(VLOOKUP(B199,'Base de Datos'!$C$7:$F$4345,2,0))=TRUE,"",(VLOOKUP('Presupuesto - PAA 2015'!B199,'Base de Datos'!$C$7:$F$4345,3,0)))</f>
        <v>150348-0-2015</v>
      </c>
      <c r="D199" s="538" t="str">
        <f>IF(ISERROR(VLOOKUP(B199,'Base de Datos'!$C$7:$F$4345,3,0))=TRUE,"",(VLOOKUP('Presupuesto - PAA 2015'!B199,'Base de Datos'!$C$7:$F$4345,4,0)))</f>
        <v>ORION CONIC S.A.S</v>
      </c>
      <c r="E199" s="541">
        <v>19141000</v>
      </c>
      <c r="F199" s="539" t="str">
        <f>VLOOKUP(B199,'Actualizada - presupuesto'!$D$7:$L$111,9,0)</f>
        <v>SI</v>
      </c>
      <c r="G199" s="539"/>
      <c r="H199" s="539"/>
      <c r="I199" s="539"/>
      <c r="J199" s="541">
        <f>IF(ISERROR(VLOOKUP(B199,'Base de Datos'!$C$7:$N$4345,6,0))=TRUE,"Sin Celebrar",(VLOOKUP(B199,'Base de Datos'!$C$7:$N$4345,7,0)))</f>
        <v>19141000</v>
      </c>
      <c r="K199" s="605"/>
      <c r="L199" s="541" t="str">
        <f>IF(J199=$AA$1,E199, " ")</f>
        <v xml:space="preserve"> </v>
      </c>
      <c r="M199" s="541"/>
      <c r="N199" s="541" t="str">
        <f>IF(J199&lt;E199,(E199-J199)," ")</f>
        <v xml:space="preserve"> </v>
      </c>
      <c r="O199" s="724" t="str">
        <f>IF(ISERROR(VLOOKUP(B199,'Base de Datos'!$C$7:$K$1048576,7,0))=TRUE," ",(VLOOKUP(B199,'Base de Datos'!$C$7:$K$1048576,8,0)))</f>
        <v>SDH-SMINC-50-2015</v>
      </c>
      <c r="P199" s="556">
        <f>IF(ISERROR(VLOOKUP(B199,'Base de Datos'!$C$7:$N$4330,9,0))=TRUE," ",(VLOOKUP(B199,'Base de Datos'!$C$7:$N$4330,10,0)))</f>
        <v>42248</v>
      </c>
      <c r="Q199" s="538" t="s">
        <v>380</v>
      </c>
      <c r="R199" s="556">
        <f>IF(ISERROR(VLOOKUP(B199,'Base de Datos'!$C$7:$N$4330,10,0))=TRUE," ",(VLOOKUP(B199,'Base de Datos'!$C$7:$N$4330,11,0)))</f>
        <v>42262</v>
      </c>
      <c r="S199" s="556">
        <f>IF(ISERROR(VLOOKUP(B199,'Base de Datos'!$C$7:$N$4330,11,0))=TRUE," ",(VLOOKUP(B199,'Base de Datos'!$C$7:$N$4330,12,0)))</f>
        <v>42384</v>
      </c>
      <c r="T199" s="538" t="str">
        <f ca="1">VLOOKUP(C199,'Base de Datos'!$E$7:$AR$382,39,0)</f>
        <v>SI</v>
      </c>
      <c r="U199" s="727"/>
      <c r="V199" s="639"/>
    </row>
    <row r="200" spans="2:22" ht="24" outlineLevel="1" x14ac:dyDescent="0.25">
      <c r="B200" s="557">
        <v>188</v>
      </c>
      <c r="C200" s="538" t="str">
        <f>IF(ISERROR(VLOOKUP(B200,'Base de Datos'!$C$7:$F$4345,2,0))=TRUE,"",(VLOOKUP('Presupuesto - PAA 2015'!B200,'Base de Datos'!$C$7:$F$4345,3,0)))</f>
        <v>150300-0-2015</v>
      </c>
      <c r="D200" s="538" t="str">
        <f>IF(ISERROR(VLOOKUP(B200,'Base de Datos'!$C$7:$F$4345,3,0))=TRUE,"",(VLOOKUP('Presupuesto - PAA 2015'!B200,'Base de Datos'!$C$7:$F$4345,4,0)))</f>
        <v>GERIZIM CENTRO MEDICO ESPECIALIZADO EN SALUD OCUPACIONAL EU</v>
      </c>
      <c r="E200" s="559">
        <v>52390000</v>
      </c>
      <c r="F200" s="539" t="str">
        <f>VLOOKUP(B200,'Actualizada - presupuesto'!$D$7:$L$111,9,0)</f>
        <v>SI</v>
      </c>
      <c r="G200" s="560"/>
      <c r="H200" s="560"/>
      <c r="I200" s="560"/>
      <c r="J200" s="541">
        <f>IF(ISERROR(VLOOKUP(B200,'Base de Datos'!$C$7:$N$4345,6,0))=TRUE,"Sin Celebrar",(VLOOKUP(B200,'Base de Datos'!$C$7:$N$4345,7,0)))</f>
        <v>52390000</v>
      </c>
      <c r="K200" s="609"/>
      <c r="L200" s="559" t="str">
        <f>IF(J200=$AA$1,E200, " ")</f>
        <v xml:space="preserve"> </v>
      </c>
      <c r="M200" s="559"/>
      <c r="N200" s="559" t="str">
        <f>IF(J200&lt;E200,(E200-J200)," ")</f>
        <v xml:space="preserve"> </v>
      </c>
      <c r="O200" s="724" t="str">
        <f>IF(ISERROR(VLOOKUP(B200,'Base de Datos'!$C$7:$K$1048576,7,0))=TRUE," ",(VLOOKUP(B200,'Base de Datos'!$C$7:$K$1048576,8,0)))</f>
        <v>SDH-SAMC-02-2015</v>
      </c>
      <c r="P200" s="556">
        <f>IF(ISERROR(VLOOKUP(B200,'Base de Datos'!$C$7:$N$4330,9,0))=TRUE," ",(VLOOKUP(B200,'Base de Datos'!$C$7:$N$4330,10,0)))</f>
        <v>42181</v>
      </c>
      <c r="Q200" s="558" t="s">
        <v>1322</v>
      </c>
      <c r="R200" s="556">
        <f>IF(ISERROR(VLOOKUP(B200,'Base de Datos'!$C$7:$N$4330,10,0))=TRUE," ",(VLOOKUP(B200,'Base de Datos'!$C$7:$N$4330,11,0)))</f>
        <v>42200</v>
      </c>
      <c r="S200" s="556">
        <f>IF(ISERROR(VLOOKUP(B200,'Base de Datos'!$C$7:$N$4330,11,0))=TRUE," ",(VLOOKUP(B200,'Base de Datos'!$C$7:$N$4330,12,0)))</f>
        <v>42475</v>
      </c>
      <c r="T200" s="538" t="str">
        <f ca="1">VLOOKUP(C200,'Base de Datos'!$E$7:$AR$382,39,0)</f>
        <v>SI</v>
      </c>
      <c r="U200" s="727"/>
      <c r="V200" s="639"/>
    </row>
    <row r="201" spans="2:22" ht="14.25" customHeight="1" outlineLevel="1" x14ac:dyDescent="0.25">
      <c r="B201" s="557">
        <v>189</v>
      </c>
      <c r="C201" s="538" t="str">
        <f>IF(ISERROR(VLOOKUP(B201,'Base de Datos'!$C$7:$F$4345,2,0))=TRUE,"",(VLOOKUP('Presupuesto - PAA 2015'!B201,'Base de Datos'!$C$7:$F$4345,3,0)))</f>
        <v>150316-0-2015</v>
      </c>
      <c r="D201" s="538" t="str">
        <f>IF(ISERROR(VLOOKUP(B201,'Base de Datos'!$C$7:$F$4345,3,0))=TRUE,"",(VLOOKUP('Presupuesto - PAA 2015'!B201,'Base de Datos'!$C$7:$F$4345,4,0)))</f>
        <v>PROCOLDEXT LTDA</v>
      </c>
      <c r="E201" s="559">
        <v>3608000</v>
      </c>
      <c r="F201" s="560" t="s">
        <v>390</v>
      </c>
      <c r="G201" s="560"/>
      <c r="H201" s="560"/>
      <c r="I201" s="560"/>
      <c r="J201" s="541">
        <f>IF(ISERROR(VLOOKUP(B201,'Base de Datos'!$C$7:$N$4345,6,0))=TRUE,"Sin Celebrar",(VLOOKUP(B201,'Base de Datos'!$C$7:$N$4345,7,0)))</f>
        <v>3608000</v>
      </c>
      <c r="K201" s="609"/>
      <c r="L201" s="559" t="str">
        <f>IF(J201=$AA$1,E201, " ")</f>
        <v xml:space="preserve"> </v>
      </c>
      <c r="M201" s="559"/>
      <c r="N201" s="559" t="str">
        <f>IF(J201&lt;E201,(E201-J201)," ")</f>
        <v xml:space="preserve"> </v>
      </c>
      <c r="O201" s="724" t="str">
        <f>IF(ISERROR(VLOOKUP(B201,'Base de Datos'!$C$7:$K$1048576,7,0))=TRUE," ",(VLOOKUP(B201,'Base de Datos'!$C$7:$K$1048576,8,0)))</f>
        <v>SDH-SMINC-36-2015</v>
      </c>
      <c r="P201" s="556">
        <f>IF(ISERROR(VLOOKUP(B201,'Base de Datos'!$C$7:$N$4330,9,0))=TRUE," ",(VLOOKUP(B201,'Base de Datos'!$C$7:$N$4330,10,0)))</f>
        <v>42201</v>
      </c>
      <c r="Q201" s="558" t="s">
        <v>379</v>
      </c>
      <c r="R201" s="556">
        <f>IF(ISERROR(VLOOKUP(B201,'Base de Datos'!$C$7:$N$4330,10,0))=TRUE," ",(VLOOKUP(B201,'Base de Datos'!$C$7:$N$4330,11,0)))</f>
        <v>42295</v>
      </c>
      <c r="S201" s="556">
        <f>IF(ISERROR(VLOOKUP(B201,'Base de Datos'!$C$7:$N$4330,11,0))=TRUE," ",(VLOOKUP(B201,'Base de Datos'!$C$7:$N$4330,12,0)))</f>
        <v>42387</v>
      </c>
      <c r="T201" s="538" t="str">
        <f ca="1">VLOOKUP(C201,'Base de Datos'!$E$7:$AR$382,39,0)</f>
        <v>SI</v>
      </c>
      <c r="U201" s="727"/>
      <c r="V201" s="639"/>
    </row>
    <row r="202" spans="2:22" outlineLevel="1" x14ac:dyDescent="0.25">
      <c r="B202" s="653"/>
      <c r="C202" s="653"/>
      <c r="D202" s="538" t="s">
        <v>1938</v>
      </c>
      <c r="E202" s="541">
        <f>+E196-SUM(E198:E201)</f>
        <v>26861000</v>
      </c>
      <c r="F202" s="539"/>
      <c r="G202" s="539"/>
      <c r="H202" s="539"/>
      <c r="I202" s="539"/>
      <c r="J202" s="559"/>
      <c r="K202" s="605"/>
      <c r="L202" s="559"/>
      <c r="M202" s="559"/>
      <c r="N202" s="559">
        <f>IF(J202&lt;E202,(E202-J202)," ")</f>
        <v>26861000</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2" t="s">
        <v>1673</v>
      </c>
      <c r="C204" s="1122"/>
      <c r="D204" s="1122"/>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19" t="s">
        <v>1842</v>
      </c>
      <c r="C205" s="1119"/>
      <c r="D205" s="1119"/>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736"/>
      <c r="C208" s="736"/>
      <c r="D208" s="736"/>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18" t="s">
        <v>1675</v>
      </c>
      <c r="C209" s="1118"/>
      <c r="D209" s="1118"/>
      <c r="E209" s="586">
        <v>1800000000</v>
      </c>
      <c r="F209" s="591">
        <f>COUNTIF('Actualizada - presupuesto'!$E$7:$E$111,B209)</f>
        <v>2</v>
      </c>
      <c r="G209" s="591"/>
      <c r="H209" s="591"/>
      <c r="I209" s="591"/>
      <c r="J209" s="586">
        <f>SUM(J211:J213)</f>
        <v>1696938453</v>
      </c>
      <c r="K209" s="608">
        <f>J209/E209</f>
        <v>0.942743585</v>
      </c>
      <c r="L209" s="586">
        <f>SUM(L211:L213)</f>
        <v>0</v>
      </c>
      <c r="M209" s="586"/>
      <c r="N209" s="586">
        <f>+E209-J209-L209</f>
        <v>103061547</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160</v>
      </c>
      <c r="C211" s="538" t="str">
        <f>IF(ISERROR(VLOOKUP(B211,'Base de Datos'!$C$7:$F$4345,2,0))=TRUE,"",(VLOOKUP('Presupuesto - PAA 2015'!B211,'Base de Datos'!$C$7:$F$4345,3,0)))</f>
        <v>150400-0-2015</v>
      </c>
      <c r="D211" s="538" t="str">
        <f>IF(ISERROR(VLOOKUP(B211,'Base de Datos'!$C$7:$F$4345,3,0))=TRUE,"",(VLOOKUP('Presupuesto - PAA 2015'!B211,'Base de Datos'!$C$7:$F$4345,4,0)))</f>
        <v>CENTURY MEDIA S A S</v>
      </c>
      <c r="E211" s="541">
        <v>436000000</v>
      </c>
      <c r="F211" s="539" t="str">
        <f>VLOOKUP(B211,'Actualizada - presupuesto'!$D$7:$L$111,9,0)</f>
        <v>SI</v>
      </c>
      <c r="G211" s="539"/>
      <c r="H211" s="539"/>
      <c r="I211" s="539"/>
      <c r="J211" s="541">
        <f>IF(ISERROR(VLOOKUP(B211,'Base de Datos'!$C$7:$N$4345,6,0))=TRUE,"Sin Celebrar",(VLOOKUP(B211,'Base de Datos'!$C$7:$N$4345,7,0)))</f>
        <v>345000000</v>
      </c>
      <c r="K211" s="605"/>
      <c r="L211" s="541" t="str">
        <f>IF(J211=$AA$1,E211, " ")</f>
        <v xml:space="preserve"> </v>
      </c>
      <c r="M211" s="541"/>
      <c r="N211" s="541">
        <f>IF(J211&lt;E211,(E211-J211)," ")</f>
        <v>91000000</v>
      </c>
      <c r="O211" s="724" t="str">
        <f>IF(ISERROR(VLOOKUP(B211,'Base de Datos'!$C$7:$K$1048576,7,0))=TRUE," ",(VLOOKUP(B211,'Base de Datos'!$C$7:$K$1048576,8,0)))</f>
        <v>SDH-SIE-17-2015</v>
      </c>
      <c r="P211" s="556">
        <f>IF(ISERROR(VLOOKUP(B211,'Base de Datos'!$C$7:$N$4330,9,0))=TRUE," ",(VLOOKUP(B211,'Base de Datos'!$C$7:$N$4330,10,0)))</f>
        <v>42349</v>
      </c>
      <c r="Q211" s="538" t="s">
        <v>1322</v>
      </c>
      <c r="R211" s="556">
        <f>IF(ISERROR(VLOOKUP(B211,'Base de Datos'!$C$7:$N$4330,10,0))=TRUE," ",(VLOOKUP(B211,'Base de Datos'!$C$7:$N$4330,11,0)))</f>
        <v>42383</v>
      </c>
      <c r="S211" s="556">
        <f>IF(ISERROR(VLOOKUP(B211,'Base de Datos'!$C$7:$N$4330,11,0))=TRUE," ",(VLOOKUP(B211,'Base de Datos'!$C$7:$N$4330,12,0)))</f>
        <v>42627</v>
      </c>
      <c r="T211" s="538" t="str">
        <f ca="1">VLOOKUP(C211,'Base de Datos'!$E$7:$AR$382,39,0)</f>
        <v>SI</v>
      </c>
      <c r="U211" s="727"/>
      <c r="V211" s="639"/>
    </row>
    <row r="212" spans="2:22" ht="25.5" customHeight="1" outlineLevel="1" x14ac:dyDescent="0.25">
      <c r="B212" s="557">
        <v>161</v>
      </c>
      <c r="C212" s="538" t="str">
        <f>IF(ISERROR(VLOOKUP(B212,'Base de Datos'!$C$7:$F$4345,2,0))=TRUE,"",(VLOOKUP('Presupuesto - PAA 2015'!B212,'Base de Datos'!$C$7:$F$4345,3,0)))</f>
        <v>150225-0-2015</v>
      </c>
      <c r="D212" s="538" t="str">
        <f>IF(ISERROR(VLOOKUP(B212,'Base de Datos'!$C$7:$F$4345,3,0))=TRUE,"",(VLOOKUP('Presupuesto - PAA 2015'!B212,'Base de Datos'!$C$7:$F$4345,4,0)))</f>
        <v>CANAL REGIONAL DE TELEVISION TEVEANDINA LTDA - TEVEANDINA LTDA</v>
      </c>
      <c r="E212" s="559">
        <v>1291938453</v>
      </c>
      <c r="F212" s="539" t="str">
        <f>VLOOKUP(B212,'Actualizada - presupuesto'!$D$7:$L$111,9,0)</f>
        <v>SI</v>
      </c>
      <c r="G212" s="560"/>
      <c r="H212" s="560"/>
      <c r="I212" s="560"/>
      <c r="J212" s="541">
        <f>IF(ISERROR(VLOOKUP(B212,'Base de Datos'!$C$7:$N$4345,6,0))=TRUE,"Sin Celebrar",(VLOOKUP(B212,'Base de Datos'!$C$7:$N$4345,7,0)))</f>
        <v>1291938453</v>
      </c>
      <c r="K212" s="609"/>
      <c r="L212" s="559" t="str">
        <f>IF(J212=$AA$1,E212, " ")</f>
        <v xml:space="preserve"> </v>
      </c>
      <c r="M212" s="559"/>
      <c r="N212" s="559" t="str">
        <f>IF(J212&lt;E212,(E212-J212)," ")</f>
        <v xml:space="preserve"> </v>
      </c>
      <c r="O212" s="724" t="str">
        <f>IF(ISERROR(VLOOKUP(B212,'Base de Datos'!$C$7:$K$1048576,7,0))=TRUE," ",(VLOOKUP(B212,'Base de Datos'!$C$7:$K$1048576,8,0)))</f>
        <v>150225-0-2015</v>
      </c>
      <c r="P212" s="556">
        <f>IF(ISERROR(VLOOKUP(B212,'Base de Datos'!$C$7:$N$4330,9,0))=TRUE," ",(VLOOKUP(B212,'Base de Datos'!$C$7:$N$4330,10,0)))</f>
        <v>42135</v>
      </c>
      <c r="Q212" s="558" t="s">
        <v>1894</v>
      </c>
      <c r="R212" s="556">
        <f>IF(ISERROR(VLOOKUP(B212,'Base de Datos'!$C$7:$N$4330,10,0))=TRUE," ",(VLOOKUP(B212,'Base de Datos'!$C$7:$N$4330,11,0)))</f>
        <v>42139</v>
      </c>
      <c r="S212" s="556">
        <f>IF(ISERROR(VLOOKUP(B212,'Base de Datos'!$C$7:$N$4330,11,0))=TRUE," ",(VLOOKUP(B212,'Base de Datos'!$C$7:$N$4330,12,0)))</f>
        <v>42421</v>
      </c>
      <c r="T212" s="538" t="str">
        <f ca="1">VLOOKUP(C212,'Base de Datos'!$E$7:$AR$382,39,0)</f>
        <v>SI</v>
      </c>
      <c r="U212" s="727"/>
      <c r="V212" s="639"/>
    </row>
    <row r="213" spans="2:22" outlineLevel="1" x14ac:dyDescent="0.25">
      <c r="B213" s="542">
        <v>310</v>
      </c>
      <c r="C213" s="538" t="s">
        <v>1530</v>
      </c>
      <c r="D213" s="538" t="s">
        <v>1984</v>
      </c>
      <c r="E213" s="541">
        <v>60000000</v>
      </c>
      <c r="F213" s="539" t="s">
        <v>390</v>
      </c>
      <c r="G213" s="539"/>
      <c r="H213" s="539"/>
      <c r="I213" s="539"/>
      <c r="J213" s="541">
        <v>60000000</v>
      </c>
      <c r="K213" s="605"/>
      <c r="L213" s="559" t="str">
        <f>IF(J213=$AA$1,E213, " ")</f>
        <v xml:space="preserve"> </v>
      </c>
      <c r="M213" s="541"/>
      <c r="N213" s="541"/>
      <c r="O213" s="724" t="str">
        <f>IF(ISERROR(VLOOKUP(B213,'Base de Datos'!$C$7:$K$1048576,7,0))=TRUE," ",(VLOOKUP(B213,'Base de Datos'!$C$7:$K$1048576,7,0)))</f>
        <v xml:space="preserve"> </v>
      </c>
      <c r="P213" s="556"/>
      <c r="Q213" s="538"/>
      <c r="R213" s="561" t="str">
        <f>IF(ISERROR(VLOOKUP(B213,'Base de Datos'!$C$7:$N$315,10,0))=TRUE," ",(VLOOKUP(B213,'Base de Datos'!$C$7:$N$315,10,0)))</f>
        <v xml:space="preserve"> </v>
      </c>
      <c r="S213" s="561" t="str">
        <f>IF(ISERROR(VLOOKUP(B213,'Base de Datos'!$C$7:$N$315,11,0))=TRUE," ",(VLOOKUP(B213,'Base de Datos'!$C$7:$N$315,11,0)))</f>
        <v xml:space="preserve"> </v>
      </c>
      <c r="T213" s="538" t="str">
        <f ca="1">VLOOKUP(C213,'Base de Datos'!$E$7:$AR$382,39,0)</f>
        <v>SI</v>
      </c>
      <c r="U213" s="727"/>
      <c r="V213" s="639"/>
    </row>
    <row r="214" spans="2:22" outlineLevel="1" x14ac:dyDescent="0.25">
      <c r="B214" s="542"/>
      <c r="C214" s="653"/>
      <c r="D214" s="538" t="s">
        <v>1938</v>
      </c>
      <c r="E214" s="541">
        <f>+E209-(SUM(E211:E213))</f>
        <v>12061547</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2" t="s">
        <v>1676</v>
      </c>
      <c r="C216" s="1122"/>
      <c r="D216" s="1122"/>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19" t="s">
        <v>1841</v>
      </c>
      <c r="C217" s="1119"/>
      <c r="D217" s="1119"/>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19" t="s">
        <v>2132</v>
      </c>
      <c r="C221" s="1119"/>
      <c r="D221" s="1119"/>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2015'!B223,'Base de Datos'!$C$7:$F$4345,3,0)))</f>
        <v>150394-0-2015</v>
      </c>
      <c r="D223" s="538" t="str">
        <f>IF(ISERROR(VLOOKUP(B223,'Base de Datos'!$C$7:$F$4345,3,0))=TRUE,"",(VLOOKUP('Presupuesto - PAA 2015'!B223,'Base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2015'!B224,'Base de Datos'!$C$7:$F$4345,3,0)))</f>
        <v>150404-0-2015</v>
      </c>
      <c r="D224" s="538" t="str">
        <f>IF(ISERROR(VLOOKUP(B224,'Base de Datos'!$C$7:$F$4345,3,0))=TRUE,"",(VLOOKUP('Presupuesto - PAA 2015'!B224,'Base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736"/>
      <c r="C225" s="736"/>
      <c r="D225" s="736"/>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25" t="s">
        <v>1691</v>
      </c>
      <c r="C226" s="1125"/>
      <c r="D226" s="1125"/>
      <c r="E226" s="546">
        <v>8242477000</v>
      </c>
      <c r="F226" s="547"/>
      <c r="G226" s="546">
        <f t="shared" ref="G226:N230" si="13">+G227</f>
        <v>7542477000</v>
      </c>
      <c r="H226" s="546">
        <f t="shared" si="13"/>
        <v>0</v>
      </c>
      <c r="I226" s="546">
        <f t="shared" si="13"/>
        <v>7542477000</v>
      </c>
      <c r="J226" s="546">
        <f t="shared" si="13"/>
        <v>7657910202.1999998</v>
      </c>
      <c r="K226" s="588">
        <f t="shared" si="13"/>
        <v>0.92907874686213865</v>
      </c>
      <c r="L226" s="546">
        <f t="shared" si="13"/>
        <v>450477000</v>
      </c>
      <c r="M226" s="581"/>
      <c r="N226" s="546">
        <f t="shared" si="13"/>
        <v>134089797.80000019</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1" t="s">
        <v>1690</v>
      </c>
      <c r="C227" s="1121"/>
      <c r="D227" s="1121"/>
      <c r="E227" s="544">
        <v>8242477000</v>
      </c>
      <c r="F227" s="545"/>
      <c r="G227" s="548">
        <f t="shared" si="13"/>
        <v>7542477000</v>
      </c>
      <c r="H227" s="548">
        <f t="shared" si="13"/>
        <v>0</v>
      </c>
      <c r="I227" s="548">
        <f t="shared" si="13"/>
        <v>7542477000</v>
      </c>
      <c r="J227" s="548">
        <f t="shared" si="13"/>
        <v>7657910202.1999998</v>
      </c>
      <c r="K227" s="606">
        <f t="shared" si="13"/>
        <v>0.92907874686213865</v>
      </c>
      <c r="L227" s="548">
        <f t="shared" si="13"/>
        <v>450477000</v>
      </c>
      <c r="M227" s="548"/>
      <c r="N227" s="548">
        <f t="shared" si="13"/>
        <v>134089797.80000019</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19" t="s">
        <v>1679</v>
      </c>
      <c r="C228" s="1119"/>
      <c r="D228" s="1119"/>
      <c r="E228" s="548">
        <v>8242477000</v>
      </c>
      <c r="F228" s="545"/>
      <c r="G228" s="548">
        <f t="shared" si="13"/>
        <v>7542477000</v>
      </c>
      <c r="H228" s="548">
        <f t="shared" si="13"/>
        <v>0</v>
      </c>
      <c r="I228" s="548">
        <f t="shared" si="13"/>
        <v>7542477000</v>
      </c>
      <c r="J228" s="548">
        <f t="shared" si="13"/>
        <v>7657910202.1999998</v>
      </c>
      <c r="K228" s="606">
        <f t="shared" si="13"/>
        <v>0.92907874686213865</v>
      </c>
      <c r="L228" s="548">
        <f t="shared" si="13"/>
        <v>450477000</v>
      </c>
      <c r="M228" s="548"/>
      <c r="N228" s="548">
        <f t="shared" si="13"/>
        <v>134089797.80000019</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19" t="s">
        <v>1840</v>
      </c>
      <c r="C229" s="1119"/>
      <c r="D229" s="1119"/>
      <c r="E229" s="548">
        <v>8242477000</v>
      </c>
      <c r="F229" s="545"/>
      <c r="G229" s="548">
        <f t="shared" si="13"/>
        <v>7542477000</v>
      </c>
      <c r="H229" s="548">
        <f t="shared" si="13"/>
        <v>0</v>
      </c>
      <c r="I229" s="548">
        <f t="shared" si="13"/>
        <v>7542477000</v>
      </c>
      <c r="J229" s="548">
        <f t="shared" si="13"/>
        <v>7657910202.1999998</v>
      </c>
      <c r="K229" s="606">
        <f t="shared" si="13"/>
        <v>0.92907874686213865</v>
      </c>
      <c r="L229" s="548">
        <f t="shared" si="13"/>
        <v>450477000</v>
      </c>
      <c r="M229" s="548"/>
      <c r="N229" s="548">
        <f t="shared" si="13"/>
        <v>134089797.80000019</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19" t="s">
        <v>1839</v>
      </c>
      <c r="C230" s="1119"/>
      <c r="D230" s="1119"/>
      <c r="E230" s="548">
        <v>8242477000</v>
      </c>
      <c r="F230" s="545"/>
      <c r="G230" s="548">
        <f t="shared" si="13"/>
        <v>7542477000</v>
      </c>
      <c r="H230" s="548">
        <f t="shared" si="13"/>
        <v>0</v>
      </c>
      <c r="I230" s="548">
        <f t="shared" si="13"/>
        <v>7542477000</v>
      </c>
      <c r="J230" s="548">
        <f t="shared" si="13"/>
        <v>7657910202.1999998</v>
      </c>
      <c r="K230" s="606">
        <f t="shared" si="13"/>
        <v>0.92907874686213865</v>
      </c>
      <c r="L230" s="548">
        <f t="shared" si="13"/>
        <v>450477000</v>
      </c>
      <c r="M230" s="548"/>
      <c r="N230" s="548">
        <f t="shared" si="13"/>
        <v>134089797.80000019</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18" t="s">
        <v>1877</v>
      </c>
      <c r="C231" s="1118"/>
      <c r="D231" s="1118"/>
      <c r="E231" s="586">
        <v>8242477000</v>
      </c>
      <c r="F231" s="591">
        <f>COUNTIF('Actualizada - presupuesto'!$E$7:$E$111,B231)</f>
        <v>0</v>
      </c>
      <c r="G231" s="586">
        <v>7542477000</v>
      </c>
      <c r="H231" s="591"/>
      <c r="I231" s="586">
        <v>7542477000</v>
      </c>
      <c r="J231" s="586">
        <f>+J233+J241</f>
        <v>7657910202.1999998</v>
      </c>
      <c r="K231" s="608">
        <f>J231/E231</f>
        <v>0.92907874686213865</v>
      </c>
      <c r="L231" s="586">
        <f>+L233+L241</f>
        <v>450477000</v>
      </c>
      <c r="M231" s="586"/>
      <c r="N231" s="586">
        <f>+E231-J231-L231</f>
        <v>134089797.80000019</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1" t="s">
        <v>1913</v>
      </c>
      <c r="D233" s="1121"/>
      <c r="E233" s="623">
        <f>+E234</f>
        <v>400000000</v>
      </c>
      <c r="F233" s="545"/>
      <c r="G233" s="545"/>
      <c r="H233" s="545"/>
      <c r="I233" s="623">
        <v>400000000</v>
      </c>
      <c r="J233" s="627">
        <f>+J234</f>
        <v>398880000</v>
      </c>
      <c r="K233" s="606">
        <f>+J233/I233</f>
        <v>0.99719999999999998</v>
      </c>
      <c r="L233" s="627">
        <f>+L234</f>
        <v>0</v>
      </c>
      <c r="M233" s="548"/>
      <c r="N233" s="627">
        <f>+N234</f>
        <v>1120000</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27" t="s">
        <v>1914</v>
      </c>
      <c r="D234" s="1128"/>
      <c r="E234" s="642">
        <v>400000000</v>
      </c>
      <c r="F234" s="641"/>
      <c r="G234" s="641"/>
      <c r="H234" s="641"/>
      <c r="I234" s="641"/>
      <c r="J234" s="643">
        <f>SUM(J235:J239)</f>
        <v>398880000</v>
      </c>
      <c r="K234" s="642"/>
      <c r="L234" s="643">
        <f>SUM(L235:L239)</f>
        <v>0</v>
      </c>
      <c r="M234" s="644"/>
      <c r="N234" s="643">
        <f>+E234-J234-L234</f>
        <v>1120000</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298</v>
      </c>
      <c r="C235" s="538" t="str">
        <f>IF(ISERROR(VLOOKUP(B235,'Base de Datos'!$C$7:$F$4345,2,0))=TRUE,"",(VLOOKUP('Presupuesto - PAA 2015'!B235,'Base de Datos'!$C$7:$F$4345,3,0)))</f>
        <v>150245-0-2015</v>
      </c>
      <c r="D235" s="538" t="str">
        <f>IF(ISERROR(VLOOKUP(B235,'Base de Datos'!$C$7:$F$4345,3,0))=TRUE,"",(VLOOKUP('Presupuesto - PAA 2015'!B235,'Base de Datos'!$C$7:$F$4345,4,0)))</f>
        <v>SANDRA MARCELA ROJAS MACIAS</v>
      </c>
      <c r="E235" s="541">
        <v>40800000</v>
      </c>
      <c r="F235" s="539" t="s">
        <v>390</v>
      </c>
      <c r="G235" s="539"/>
      <c r="H235" s="539"/>
      <c r="I235" s="539"/>
      <c r="J235" s="541">
        <f>IF(ISERROR(VLOOKUP(B235,'Base de Datos'!$C$7:$N$4345,6,0))=TRUE,"Sin Celebrar",(VLOOKUP(B235,'Base de Datos'!$C$7:$N$4345,7,0)))</f>
        <v>40800000</v>
      </c>
      <c r="K235" s="541"/>
      <c r="L235" s="541" t="str">
        <f>IF(J235=$AA$1,E235, " ")</f>
        <v xml:space="preserve"> </v>
      </c>
      <c r="M235" s="541"/>
      <c r="N235" s="541" t="str">
        <f>IF(J235&lt;E235,(E235-J235)," ")</f>
        <v xml:space="preserve"> </v>
      </c>
      <c r="O235" s="724" t="str">
        <f>IF(ISERROR(VLOOKUP(B235,'Base de Datos'!$C$7:$K$1048576,7,0))=TRUE," ",(VLOOKUP(B235,'Base de Datos'!$C$7:$K$1048576,8,0)))</f>
        <v>150245-0-2015</v>
      </c>
      <c r="P235" s="556">
        <f>IF(ISERROR(VLOOKUP(B235,'Base de Datos'!$C$7:$N$4330,9,0))=TRUE," ",(VLOOKUP(B235,'Base de Datos'!$C$7:$N$4330,10,0)))</f>
        <v>42158</v>
      </c>
      <c r="Q235" s="538" t="s">
        <v>382</v>
      </c>
      <c r="R235" s="556">
        <f>IF(ISERROR(VLOOKUP(B235,'Base de Datos'!$C$7:$N$4330,10,0))=TRUE," ",(VLOOKUP(B235,'Base de Datos'!$C$7:$N$4330,11,0)))</f>
        <v>42160</v>
      </c>
      <c r="S235" s="556">
        <f>IF(ISERROR(VLOOKUP(B235,'Base de Datos'!$C$7:$N$4330,11,0))=TRUE," ",(VLOOKUP(B235,'Base de Datos'!$C$7:$N$4330,12,0)))</f>
        <v>42343</v>
      </c>
      <c r="T235" s="538" t="str">
        <f ca="1">VLOOKUP(C235,'Base de Datos'!$E$7:$AR$382,39,0)</f>
        <v>SI</v>
      </c>
      <c r="U235" s="727"/>
      <c r="V235" s="639"/>
    </row>
    <row r="236" spans="2:22" outlineLevel="1" x14ac:dyDescent="0.25">
      <c r="B236" s="632">
        <v>299</v>
      </c>
      <c r="C236" s="538" t="str">
        <f>IF(ISERROR(VLOOKUP(B236,'Base de Datos'!$C$7:$F$4345,2,0))=TRUE,"",(VLOOKUP('Presupuesto - PAA 2015'!B236,'Base de Datos'!$C$7:$F$4345,3,0)))</f>
        <v>150250-0-2015</v>
      </c>
      <c r="D236" s="538" t="str">
        <f>IF(ISERROR(VLOOKUP(B236,'Base de Datos'!$C$7:$F$4345,3,0))=TRUE,"",(VLOOKUP('Presupuesto - PAA 2015'!B236,'Base de Datos'!$C$7:$F$4345,4,0)))</f>
        <v>CRISTIAN CAMILO RAMOS MARTINEZ</v>
      </c>
      <c r="E236" s="541">
        <v>12000000</v>
      </c>
      <c r="F236" s="539" t="s">
        <v>390</v>
      </c>
      <c r="G236" s="539"/>
      <c r="H236" s="539"/>
      <c r="I236" s="539"/>
      <c r="J236" s="541">
        <f>IF(ISERROR(VLOOKUP(B236,'Base de Datos'!$C$7:$N$4345,6,0))=TRUE,"Sin Celebrar",(VLOOKUP(B236,'Base de Datos'!$C$7:$N$4345,7,0)))</f>
        <v>12000000</v>
      </c>
      <c r="K236" s="541"/>
      <c r="L236" s="541" t="str">
        <f>IF(J236=$AA$1,E236, " ")</f>
        <v xml:space="preserve"> </v>
      </c>
      <c r="M236" s="541"/>
      <c r="N236" s="541" t="str">
        <f>IF(J236&lt;E236,(E236-J236)," ")</f>
        <v xml:space="preserve"> </v>
      </c>
      <c r="O236" s="724" t="str">
        <f>IF(ISERROR(VLOOKUP(B236,'Base de Datos'!$C$7:$K$1048576,7,0))=TRUE," ",(VLOOKUP(B236,'Base de Datos'!$C$7:$K$1048576,8,0)))</f>
        <v>150250-0-2015</v>
      </c>
      <c r="P236" s="556">
        <f>IF(ISERROR(VLOOKUP(B236,'Base de Datos'!$C$7:$N$4330,9,0))=TRUE," ",(VLOOKUP(B236,'Base de Datos'!$C$7:$N$4330,10,0)))</f>
        <v>42166</v>
      </c>
      <c r="Q236" s="538" t="s">
        <v>382</v>
      </c>
      <c r="R236" s="556">
        <f>IF(ISERROR(VLOOKUP(B236,'Base de Datos'!$C$7:$N$4330,10,0))=TRUE," ",(VLOOKUP(B236,'Base de Datos'!$C$7:$N$4330,11,0)))</f>
        <v>42173</v>
      </c>
      <c r="S236" s="556">
        <f>IF(ISERROR(VLOOKUP(B236,'Base de Datos'!$C$7:$N$4330,11,0))=TRUE," ",(VLOOKUP(B236,'Base de Datos'!$C$7:$N$4330,12,0)))</f>
        <v>42356</v>
      </c>
      <c r="T236" s="538" t="str">
        <f ca="1">VLOOKUP(C236,'Base de Datos'!$E$7:$AR$382,39,0)</f>
        <v>SI</v>
      </c>
      <c r="U236" s="727"/>
      <c r="V236" s="639"/>
    </row>
    <row r="237" spans="2:22" outlineLevel="1" x14ac:dyDescent="0.25">
      <c r="B237" s="632">
        <v>300</v>
      </c>
      <c r="C237" s="538" t="str">
        <f>IF(ISERROR(VLOOKUP(B237,'Base de Datos'!$C$7:$F$4345,2,0))=TRUE,"",(VLOOKUP('Presupuesto - PAA 2015'!B237,'Base de Datos'!$C$7:$F$4345,3,0)))</f>
        <v>150256-0-2015</v>
      </c>
      <c r="D237" s="538" t="str">
        <f>IF(ISERROR(VLOOKUP(B237,'Base de Datos'!$C$7:$F$4345,3,0))=TRUE,"",(VLOOKUP('Presupuesto - PAA 2015'!B237,'Base de Datos'!$C$7:$F$4345,4,0)))</f>
        <v>DAYANNA STEPHANY FERNANDEZ CARRILLO</v>
      </c>
      <c r="E237" s="541">
        <v>12000000</v>
      </c>
      <c r="F237" s="539" t="s">
        <v>390</v>
      </c>
      <c r="G237" s="539"/>
      <c r="H237" s="539"/>
      <c r="I237" s="539"/>
      <c r="J237" s="541">
        <f>IF(ISERROR(VLOOKUP(B237,'Base de Datos'!$C$7:$N$4345,6,0))=TRUE,"Sin Celebrar",(VLOOKUP(B237,'Base de Datos'!$C$7:$N$4345,7,0)))</f>
        <v>12000000</v>
      </c>
      <c r="K237" s="541"/>
      <c r="L237" s="541" t="str">
        <f>IF(J237=$AA$1,E237, " ")</f>
        <v xml:space="preserve"> </v>
      </c>
      <c r="M237" s="541"/>
      <c r="N237" s="541" t="str">
        <f>IF(J237&lt;E237,(E237-J237)," ")</f>
        <v xml:space="preserve"> </v>
      </c>
      <c r="O237" s="724" t="str">
        <f>IF(ISERROR(VLOOKUP(B237,'Base de Datos'!$C$7:$K$1048576,7,0))=TRUE," ",(VLOOKUP(B237,'Base de Datos'!$C$7:$K$1048576,8,0)))</f>
        <v>150256-0-2015</v>
      </c>
      <c r="P237" s="556">
        <f>IF(ISERROR(VLOOKUP(B237,'Base de Datos'!$C$7:$N$4330,9,0))=TRUE," ",(VLOOKUP(B237,'Base de Datos'!$C$7:$N$4330,10,0)))</f>
        <v>42171</v>
      </c>
      <c r="Q237" s="538" t="s">
        <v>382</v>
      </c>
      <c r="R237" s="556">
        <f>IF(ISERROR(VLOOKUP(B237,'Base de Datos'!$C$7:$N$4330,10,0))=TRUE," ",(VLOOKUP(B237,'Base de Datos'!$C$7:$N$4330,11,0)))</f>
        <v>42174</v>
      </c>
      <c r="S237" s="556">
        <f>IF(ISERROR(VLOOKUP(B237,'Base de Datos'!$C$7:$N$4330,11,0))=TRUE," ",(VLOOKUP(B237,'Base de Datos'!$C$7:$N$4330,12,0)))</f>
        <v>42357</v>
      </c>
      <c r="T237" s="538" t="str">
        <f ca="1">VLOOKUP(C237,'Base de Datos'!$E$7:$AR$382,39,0)</f>
        <v>SI</v>
      </c>
      <c r="U237" s="727"/>
      <c r="V237" s="639"/>
    </row>
    <row r="238" spans="2:22" outlineLevel="1" x14ac:dyDescent="0.25">
      <c r="B238" s="542"/>
      <c r="C238" s="538" t="s">
        <v>1601</v>
      </c>
      <c r="D238" s="622" t="s">
        <v>1602</v>
      </c>
      <c r="E238" s="541">
        <v>334080000</v>
      </c>
      <c r="F238" s="539" t="s">
        <v>590</v>
      </c>
      <c r="G238" s="539"/>
      <c r="H238" s="539"/>
      <c r="I238" s="539"/>
      <c r="J238" s="541">
        <v>334080000</v>
      </c>
      <c r="K238" s="541"/>
      <c r="L238" s="541" t="str">
        <f>IF(J238=$AA$1,E238, " ")</f>
        <v xml:space="preserve"> </v>
      </c>
      <c r="M238" s="541"/>
      <c r="N238" s="541" t="str">
        <f t="shared" ref="N238:N259" si="14">IF(J238&lt;E238,(E238-J238)," ")</f>
        <v xml:space="preserve"> </v>
      </c>
      <c r="O238" s="724" t="s">
        <v>1980</v>
      </c>
      <c r="P238" s="556">
        <v>42082</v>
      </c>
      <c r="Q238" s="538" t="s">
        <v>382</v>
      </c>
      <c r="R238" s="561">
        <v>42104</v>
      </c>
      <c r="S238" s="561">
        <v>42287</v>
      </c>
      <c r="T238" s="538" t="str">
        <f ca="1">VLOOKUP(C238,'Base de Datos'!$E$7:$AR$382,39,0)</f>
        <v>SI</v>
      </c>
      <c r="U238" s="727"/>
      <c r="V238" s="639"/>
    </row>
    <row r="239" spans="2:22" outlineLevel="1" x14ac:dyDescent="0.25">
      <c r="B239" s="542"/>
      <c r="C239" s="538"/>
      <c r="D239" s="622" t="s">
        <v>1938</v>
      </c>
      <c r="E239" s="541">
        <f>+E234-SUM(E235:E238)</f>
        <v>1120000</v>
      </c>
      <c r="F239" s="539"/>
      <c r="G239" s="539"/>
      <c r="H239" s="539"/>
      <c r="I239" s="539"/>
      <c r="J239" s="541"/>
      <c r="K239" s="541"/>
      <c r="L239" s="541"/>
      <c r="M239" s="541"/>
      <c r="N239" s="541">
        <f t="shared" si="14"/>
        <v>1120000</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1" t="s">
        <v>1917</v>
      </c>
      <c r="D241" s="1121"/>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26" t="s">
        <v>1918</v>
      </c>
      <c r="D242" s="1126"/>
      <c r="E242" s="624">
        <v>450477000</v>
      </c>
      <c r="F242" s="73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735"/>
      <c r="R242" s="630" t="str">
        <f>IF(ISERROR(VLOOKUP(B242,'Base de Datos'!$C$7:$N$315,9,0))=TRUE," ",(VLOOKUP(B242,'Base de Datos'!$C$7:$N$315,9,0)))</f>
        <v xml:space="preserve"> </v>
      </c>
      <c r="S242" s="630" t="str">
        <f>IF(ISERROR(VLOOKUP(B242,'Base de Datos'!$C$7:$N$315,10,0))=TRUE," ",(VLOOKUP(B242,'Base de Datos'!$C$7:$N$315,10,0)))</f>
        <v xml:space="preserve"> </v>
      </c>
      <c r="T242" s="73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26" t="s">
        <v>1920</v>
      </c>
      <c r="D244" s="1126"/>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735"/>
      <c r="R244" s="630" t="str">
        <f>IF(ISERROR(VLOOKUP(B244,'Base de Datos'!$C$7:$N$315,9,0))=TRUE," ",(VLOOKUP(B244,'Base de Datos'!$C$7:$N$315,9,0)))</f>
        <v xml:space="preserve"> </v>
      </c>
      <c r="S244" s="630" t="str">
        <f>IF(ISERROR(VLOOKUP(B244,'Base de Datos'!$C$7:$N$315,10,0))=TRUE," ",(VLOOKUP(B244,'Base de Datos'!$C$7:$N$315,10,0)))</f>
        <v xml:space="preserve"> </v>
      </c>
      <c r="T244" s="735"/>
      <c r="U244" s="727"/>
      <c r="V244" s="639"/>
    </row>
    <row r="245" spans="2:22" outlineLevel="1" x14ac:dyDescent="0.25">
      <c r="B245" s="542">
        <v>208</v>
      </c>
      <c r="C245" s="538" t="str">
        <f>IF(ISERROR(VLOOKUP(B245,'Base de Datos'!$C$7:$F$4345,2,0))=TRUE,"",(VLOOKUP('Presupuesto - PAA 2015'!B245,'Base de Datos'!$C$7:$F$4345,3,0)))</f>
        <v>150192-0-2015</v>
      </c>
      <c r="D245" s="538" t="str">
        <f>IF(ISERROR(VLOOKUP(B245,'Base de Datos'!$C$7:$F$4345,3,0))=TRUE,"",(VLOOKUP('Presupuesto - PAA 2015'!B245,'Base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2015'!B247,'Base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2015'!B248,'Base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26" t="s">
        <v>1926</v>
      </c>
      <c r="D249" s="1126"/>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735"/>
      <c r="R249" s="630" t="str">
        <f>IF(ISERROR(VLOOKUP(B249,'Base de Datos'!$C$7:$N$315,9,0))=TRUE," ",(VLOOKUP(B249,'Base de Datos'!$C$7:$N$315,9,0)))</f>
        <v xml:space="preserve"> </v>
      </c>
      <c r="S249" s="630" t="str">
        <f>IF(ISERROR(VLOOKUP(B249,'Base de Datos'!$C$7:$N$315,10,0))=TRUE," ",(VLOOKUP(B249,'Base de Datos'!$C$7:$N$315,10,0)))</f>
        <v xml:space="preserve"> </v>
      </c>
      <c r="T249" s="735"/>
      <c r="U249" s="727"/>
      <c r="V249" s="639"/>
    </row>
    <row r="250" spans="2:22" ht="36" outlineLevel="1" x14ac:dyDescent="0.25">
      <c r="B250" s="542">
        <v>212</v>
      </c>
      <c r="C250" s="558" t="str">
        <f>IF(ISERROR(VLOOKUP(B250,'Base de Datos'!$C$7:$F$4338,2,0))=TRUE,"",(VLOOKUP('Presupuesto - PAA 2015'!B250,'Base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4" t="s">
        <v>1928</v>
      </c>
      <c r="D251" s="1124"/>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735"/>
      <c r="R251" s="630" t="str">
        <f>IF(ISERROR(VLOOKUP(B251,'Base de Datos'!$C$7:$N$315,9,0))=TRUE," ",(VLOOKUP(B251,'Base de Datos'!$C$7:$N$315,9,0)))</f>
        <v xml:space="preserve"> </v>
      </c>
      <c r="S251" s="630" t="str">
        <f>IF(ISERROR(VLOOKUP(B251,'Base de Datos'!$C$7:$N$315,10,0))=TRUE," ",(VLOOKUP(B251,'Base de Datos'!$C$7:$N$315,10,0)))</f>
        <v xml:space="preserve"> </v>
      </c>
      <c r="T251" s="735"/>
      <c r="U251" s="727"/>
      <c r="V251" s="639"/>
    </row>
    <row r="252" spans="2:22" s="620" customFormat="1" ht="15" customHeight="1" outlineLevel="1" x14ac:dyDescent="0.25">
      <c r="B252" s="632">
        <v>70</v>
      </c>
      <c r="C252" s="538" t="str">
        <f>IF(ISERROR(VLOOKUP(B252,'Base de Datos'!$C$7:$F$4345,2,0))=TRUE,"",(VLOOKUP('Presupuesto - PAA 2015'!B252,'Base de Datos'!$C$7:$F$4345,3,0)))</f>
        <v>150321-0-2015</v>
      </c>
      <c r="D252" s="538" t="str">
        <f>IF(ISERROR(VLOOKUP(B252,'Base de Datos'!$C$7:$F$4345,3,0))=TRUE,"",(VLOOKUP('Presupuesto - PAA 2015'!B252,'Base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SI</v>
      </c>
      <c r="U252" s="727"/>
      <c r="V252" s="639"/>
    </row>
    <row r="253" spans="2:22" s="620" customFormat="1" ht="14.25" customHeight="1" outlineLevel="1" x14ac:dyDescent="0.25">
      <c r="B253" s="632">
        <v>71</v>
      </c>
      <c r="C253" s="538" t="str">
        <f>IF(ISERROR(VLOOKUP(B253,'Base de Datos'!$C$7:$F$4345,2,0))=TRUE,"",(VLOOKUP('Presupuesto - PAA 2015'!B253,'Base de Datos'!$C$7:$F$4345,3,0)))</f>
        <v>150254-0-2015</v>
      </c>
      <c r="D253" s="538" t="str">
        <f>IF(ISERROR(VLOOKUP(B253,'Base de Datos'!$C$7:$F$4345,3,0))=TRUE,"",(VLOOKUP('Presupuesto - PAA 2015'!B253,'Base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SI</v>
      </c>
      <c r="U253" s="727"/>
      <c r="V253" s="639"/>
    </row>
    <row r="254" spans="2:22" s="620" customFormat="1" ht="24" outlineLevel="1" x14ac:dyDescent="0.25">
      <c r="B254" s="632">
        <v>73</v>
      </c>
      <c r="C254" s="558">
        <f>IF(ISERROR(VLOOKUP(B254,'Base de Datos'!$C$7:$F$4338,2,0))=TRUE,"",(VLOOKUP('Presupuesto - PAA 2015'!B254,'Base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2015'!B255,'Base de Datos'!$C$7:$F$4345,3,0)))</f>
        <v>150382-0-2015</v>
      </c>
      <c r="D255" s="538" t="str">
        <f>IF(ISERROR(VLOOKUP(B255,'Base de Datos'!$C$7:$F$4345,3,0))=TRUE,"",(VLOOKUP('Presupuesto - PAA 2015'!B255,'Base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2015'!B256,'Base de Datos'!$C$7:$F$4345,3,0)))</f>
        <v>150236-0-2015</v>
      </c>
      <c r="D256" s="538" t="str">
        <f>IF(ISERROR(VLOOKUP(B256,'Base de Datos'!$C$7:$F$4345,3,0))=TRUE,"",(VLOOKUP('Presupuesto - PAA 2015'!B256,'Base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SI</v>
      </c>
      <c r="U256" s="727"/>
      <c r="V256" s="639"/>
    </row>
    <row r="257" spans="2:22" s="620" customFormat="1" outlineLevel="1" x14ac:dyDescent="0.25">
      <c r="B257" s="632">
        <v>314</v>
      </c>
      <c r="C257" s="538" t="str">
        <f>IF(ISERROR(VLOOKUP(B257,'Base de Datos'!$C$7:$F$4345,2,0))=TRUE,"",(VLOOKUP('Presupuesto - PAA 2015'!B257,'Base de Datos'!$C$7:$F$4345,3,0)))</f>
        <v>150308-0-2015</v>
      </c>
      <c r="D257" s="538" t="str">
        <f>IF(ISERROR(VLOOKUP(B257,'Base de Datos'!$C$7:$F$4345,3,0))=TRUE,"",(VLOOKUP('Presupuesto - PAA 2015'!B257,'Base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2015'!B258,'Base de Datos'!$C$7:$F$4345,3,0)))</f>
        <v>150346-0-2015</v>
      </c>
      <c r="D258" s="538" t="str">
        <f>IF(ISERROR(VLOOKUP(B258,'Base de Datos'!$C$7:$F$4345,3,0))=TRUE,"",(VLOOKUP('Presupuesto - PAA 2015'!B258,'Base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2015'!B259,'Base de Datos'!$C$7:$F$4345,3,0)))</f>
        <v>150340-0-2015</v>
      </c>
      <c r="D259" s="538" t="str">
        <f>IF(ISERROR(VLOOKUP(B259,'Base de Datos'!$C$7:$F$4345,3,0))=TRUE,"",(VLOOKUP('Presupuesto - PAA 2015'!B259,'Base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2015'!B260,'Base de Datos'!$C$7:$F$4345,3,0)))</f>
        <v>150397-0-2015</v>
      </c>
      <c r="D260" s="538" t="str">
        <f>IF(ISERROR(VLOOKUP(B260,'Base de Datos'!$C$7:$F$4345,3,0))=TRUE,"",(VLOOKUP('Presupuesto - PAA 2015'!B260,'Base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4" t="s">
        <v>1936</v>
      </c>
      <c r="D264" s="1124"/>
      <c r="E264" s="625">
        <f>+E265</f>
        <v>4174276985</v>
      </c>
      <c r="F264" s="735"/>
      <c r="G264" s="735"/>
      <c r="H264" s="735"/>
      <c r="I264" s="735"/>
      <c r="J264" s="625">
        <f>SUM(J265)</f>
        <v>4174276985</v>
      </c>
      <c r="K264" s="628">
        <f>+J264/E264</f>
        <v>1</v>
      </c>
      <c r="L264" s="625">
        <f>SUM(L265)</f>
        <v>0</v>
      </c>
      <c r="M264" s="735"/>
      <c r="N264" s="625" t="str">
        <f>+N265</f>
        <v xml:space="preserve"> </v>
      </c>
      <c r="O264" s="701"/>
      <c r="P264" s="631"/>
      <c r="Q264" s="735"/>
      <c r="R264" s="735"/>
      <c r="S264" s="735"/>
      <c r="T264" s="735"/>
      <c r="U264" s="727"/>
      <c r="V264" s="639"/>
    </row>
    <row r="265" spans="2:22" ht="24" outlineLevel="1" x14ac:dyDescent="0.25">
      <c r="B265" s="542">
        <v>210</v>
      </c>
      <c r="C265" s="538" t="str">
        <f>IF(ISERROR(VLOOKUP(B265,'Base de Datos'!$C$7:$F$4345,2,0))=TRUE,"",(VLOOKUP('Presupuesto - PAA 2015'!B265,'Base de Datos'!$C$7:$F$4345,3,0)))</f>
        <v>150198-0-2015</v>
      </c>
      <c r="D265" s="538" t="str">
        <f>IF(ISERROR(VLOOKUP(B265,'Base de Datos'!$C$7:$F$4345,3,0))=TRUE,"",(VLOOKUP('Presupuesto - PAA 2015'!B265,'Base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0" t="s">
        <v>2131</v>
      </c>
      <c r="C270" s="1130"/>
      <c r="D270" s="1130"/>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38" t="s">
        <v>1786</v>
      </c>
      <c r="C271" s="1138"/>
      <c r="D271" s="1138"/>
      <c r="E271" s="734" t="s">
        <v>2134</v>
      </c>
      <c r="F271" s="734" t="s">
        <v>2135</v>
      </c>
      <c r="G271" s="734" t="s">
        <v>1900</v>
      </c>
      <c r="H271" s="734" t="s">
        <v>1901</v>
      </c>
      <c r="I271" s="734" t="s">
        <v>1843</v>
      </c>
      <c r="J271" s="734" t="s">
        <v>2136</v>
      </c>
      <c r="K271" s="721" t="s">
        <v>1903</v>
      </c>
      <c r="L271" s="734" t="s">
        <v>2140</v>
      </c>
      <c r="M271" s="734" t="s">
        <v>1905</v>
      </c>
      <c r="N271" s="734" t="s">
        <v>1907</v>
      </c>
      <c r="O271" s="722" t="s">
        <v>2139</v>
      </c>
      <c r="P271" s="723" t="s">
        <v>1821</v>
      </c>
      <c r="Q271" s="734" t="s">
        <v>1851</v>
      </c>
      <c r="R271" s="734" t="s">
        <v>1852</v>
      </c>
      <c r="S271" s="734" t="s">
        <v>375</v>
      </c>
      <c r="T271" s="734" t="s">
        <v>1853</v>
      </c>
    </row>
    <row r="272" spans="2:22" hidden="1" x14ac:dyDescent="0.25">
      <c r="B272" s="1125" t="s">
        <v>1689</v>
      </c>
      <c r="C272" s="1125"/>
      <c r="D272" s="1125"/>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25" t="s">
        <v>1687</v>
      </c>
      <c r="C273" s="1125"/>
      <c r="D273" s="1125"/>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1" t="s">
        <v>1686</v>
      </c>
      <c r="C274" s="1121"/>
      <c r="D274" s="1121"/>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1" t="s">
        <v>1685</v>
      </c>
      <c r="C275" s="1121"/>
      <c r="D275" s="1121"/>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1" t="s">
        <v>1684</v>
      </c>
      <c r="C276" s="1121"/>
      <c r="D276" s="1121"/>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18" t="s">
        <v>1646</v>
      </c>
      <c r="C277" s="1118"/>
      <c r="D277" s="1118"/>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2015'!O279=Hoja1!$D$18),'Presupuesto - PAA 2015'!L279,"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2015'!O280=Hoja1!$D$18),'Presupuesto - PAA 2015'!L280,"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2015'!O281=Hoja1!$D$18),'Presupuesto - PAA 2015'!L281,"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2015'!O282=Hoja1!$D$18),'Presupuesto - PAA 2015'!L282,"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2015'!O283=Hoja1!$D$18),'Presupuesto - PAA 2015'!L283,"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18" t="s">
        <v>1648</v>
      </c>
      <c r="C285" s="1118"/>
      <c r="D285" s="1118"/>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2015'!O287=Hoja1!$D$18),'Presupuesto - PAA 2015'!L287,"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1" t="s">
        <v>1796</v>
      </c>
      <c r="C289" s="1121"/>
      <c r="D289" s="1121"/>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1" t="s">
        <v>1650</v>
      </c>
      <c r="C290" s="1121"/>
      <c r="D290" s="1121"/>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18" t="s">
        <v>1651</v>
      </c>
      <c r="C291" s="1118"/>
      <c r="D291" s="1118"/>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2015'!O293=Hoja1!$D$18),'Presupuesto - PAA 2015'!L293,"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2015'!O294=Hoja1!$D$18),'Presupuesto - PAA 2015'!L294,"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2015'!O295=Hoja1!$D$18),'Presupuesto - PAA 2015'!L295,"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2015'!O296=Hoja1!$D$18),'Presupuesto - PAA 2015'!L296,"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2015'!O297=Hoja1!$D$18),'Presupuesto - PAA 2015'!L297,"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2015'!O298=Hoja1!$D$18),'Presupuesto - PAA 2015'!L298,"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18" t="s">
        <v>1652</v>
      </c>
      <c r="C300" s="1118"/>
      <c r="D300" s="1118"/>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2015'!O302=Hoja1!$D$18),'Presupuesto - PAA 2015'!L302,"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2015'!O303=Hoja1!$D$18),'Presupuesto - PAA 2015'!L303,"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2015'!O304=Hoja1!$D$18),'Presupuesto - PAA 2015'!L304,"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2015'!O305=Hoja1!$D$18),'Presupuesto - PAA 2015'!L305,"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18" t="s">
        <v>1653</v>
      </c>
      <c r="C307" s="1118"/>
      <c r="D307" s="1118"/>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2015'!O309=Hoja1!$D$18),'Presupuesto - PAA 2015'!L309,"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2015'!O310=Hoja1!$D$18),'Presupuesto - PAA 2015'!L310,"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1" t="s">
        <v>1654</v>
      </c>
      <c r="C312" s="1121"/>
      <c r="D312" s="1121"/>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18" t="s">
        <v>2144</v>
      </c>
      <c r="C313" s="1118"/>
      <c r="D313" s="1118"/>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2015'!O315=Hoja1!$D$18),'Presupuesto - PAA 2015'!L315,"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755"/>
      <c r="C316" s="755"/>
      <c r="D316" s="755"/>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18" t="s">
        <v>1655</v>
      </c>
      <c r="C317" s="1118"/>
      <c r="D317" s="1118"/>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2015'!O319=Hoja1!$D$18),'Presupuesto - PAA 2015'!L319,"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2015'!O320=Hoja1!$D$18),'Presupuesto - PAA 2015'!L320,"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2015'!O321=Hoja1!$D$18),'Presupuesto - PAA 2015'!L321,"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18" t="s">
        <v>1656</v>
      </c>
      <c r="C323" s="1118"/>
      <c r="D323" s="1118"/>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2015'!O325=Hoja1!$D$18),'Presupuesto - PAA 2015'!L325,"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1" t="s">
        <v>1657</v>
      </c>
      <c r="C327" s="1121"/>
      <c r="D327" s="1121"/>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18" t="s">
        <v>1658</v>
      </c>
      <c r="C328" s="1118"/>
      <c r="D328" s="1118"/>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2015'!O330=Hoja1!$D$18),'Presupuesto - PAA 2015'!L330,"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2015'!O331=Hoja1!$D$18),'Presupuesto - PAA 2015'!L331,"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2015'!O332=Hoja1!$D$18),'Presupuesto - PAA 2015'!L332,"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2015'!O333=Hoja1!$D$18),'Presupuesto - PAA 2015'!L333,"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2015'!O334=Hoja1!$D$18),'Presupuesto - PAA 2015'!L334,"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2015'!O335=Hoja1!$D$18),'Presupuesto - PAA 2015'!L335,"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2015'!O336=Hoja1!$D$18),'Presupuesto - PAA 2015'!L336,"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2015'!O337=Hoja1!$D$18),'Presupuesto - PAA 2015'!L337,"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2015'!O338=Hoja1!$D$18),'Presupuesto - PAA 2015'!L338,"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2015'!O339=Hoja1!$D$18),'Presupuesto - PAA 2015'!L339,"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2015'!O340=Hoja1!$D$18),'Presupuesto - PAA 2015'!L340,"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2015'!O341=Hoja1!$D$18),'Presupuesto - PAA 2015'!L341,"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2015'!O342=Hoja1!$D$18),'Presupuesto - PAA 2015'!L342,"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2015'!O343=Hoja1!$D$18),'Presupuesto - PAA 2015'!L343,"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2015'!O344=Hoja1!$D$18),'Presupuesto - PAA 2015'!L344,"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2015'!O345=Hoja1!$D$18),'Presupuesto - PAA 2015'!L345,"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1" t="s">
        <v>1659</v>
      </c>
      <c r="C347" s="1121"/>
      <c r="D347" s="1121"/>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18" t="s">
        <v>1660</v>
      </c>
      <c r="C348" s="1118"/>
      <c r="D348" s="1118"/>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2015'!O351=Hoja1!$D$18),'Presupuesto - PAA 2015'!L351,"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1" t="s">
        <v>1668</v>
      </c>
      <c r="C353" s="1121"/>
      <c r="D353" s="1121"/>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18" t="s">
        <v>1669</v>
      </c>
      <c r="C354" s="1118"/>
      <c r="D354" s="1118"/>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2015'!O356=Hoja1!$D$18),'Presupuesto - PAA 2015'!L356,"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2015'!O357=Hoja1!$D$18),'Presupuesto - PAA 2015'!L357,"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18" t="s">
        <v>1670</v>
      </c>
      <c r="C359" s="1118"/>
      <c r="D359" s="1118"/>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2015'!O361=Hoja1!$D$18),'Presupuesto - PAA 2015'!L361,"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39" t="s">
        <v>1671</v>
      </c>
      <c r="C363" s="1139"/>
      <c r="D363" s="1139"/>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2015'!O365=Hoja1!$D$18),'Presupuesto - PAA 2015'!L365,"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2015'!O366=Hoja1!$D$18),'Presupuesto - PAA 2015'!L366,"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18" t="s">
        <v>1672</v>
      </c>
      <c r="C368" s="1118"/>
      <c r="D368" s="1118"/>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2015'!O370=Hoja1!$D$18),'Presupuesto - PAA 2015'!L370,"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2015'!O371=Hoja1!$D$18),'Presupuesto - PAA 2015'!L371,"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18" t="s">
        <v>1675</v>
      </c>
      <c r="C373" s="1118"/>
      <c r="D373" s="1118"/>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2015'!O375=Hoja1!$D$18),'Presupuesto - PAA 2015'!L375,"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2015'!O376=Hoja1!$D$18),'Presupuesto - PAA 2015'!L376,"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1" t="s">
        <v>1676</v>
      </c>
      <c r="C378" s="1121"/>
      <c r="D378" s="1121"/>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18" t="s">
        <v>2132</v>
      </c>
      <c r="C379" s="1118"/>
      <c r="D379" s="1118"/>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25" t="s">
        <v>1691</v>
      </c>
      <c r="C383" s="1125"/>
      <c r="D383" s="1125"/>
      <c r="E383" s="546">
        <f t="shared" ref="E383:F387" si="19">+E384</f>
        <v>3039996697</v>
      </c>
      <c r="F383" s="546">
        <f t="shared" si="19"/>
        <v>4055604697</v>
      </c>
      <c r="G383" s="546">
        <f t="shared" ref="G383:N387" si="20">+G384</f>
        <v>7542477000</v>
      </c>
      <c r="H383" s="546">
        <f t="shared" si="20"/>
        <v>0</v>
      </c>
      <c r="I383" s="546">
        <f t="shared" si="20"/>
        <v>7542477000</v>
      </c>
      <c r="J383" s="546">
        <f t="shared" si="20"/>
        <v>3870934898</v>
      </c>
      <c r="K383" s="588">
        <f t="shared" si="20"/>
        <v>0.95446553281275082</v>
      </c>
      <c r="L383" s="546">
        <f t="shared" si="20"/>
        <v>184669799</v>
      </c>
      <c r="M383" s="581"/>
      <c r="N383" s="546">
        <f t="shared" ca="1" si="20"/>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1" t="s">
        <v>1690</v>
      </c>
      <c r="C384" s="1121"/>
      <c r="D384" s="1121"/>
      <c r="E384" s="544">
        <f t="shared" si="19"/>
        <v>3039996697</v>
      </c>
      <c r="F384" s="544">
        <f t="shared" si="19"/>
        <v>4055604697</v>
      </c>
      <c r="G384" s="548">
        <f t="shared" si="20"/>
        <v>7542477000</v>
      </c>
      <c r="H384" s="548">
        <f t="shared" si="20"/>
        <v>0</v>
      </c>
      <c r="I384" s="548">
        <f t="shared" si="20"/>
        <v>7542477000</v>
      </c>
      <c r="J384" s="548">
        <f t="shared" si="20"/>
        <v>3870934898</v>
      </c>
      <c r="K384" s="606">
        <f t="shared" si="20"/>
        <v>0.95446553281275082</v>
      </c>
      <c r="L384" s="548">
        <f t="shared" si="20"/>
        <v>184669799</v>
      </c>
      <c r="M384" s="548"/>
      <c r="N384" s="548">
        <f t="shared" ca="1" si="20"/>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19" t="s">
        <v>1679</v>
      </c>
      <c r="C385" s="1119"/>
      <c r="D385" s="1119"/>
      <c r="E385" s="548">
        <f t="shared" si="19"/>
        <v>3039996697</v>
      </c>
      <c r="F385" s="548">
        <f t="shared" si="19"/>
        <v>4055604697</v>
      </c>
      <c r="G385" s="548">
        <f t="shared" si="20"/>
        <v>7542477000</v>
      </c>
      <c r="H385" s="548">
        <f t="shared" si="20"/>
        <v>0</v>
      </c>
      <c r="I385" s="548">
        <f t="shared" si="20"/>
        <v>7542477000</v>
      </c>
      <c r="J385" s="548">
        <f t="shared" si="20"/>
        <v>3870934898</v>
      </c>
      <c r="K385" s="606">
        <f t="shared" si="20"/>
        <v>0.95446553281275082</v>
      </c>
      <c r="L385" s="548">
        <f t="shared" si="20"/>
        <v>184669799</v>
      </c>
      <c r="M385" s="548"/>
      <c r="N385" s="548">
        <f t="shared" ca="1" si="20"/>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19" t="s">
        <v>1840</v>
      </c>
      <c r="C386" s="1119"/>
      <c r="D386" s="1119"/>
      <c r="E386" s="548">
        <f t="shared" si="19"/>
        <v>3039996697</v>
      </c>
      <c r="F386" s="548">
        <f t="shared" si="19"/>
        <v>4055604697</v>
      </c>
      <c r="G386" s="548">
        <f t="shared" si="20"/>
        <v>7542477000</v>
      </c>
      <c r="H386" s="548">
        <f t="shared" si="20"/>
        <v>0</v>
      </c>
      <c r="I386" s="548">
        <f t="shared" si="20"/>
        <v>7542477000</v>
      </c>
      <c r="J386" s="548">
        <f t="shared" si="20"/>
        <v>3870934898</v>
      </c>
      <c r="K386" s="606">
        <f t="shared" si="20"/>
        <v>0.95446553281275082</v>
      </c>
      <c r="L386" s="548">
        <f t="shared" si="20"/>
        <v>184669799</v>
      </c>
      <c r="M386" s="548"/>
      <c r="N386" s="548">
        <f t="shared" ca="1" si="20"/>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19" t="s">
        <v>1839</v>
      </c>
      <c r="C387" s="1119"/>
      <c r="D387" s="1119"/>
      <c r="E387" s="548">
        <f t="shared" si="19"/>
        <v>3039996697</v>
      </c>
      <c r="F387" s="548">
        <f t="shared" si="19"/>
        <v>4055604697</v>
      </c>
      <c r="G387" s="548">
        <f t="shared" si="20"/>
        <v>7542477000</v>
      </c>
      <c r="H387" s="548">
        <f t="shared" si="20"/>
        <v>0</v>
      </c>
      <c r="I387" s="548">
        <f t="shared" si="20"/>
        <v>7542477000</v>
      </c>
      <c r="J387" s="548">
        <f t="shared" si="20"/>
        <v>3870934898</v>
      </c>
      <c r="K387" s="606">
        <f t="shared" si="20"/>
        <v>0.95446553281275082</v>
      </c>
      <c r="L387" s="548">
        <f t="shared" si="20"/>
        <v>184669799</v>
      </c>
      <c r="M387" s="548"/>
      <c r="N387" s="548">
        <f t="shared" ca="1" si="20"/>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18" t="s">
        <v>1877</v>
      </c>
      <c r="C388" s="1118"/>
      <c r="D388" s="1118"/>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2015'!O390=Hoja1!$D$18),'Presupuesto - PAA 2015'!L390,"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2015'!O391=Hoja1!$D$18),'Presupuesto - PAA 2015'!L391,"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2015'!O392=Hoja1!$D$18),'Presupuesto - PAA 2015'!L392,"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2015'!O393=Hoja1!$D$18),'Presupuesto - PAA 2015'!L393,"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2015'!O394=Hoja1!$D$18),'Presupuesto - PAA 2015'!L394,"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2015'!O395=Hoja1!$D$18),'Presupuesto - PAA 2015'!L395,"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2015'!O396=Hoja1!$D$18),'Presupuesto - PAA 2015'!L396,"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2015'!O397=Hoja1!$D$18),'Presupuesto - PAA 2015'!L397,"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 ref="B347:D347"/>
    <mergeCell ref="B348:D348"/>
    <mergeCell ref="B353:D353"/>
    <mergeCell ref="B300:D300"/>
    <mergeCell ref="B307:D307"/>
    <mergeCell ref="B312:D312"/>
    <mergeCell ref="B317:D317"/>
    <mergeCell ref="B323:D323"/>
    <mergeCell ref="B313:D313"/>
    <mergeCell ref="B276:D276"/>
    <mergeCell ref="B277:D277"/>
    <mergeCell ref="B285:D285"/>
    <mergeCell ref="B291:D291"/>
    <mergeCell ref="B289:D289"/>
    <mergeCell ref="B290:D290"/>
    <mergeCell ref="B271:D271"/>
    <mergeCell ref="B272:D272"/>
    <mergeCell ref="B273:D273"/>
    <mergeCell ref="B274:D274"/>
    <mergeCell ref="B275:D275"/>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B209:D209"/>
    <mergeCell ref="B205:D205"/>
    <mergeCell ref="B51:D51"/>
    <mergeCell ref="B73:D73"/>
    <mergeCell ref="B74:D74"/>
    <mergeCell ref="B176:D176"/>
    <mergeCell ref="B175:D175"/>
    <mergeCell ref="B91:D91"/>
    <mergeCell ref="B90:D90"/>
    <mergeCell ref="B75:D75"/>
    <mergeCell ref="B82:D82"/>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61" customWidth="1"/>
    <col min="2" max="3" width="11.42578125" style="660"/>
    <col min="4" max="4" width="48.140625" style="660" customWidth="1"/>
    <col min="5" max="5" width="0" style="660" hidden="1" customWidth="1"/>
    <col min="6" max="6" width="15.140625" style="660" bestFit="1" customWidth="1"/>
    <col min="7" max="7" width="15.140625" style="660" hidden="1" customWidth="1"/>
    <col min="8" max="8" width="12.7109375" style="660" hidden="1" customWidth="1"/>
    <col min="9" max="9" width="15.140625" style="660" hidden="1" customWidth="1"/>
    <col min="10" max="10" width="15.140625" style="660" bestFit="1" customWidth="1"/>
    <col min="11" max="11" width="11.42578125" style="678"/>
    <col min="12" max="12" width="15.140625" style="660" bestFit="1" customWidth="1"/>
    <col min="13" max="13" width="12.85546875" style="660" hidden="1" customWidth="1"/>
    <col min="14" max="14" width="14.140625" style="660" bestFit="1" customWidth="1"/>
    <col min="15" max="16384" width="11.42578125" style="660"/>
  </cols>
  <sheetData>
    <row r="1" spans="1:14" ht="18.75" x14ac:dyDescent="0.25">
      <c r="A1" s="659"/>
      <c r="B1" s="1147" t="s">
        <v>1944</v>
      </c>
      <c r="C1" s="1147"/>
      <c r="D1" s="1147"/>
      <c r="E1" s="1147"/>
      <c r="F1" s="1147"/>
      <c r="G1" s="1147"/>
      <c r="H1" s="1147"/>
      <c r="I1" s="1147"/>
      <c r="J1" s="1147"/>
      <c r="K1" s="1147"/>
      <c r="L1" s="1147"/>
      <c r="M1" s="1147"/>
      <c r="N1" s="1147"/>
    </row>
    <row r="2" spans="1:14" ht="42.75" customHeight="1" x14ac:dyDescent="0.25">
      <c r="A2" s="659"/>
      <c r="B2" s="1148" t="s">
        <v>1786</v>
      </c>
      <c r="C2" s="1148"/>
      <c r="D2" s="1148"/>
      <c r="E2" s="549" t="s">
        <v>1845</v>
      </c>
      <c r="F2" s="549" t="s">
        <v>2164</v>
      </c>
      <c r="G2" s="549" t="s">
        <v>1900</v>
      </c>
      <c r="H2" s="549" t="s">
        <v>1901</v>
      </c>
      <c r="I2" s="549" t="s">
        <v>1843</v>
      </c>
      <c r="J2" s="549" t="s">
        <v>2190</v>
      </c>
      <c r="K2" s="604" t="s">
        <v>1903</v>
      </c>
      <c r="L2" s="549" t="s">
        <v>1904</v>
      </c>
      <c r="M2" s="549" t="s">
        <v>1905</v>
      </c>
      <c r="N2" s="549" t="s">
        <v>1907</v>
      </c>
    </row>
    <row r="3" spans="1:14" x14ac:dyDescent="0.25">
      <c r="A3" s="659"/>
      <c r="B3" s="1125" t="s">
        <v>1689</v>
      </c>
      <c r="C3" s="1125"/>
      <c r="D3" s="1125"/>
      <c r="E3" s="547"/>
      <c r="F3" s="546">
        <f>VLOOKUP(B3,'Presupuesto - PAA 2015'!$B$3:$N$265,4,0)</f>
        <v>31035477000</v>
      </c>
      <c r="G3" s="546">
        <v>29809977000</v>
      </c>
      <c r="H3" s="546"/>
      <c r="I3" s="546">
        <v>29809977000</v>
      </c>
      <c r="J3" s="546">
        <f>VLOOKUP(B3,'Presupuesto - PAA 2015'!$B$3:$N$265,9,0)</f>
        <v>27303094236.200001</v>
      </c>
      <c r="K3" s="651">
        <f>VLOOKUP(B3,'Presupuesto - PAA 2015'!$B$3:$N$265,10,0)</f>
        <v>0.87973818595409381</v>
      </c>
      <c r="L3" s="546">
        <f>VLOOKUP(B3,'Presupuesto - PAA 2015'!$B$3:$N$265,11,0)</f>
        <v>3170885723</v>
      </c>
      <c r="M3" s="546">
        <f>VLOOKUP(B3,'Presupuesto - PAA 2015'!$B$3:$N$265,12,0)</f>
        <v>104910622</v>
      </c>
      <c r="N3" s="546">
        <f>VLOOKUP(B3,'Presupuesto - PAA 2015'!$B$3:$N$265,13,0)</f>
        <v>544700106.80000019</v>
      </c>
    </row>
    <row r="4" spans="1:14" x14ac:dyDescent="0.25">
      <c r="A4" s="659"/>
      <c r="B4" s="1139" t="s">
        <v>1687</v>
      </c>
      <c r="C4" s="1139"/>
      <c r="D4" s="1139"/>
      <c r="E4" s="591"/>
      <c r="F4" s="662">
        <f>VLOOKUP(B4,'Presupuesto - PAA 2015'!$B$3:$N$265,4,0)</f>
        <v>22793000000</v>
      </c>
      <c r="G4" s="662">
        <v>22267500000</v>
      </c>
      <c r="H4" s="662">
        <v>288614000</v>
      </c>
      <c r="I4" s="662">
        <v>22267500000</v>
      </c>
      <c r="J4" s="662">
        <f>VLOOKUP(B4,'Presupuesto - PAA 2015'!$B$3:$N$265,9,0)</f>
        <v>19645184034</v>
      </c>
      <c r="K4" s="670">
        <f>VLOOKUP(B4,'Presupuesto - PAA 2015'!$B$3:$N$265,10,0)</f>
        <v>0.8618954957223709</v>
      </c>
      <c r="L4" s="662">
        <f>VLOOKUP(B4,'Presupuesto - PAA 2015'!$B$3:$N$265,11,0)</f>
        <v>2720408723</v>
      </c>
      <c r="M4" s="662">
        <f>VLOOKUP(B4,'Presupuesto - PAA 2015'!$B$3:$N$265,12,0)</f>
        <v>104910622</v>
      </c>
      <c r="N4" s="662">
        <f>VLOOKUP(B4,'Presupuesto - PAA 2015'!$B$3:$N$265,13,0)</f>
        <v>410610309</v>
      </c>
    </row>
    <row r="5" spans="1:14" x14ac:dyDescent="0.25">
      <c r="A5" s="659"/>
      <c r="B5" s="1146" t="s">
        <v>1686</v>
      </c>
      <c r="C5" s="1146"/>
      <c r="D5" s="1146"/>
      <c r="E5" s="539"/>
      <c r="F5" s="671">
        <f>VLOOKUP(B5,'Presupuesto - PAA 2015'!$B$3:$N$265,4,0)</f>
        <v>13641779000</v>
      </c>
      <c r="G5" s="671">
        <v>13603500000</v>
      </c>
      <c r="H5" s="671">
        <v>148000000</v>
      </c>
      <c r="I5" s="671">
        <v>13495500000</v>
      </c>
      <c r="J5" s="671">
        <f>VLOOKUP(B5,'Presupuesto - PAA 2015'!$B$3:$N$265,9,0)</f>
        <v>11413365052</v>
      </c>
      <c r="K5" s="672">
        <f>VLOOKUP(B5,'Presupuesto - PAA 2015'!$B$3:$N$265,10,0)</f>
        <v>0.83664784864202824</v>
      </c>
      <c r="L5" s="671">
        <f>VLOOKUP(B5,'Presupuesto - PAA 2015'!$B$3:$N$265,11,0)</f>
        <v>2225164920</v>
      </c>
      <c r="M5" s="671">
        <f>VLOOKUP(B5,'Presupuesto - PAA 2015'!$B$3:$N$265,12,0)</f>
        <v>3249028</v>
      </c>
      <c r="N5" s="671">
        <f>VLOOKUP(B5,'Presupuesto - PAA 2015'!$B$3:$N$265,13,0)</f>
        <v>3249028</v>
      </c>
    </row>
    <row r="6" spans="1:14" ht="21" customHeight="1" x14ac:dyDescent="0.25">
      <c r="A6" s="659"/>
      <c r="B6" s="1146" t="s">
        <v>1685</v>
      </c>
      <c r="C6" s="1146"/>
      <c r="D6" s="1146"/>
      <c r="E6" s="539"/>
      <c r="F6" s="671">
        <f>VLOOKUP(B6,'Presupuesto - PAA 2015'!$B$3:$N$265,4,0)</f>
        <v>13641779000</v>
      </c>
      <c r="G6" s="671">
        <v>13603500000</v>
      </c>
      <c r="H6" s="671">
        <v>148000000</v>
      </c>
      <c r="I6" s="671">
        <v>13495500000</v>
      </c>
      <c r="J6" s="671">
        <f>VLOOKUP(B6,'Presupuesto - PAA 2015'!$B$3:$N$265,9,0)</f>
        <v>11413365052</v>
      </c>
      <c r="K6" s="672">
        <f>VLOOKUP(B6,'Presupuesto - PAA 2015'!$B$3:$N$265,10,0)</f>
        <v>0.83664784864202824</v>
      </c>
      <c r="L6" s="671">
        <f>VLOOKUP(B6,'Presupuesto - PAA 2015'!$B$3:$N$265,11,0)</f>
        <v>2225164920</v>
      </c>
      <c r="M6" s="671">
        <f>VLOOKUP(B6,'Presupuesto - PAA 2015'!$B$3:$N$265,12,0)</f>
        <v>3249028</v>
      </c>
      <c r="N6" s="671">
        <f>VLOOKUP(B6,'Presupuesto - PAA 2015'!$B$3:$N$265,13,0)</f>
        <v>3249028</v>
      </c>
    </row>
    <row r="7" spans="1:14" x14ac:dyDescent="0.25">
      <c r="A7" s="659"/>
      <c r="B7" s="1145" t="s">
        <v>1684</v>
      </c>
      <c r="C7" s="1145"/>
      <c r="D7" s="1145"/>
      <c r="E7" s="663"/>
      <c r="F7" s="664">
        <f>VLOOKUP(B7,'Presupuesto - PAA 2015'!$B$3:$N$265,4,0)</f>
        <v>13548179000</v>
      </c>
      <c r="G7" s="664">
        <v>13603500000</v>
      </c>
      <c r="H7" s="664">
        <v>148000000</v>
      </c>
      <c r="I7" s="664">
        <v>13495500000</v>
      </c>
      <c r="J7" s="664">
        <f>VLOOKUP(B7,'Presupuesto - PAA 2015'!$B$3:$N$265,9,0)</f>
        <v>11413365052</v>
      </c>
      <c r="K7" s="674">
        <f>VLOOKUP(B7,'Presupuesto - PAA 2015'!$B$3:$N$265,10,0)</f>
        <v>0.84242797884497989</v>
      </c>
      <c r="L7" s="664">
        <f>VLOOKUP(B7,'Presupuesto - PAA 2015'!$B$3:$N$265,11,0)</f>
        <v>2225164920</v>
      </c>
      <c r="M7" s="664">
        <f>VLOOKUP(B7,'Presupuesto - PAA 2015'!$B$3:$N$265,12,0)</f>
        <v>3249028</v>
      </c>
      <c r="N7" s="664">
        <f>VLOOKUP(B7,'Presupuesto - PAA 2015'!$B$3:$N$265,13,0)</f>
        <v>3249028</v>
      </c>
    </row>
    <row r="8" spans="1:14" x14ac:dyDescent="0.25">
      <c r="A8" s="659"/>
      <c r="B8" s="1143" t="s">
        <v>1646</v>
      </c>
      <c r="C8" s="1143"/>
      <c r="D8" s="1143"/>
      <c r="E8" s="491">
        <f>COUNTIF('Actualizada - presupuesto'!$E$7:$E$111,B8)</f>
        <v>16</v>
      </c>
      <c r="F8" s="671">
        <f>VLOOKUP(B8,'Presupuesto - PAA 2015'!$B$3:$N$265,4,0)</f>
        <v>843179000</v>
      </c>
      <c r="G8" s="585">
        <v>858500000</v>
      </c>
      <c r="H8" s="716">
        <v>128000000</v>
      </c>
      <c r="I8" s="585">
        <v>730500000</v>
      </c>
      <c r="J8" s="671">
        <f>VLOOKUP(B8,'Presupuesto - PAA 2015'!$B$3:$N$265,9,0)</f>
        <v>839929972</v>
      </c>
      <c r="K8" s="672">
        <f>VLOOKUP(B8,'Presupuesto - PAA 2015'!$B$3:$N$265,10,0)</f>
        <v>0.99614669245794785</v>
      </c>
      <c r="L8" s="671">
        <f>VLOOKUP(B8,'Presupuesto - PAA 2015'!$B$3:$N$265,11,0)</f>
        <v>0</v>
      </c>
      <c r="M8" s="671">
        <f>VLOOKUP(B8,'Presupuesto - PAA 2015'!$B$3:$N$265,12,0)</f>
        <v>3249028</v>
      </c>
      <c r="N8" s="671">
        <f>VLOOKUP(B8,'Presupuesto - PAA 2015'!$B$3:$N$265,13,0)</f>
        <v>3249028</v>
      </c>
    </row>
    <row r="9" spans="1:14" x14ac:dyDescent="0.25">
      <c r="A9" s="659"/>
      <c r="B9" s="1143" t="s">
        <v>1647</v>
      </c>
      <c r="C9" s="1143"/>
      <c r="D9" s="1143"/>
      <c r="E9" s="491">
        <f>COUNTIF('Actualizada - presupuesto'!$E$7:$E$111,B9)</f>
        <v>0</v>
      </c>
      <c r="F9" s="671">
        <f>VLOOKUP(B9,'Presupuesto - PAA 2015'!$B$3:$N$265,4,0)</f>
        <v>12705000000</v>
      </c>
      <c r="G9" s="585">
        <v>12745000000</v>
      </c>
      <c r="H9" s="585"/>
      <c r="I9" s="585">
        <v>12745000000</v>
      </c>
      <c r="J9" s="671">
        <f>VLOOKUP(B9,'Presupuesto - PAA 2015'!$B$3:$N$265,9,0)</f>
        <v>10479835080</v>
      </c>
      <c r="K9" s="672">
        <f>VLOOKUP(B9,'Presupuesto - PAA 2015'!$B$3:$N$265,10,0)</f>
        <v>0.82227030835621817</v>
      </c>
      <c r="L9" s="671">
        <f>VLOOKUP(B9,'Presupuesto - PAA 2015'!$B$3:$N$265,11,0)</f>
        <v>2225164920</v>
      </c>
      <c r="M9" s="671">
        <f>VLOOKUP(B9,'Presupuesto - PAA 2015'!$B$3:$N$265,12,0)</f>
        <v>0</v>
      </c>
      <c r="N9" s="671">
        <f>VLOOKUP(B9,'Presupuesto - PAA 2015'!$B$3:$N$265,13,0)</f>
        <v>0</v>
      </c>
    </row>
    <row r="10" spans="1:14" ht="25.5" customHeight="1" x14ac:dyDescent="0.25">
      <c r="A10" s="659"/>
      <c r="B10" s="1143" t="s">
        <v>1648</v>
      </c>
      <c r="C10" s="1143"/>
      <c r="D10" s="1143"/>
      <c r="E10" s="491">
        <f>COUNTIF('Actualizada - presupuesto'!$E$7:$E$111,B10)</f>
        <v>1</v>
      </c>
      <c r="F10" s="671">
        <f>VLOOKUP(B10,'Presupuesto - PAA 2015'!$B$3:$N$265,4,0)</f>
        <v>93600000</v>
      </c>
      <c r="G10" s="585">
        <v>0</v>
      </c>
      <c r="H10" s="585">
        <v>20000000</v>
      </c>
      <c r="I10" s="585">
        <v>20000000</v>
      </c>
      <c r="J10" s="671">
        <f>VLOOKUP(B10,'Presupuesto - PAA 2015'!$B$3:$N$265,9,0)</f>
        <v>93600000</v>
      </c>
      <c r="K10" s="672">
        <f>VLOOKUP(B10,'Presupuesto - PAA 2015'!$B$3:$N$265,10,0)</f>
        <v>1</v>
      </c>
      <c r="L10" s="671">
        <f>VLOOKUP(B10,'Presupuesto - PAA 2015'!$B$3:$N$265,11,0)</f>
        <v>0</v>
      </c>
      <c r="M10" s="671">
        <f>VLOOKUP(B10,'Presupuesto - PAA 2015'!$B$3:$N$265,12,0)</f>
        <v>0</v>
      </c>
      <c r="N10" s="671">
        <f>VLOOKUP(B10,'Presupuesto - PAA 2015'!$B$3:$N$265,13,0)</f>
        <v>0</v>
      </c>
    </row>
    <row r="11" spans="1:14" x14ac:dyDescent="0.25">
      <c r="A11" s="659"/>
      <c r="B11" s="1145" t="s">
        <v>1796</v>
      </c>
      <c r="C11" s="1145"/>
      <c r="D11" s="1145"/>
      <c r="E11" s="663"/>
      <c r="F11" s="664">
        <f>VLOOKUP(B11,'Presupuesto - PAA 2015'!$B$3:$N$265,4,0)</f>
        <v>9151221000</v>
      </c>
      <c r="G11" s="664">
        <v>8664000000</v>
      </c>
      <c r="H11" s="664">
        <v>140614000</v>
      </c>
      <c r="I11" s="664">
        <v>8772000000</v>
      </c>
      <c r="J11" s="664">
        <f>VLOOKUP(B11,'Presupuesto - PAA 2015'!$B$3:$N$265,9,0)</f>
        <v>8231818982</v>
      </c>
      <c r="K11" s="674">
        <f>VLOOKUP(B11,'Presupuesto - PAA 2015'!$B$3:$N$265,10,0)</f>
        <v>0.89953231180844606</v>
      </c>
      <c r="L11" s="664">
        <f>VLOOKUP(B11,'Presupuesto - PAA 2015'!$B$3:$N$265,11,0)</f>
        <v>495243803</v>
      </c>
      <c r="M11" s="664">
        <f>VLOOKUP(B11,'Presupuesto - PAA 2015'!$B$3:$N$265,12,0)</f>
        <v>101661594</v>
      </c>
      <c r="N11" s="664">
        <f>VLOOKUP(B11,'Presupuesto - PAA 2015'!$B$3:$N$265,13,0)</f>
        <v>407361281</v>
      </c>
    </row>
    <row r="12" spans="1:14" x14ac:dyDescent="0.25">
      <c r="A12" s="659"/>
      <c r="B12" s="1144" t="s">
        <v>1650</v>
      </c>
      <c r="C12" s="1144"/>
      <c r="D12" s="1144"/>
      <c r="E12" s="665"/>
      <c r="F12" s="666">
        <f>VLOOKUP(B12,'Presupuesto - PAA 2015'!$B$3:$N$265,4,0)</f>
        <v>2089000000</v>
      </c>
      <c r="G12" s="666">
        <v>1589000000</v>
      </c>
      <c r="H12" s="666">
        <v>0</v>
      </c>
      <c r="I12" s="666">
        <v>1589000000</v>
      </c>
      <c r="J12" s="666">
        <f>VLOOKUP(B12,'Presupuesto - PAA 2015'!$B$3:$N$265,9,0)</f>
        <v>1919048061</v>
      </c>
      <c r="K12" s="677">
        <f>VLOOKUP(B12,'Presupuesto - PAA 2015'!$B$3:$N$265,10,0)</f>
        <v>0</v>
      </c>
      <c r="L12" s="666">
        <f>VLOOKUP(B12,'Presupuesto - PAA 2015'!$B$3:$N$265,11,0)</f>
        <v>103195345</v>
      </c>
      <c r="M12" s="666">
        <f>VLOOKUP(B12,'Presupuesto - PAA 2015'!$B$3:$N$265,12,0)</f>
        <v>101661594</v>
      </c>
      <c r="N12" s="666">
        <f>VLOOKUP(B12,'Presupuesto - PAA 2015'!$B$3:$N$265,13,0)</f>
        <v>66756594</v>
      </c>
    </row>
    <row r="13" spans="1:14" x14ac:dyDescent="0.25">
      <c r="A13" s="659"/>
      <c r="B13" s="1143" t="s">
        <v>1651</v>
      </c>
      <c r="C13" s="1143"/>
      <c r="D13" s="1143"/>
      <c r="E13" s="491">
        <f>COUNTIF('Actualizada - presupuesto'!$E$7:$E$111,B13)</f>
        <v>15</v>
      </c>
      <c r="F13" s="671">
        <f>VLOOKUP(B13,'Presupuesto - PAA 2015'!$B$3:$N$265,4,0)</f>
        <v>1414000000</v>
      </c>
      <c r="G13" s="585">
        <v>914000000</v>
      </c>
      <c r="H13" s="585"/>
      <c r="I13" s="585">
        <v>914000000</v>
      </c>
      <c r="J13" s="671">
        <f>VLOOKUP(B13,'Presupuesto - PAA 2015'!$B$3:$N$265,9,0)</f>
        <v>1223931061</v>
      </c>
      <c r="K13" s="672">
        <f>VLOOKUP(B13,'Presupuesto - PAA 2015'!$B$3:$N$265,10,0)</f>
        <v>0.86558066548797741</v>
      </c>
      <c r="L13" s="671">
        <f>VLOOKUP(B13,'Presupuesto - PAA 2015'!$B$3:$N$265,11,0)</f>
        <v>103195345</v>
      </c>
      <c r="M13" s="671">
        <f>VLOOKUP(B13,'Presupuesto - PAA 2015'!$B$3:$N$265,12,0)</f>
        <v>86873594</v>
      </c>
      <c r="N13" s="671">
        <f>VLOOKUP(B13,'Presupuesto - PAA 2015'!$B$3:$N$265,13,0)</f>
        <v>86873594</v>
      </c>
    </row>
    <row r="14" spans="1:14" x14ac:dyDescent="0.25">
      <c r="A14" s="659"/>
      <c r="B14" s="1143" t="s">
        <v>1652</v>
      </c>
      <c r="C14" s="1143"/>
      <c r="D14" s="1143"/>
      <c r="E14" s="491">
        <f>COUNTIF('Actualizada - presupuesto'!$E$7:$E$111,B14)</f>
        <v>3</v>
      </c>
      <c r="F14" s="671">
        <f>VLOOKUP(B14,'Presupuesto - PAA 2015'!$B$3:$N$265,4,0)</f>
        <v>452000000</v>
      </c>
      <c r="G14" s="585">
        <v>452000000</v>
      </c>
      <c r="H14" s="585"/>
      <c r="I14" s="585">
        <v>452000000</v>
      </c>
      <c r="J14" s="671">
        <f>VLOOKUP(B14,'Presupuesto - PAA 2015'!$B$3:$N$265,9,0)</f>
        <v>486905000</v>
      </c>
      <c r="K14" s="672">
        <f>VLOOKUP(B14,'Presupuesto - PAA 2015'!$B$3:$N$265,10,0)</f>
        <v>1.0772234513274337</v>
      </c>
      <c r="L14" s="671">
        <f>VLOOKUP(B14,'Presupuesto - PAA 2015'!$B$3:$N$265,11,0)</f>
        <v>0</v>
      </c>
      <c r="M14" s="671">
        <f>VLOOKUP(B14,'Presupuesto - PAA 2015'!$B$3:$N$265,12,0)</f>
        <v>0</v>
      </c>
      <c r="N14" s="671">
        <f>VLOOKUP(B14,'Presupuesto - PAA 2015'!$B$3:$N$265,13,0)</f>
        <v>-34905000</v>
      </c>
    </row>
    <row r="15" spans="1:14" x14ac:dyDescent="0.25">
      <c r="A15" s="659"/>
      <c r="B15" s="1143" t="s">
        <v>1653</v>
      </c>
      <c r="C15" s="1143"/>
      <c r="D15" s="1143"/>
      <c r="E15" s="491">
        <f>COUNTIF('Actualizada - presupuesto'!$E$7:$E$111,B15)</f>
        <v>4</v>
      </c>
      <c r="F15" s="671">
        <f>VLOOKUP(B15,'Presupuesto - PAA 2015'!$B$3:$N$265,4,0)</f>
        <v>223000000</v>
      </c>
      <c r="G15" s="585">
        <v>223000000</v>
      </c>
      <c r="H15" s="585"/>
      <c r="I15" s="585">
        <v>223000000</v>
      </c>
      <c r="J15" s="671">
        <f>VLOOKUP(B15,'Presupuesto - PAA 2015'!$B$3:$N$265,9,0)</f>
        <v>208212000</v>
      </c>
      <c r="K15" s="672">
        <f>VLOOKUP(B15,'Presupuesto - PAA 2015'!$B$3:$N$265,10,0)</f>
        <v>0.93368609865470853</v>
      </c>
      <c r="L15" s="671">
        <f>VLOOKUP(B15,'Presupuesto - PAA 2015'!$B$3:$N$265,11,0)</f>
        <v>0</v>
      </c>
      <c r="M15" s="671">
        <f>VLOOKUP(B15,'Presupuesto - PAA 2015'!$B$3:$N$265,12,0)</f>
        <v>14788000</v>
      </c>
      <c r="N15" s="671">
        <f>VLOOKUP(B15,'Presupuesto - PAA 2015'!$B$3:$N$265,13,0)</f>
        <v>14788000</v>
      </c>
    </row>
    <row r="16" spans="1:14" x14ac:dyDescent="0.25">
      <c r="A16" s="659"/>
      <c r="B16" s="1144" t="s">
        <v>1654</v>
      </c>
      <c r="C16" s="1144"/>
      <c r="D16" s="1144"/>
      <c r="E16" s="667">
        <v>0</v>
      </c>
      <c r="F16" s="666">
        <f>VLOOKUP(B16,'Presupuesto - PAA 2015'!$B$3:$N$265,4,0)</f>
        <v>7026221000</v>
      </c>
      <c r="G16" s="666">
        <v>7074000000</v>
      </c>
      <c r="H16" s="666">
        <v>140614000</v>
      </c>
      <c r="I16" s="666">
        <v>7182000000</v>
      </c>
      <c r="J16" s="666">
        <f>VLOOKUP(B16,'Presupuesto - PAA 2015'!$B$3:$N$265,9,0)</f>
        <v>6311862387</v>
      </c>
      <c r="K16" s="677">
        <f>VLOOKUP(B16,'Presupuesto - PAA 2015'!$B$3:$N$265,10,0)</f>
        <v>0.89832961231933928</v>
      </c>
      <c r="L16" s="666">
        <f>VLOOKUP(B16,'Presupuesto - PAA 2015'!$B$3:$N$265,11,0)</f>
        <v>391956992</v>
      </c>
      <c r="M16" s="666">
        <f>VLOOKUP(B16,'Presupuesto - PAA 2015'!$B$3:$N$265,12,0)</f>
        <v>0</v>
      </c>
      <c r="N16" s="666">
        <f>VLOOKUP(B16,'Presupuesto - PAA 2015'!$B$3:$N$265,13,0)</f>
        <v>322401603</v>
      </c>
    </row>
    <row r="17" spans="1:14" x14ac:dyDescent="0.25">
      <c r="A17" s="659"/>
      <c r="B17" s="1119" t="s">
        <v>1655</v>
      </c>
      <c r="C17" s="1119"/>
      <c r="D17" s="1119"/>
      <c r="E17" s="491">
        <f>COUNTIF('Actualizada - presupuesto'!$E$7:$E$111,B17)</f>
        <v>5</v>
      </c>
      <c r="F17" s="544">
        <f>VLOOKUP(B17,'Presupuesto - PAA 2015'!$B$3:$N$265,4,0)</f>
        <v>229000000</v>
      </c>
      <c r="G17" s="548">
        <v>229000000</v>
      </c>
      <c r="H17" s="548"/>
      <c r="I17" s="548">
        <v>229000000</v>
      </c>
      <c r="J17" s="544">
        <f>VLOOKUP(B17,'Presupuesto - PAA 2015'!$B$3:$N$265,9,0)</f>
        <v>194508146</v>
      </c>
      <c r="K17" s="607">
        <f>VLOOKUP(B17,'Presupuesto - PAA 2015'!$B$3:$N$265,10,0)</f>
        <v>0.84938055021834058</v>
      </c>
      <c r="L17" s="544">
        <f>VLOOKUP(B17,'Presupuesto - PAA 2015'!$B$3:$N$265,11,0)</f>
        <v>0</v>
      </c>
      <c r="M17" s="544">
        <f>VLOOKUP(B17,'Presupuesto - PAA 2015'!$B$3:$N$265,12,0)</f>
        <v>0</v>
      </c>
      <c r="N17" s="544">
        <f>VLOOKUP(B17,'Presupuesto - PAA 2015'!$B$3:$N$265,13,0)</f>
        <v>34491854</v>
      </c>
    </row>
    <row r="18" spans="1:14" ht="23.25" customHeight="1" x14ac:dyDescent="0.25">
      <c r="A18" s="659"/>
      <c r="B18" s="1119" t="s">
        <v>1656</v>
      </c>
      <c r="C18" s="1119"/>
      <c r="D18" s="1119"/>
      <c r="E18" s="491">
        <f>COUNTIF('Actualizada - presupuesto'!$E$7:$E$111,B18)</f>
        <v>11</v>
      </c>
      <c r="F18" s="544">
        <f>VLOOKUP(B18,'Presupuesto - PAA 2015'!$B$3:$N$265,4,0)</f>
        <v>54000000</v>
      </c>
      <c r="G18" s="548">
        <v>54000000</v>
      </c>
      <c r="H18" s="548"/>
      <c r="I18" s="548">
        <v>54000000</v>
      </c>
      <c r="J18" s="544">
        <f>VLOOKUP(B18,'Presupuesto - PAA 2015'!$B$3:$N$265,9,0)</f>
        <v>51341594</v>
      </c>
      <c r="K18" s="607">
        <f>VLOOKUP(B18,'Presupuesto - PAA 2015'!$B$3:$N$265,10,0)</f>
        <v>0.95077025925925929</v>
      </c>
      <c r="L18" s="544">
        <f>VLOOKUP(B18,'Presupuesto - PAA 2015'!$B$3:$N$265,11,0)</f>
        <v>0</v>
      </c>
      <c r="M18" s="544">
        <f>VLOOKUP(B18,'Presupuesto - PAA 2015'!$B$3:$N$265,12,0)</f>
        <v>0</v>
      </c>
      <c r="N18" s="544">
        <f>VLOOKUP(B18,'Presupuesto - PAA 2015'!$B$3:$N$265,13,0)</f>
        <v>2658406</v>
      </c>
    </row>
    <row r="19" spans="1:14" ht="23.25" customHeight="1" x14ac:dyDescent="0.25">
      <c r="A19" s="659"/>
      <c r="B19" s="1119" t="s">
        <v>1657</v>
      </c>
      <c r="C19" s="1119"/>
      <c r="D19" s="1119"/>
      <c r="E19" s="491">
        <f>COUNTIF('Actualizada - presupuesto'!$E$7:$E$111,B19)</f>
        <v>0</v>
      </c>
      <c r="F19" s="544">
        <f>VLOOKUP(B19,'Presupuesto - PAA 2015'!$B$3:$N$265,4,0)</f>
        <v>1188000000</v>
      </c>
      <c r="G19" s="548">
        <v>1243000000</v>
      </c>
      <c r="H19" s="548">
        <v>0</v>
      </c>
      <c r="I19" s="548">
        <v>1243000000</v>
      </c>
      <c r="J19" s="544">
        <f>VLOOKUP(B19,'Presupuesto - PAA 2015'!$B$3:$N$265,9,0)</f>
        <v>1168456110</v>
      </c>
      <c r="K19" s="607">
        <f>VLOOKUP(B19,'Presupuesto - PAA 2015'!$B$3:$N$265,10,0)</f>
        <v>0.9835489141414141</v>
      </c>
      <c r="L19" s="544">
        <f>VLOOKUP(B19,'Presupuesto - PAA 2015'!$B$3:$N$265,11,0)</f>
        <v>0</v>
      </c>
      <c r="M19" s="544">
        <f>VLOOKUP(B19,'Presupuesto - PAA 2015'!$B$3:$N$265,12,0)</f>
        <v>0</v>
      </c>
      <c r="N19" s="544">
        <f>VLOOKUP(B19,'Presupuesto - PAA 2015'!$B$3:$N$265,13,0)</f>
        <v>19543890</v>
      </c>
    </row>
    <row r="20" spans="1:14" ht="23.25" customHeight="1" x14ac:dyDescent="0.25">
      <c r="A20" s="659"/>
      <c r="B20" s="1143" t="s">
        <v>1658</v>
      </c>
      <c r="C20" s="1143"/>
      <c r="D20" s="1143"/>
      <c r="E20" s="491">
        <f>COUNTIF('Actualizada - presupuesto'!$E$7:$E$111,B20)</f>
        <v>17</v>
      </c>
      <c r="F20" s="671">
        <f>VLOOKUP(B20,'Presupuesto - PAA 2015'!$B$3:$N$265,4,0)</f>
        <v>1188000000</v>
      </c>
      <c r="G20" s="585">
        <v>1243000000</v>
      </c>
      <c r="H20" s="585"/>
      <c r="I20" s="585">
        <v>1243000000</v>
      </c>
      <c r="J20" s="671">
        <f>VLOOKUP(B20,'Presupuesto - PAA 2015'!$B$3:$N$265,9,0)</f>
        <v>1168456110</v>
      </c>
      <c r="K20" s="672">
        <f>VLOOKUP(B20,'Presupuesto - PAA 2015'!$B$3:$N$265,10,0)</f>
        <v>0.9835489141414141</v>
      </c>
      <c r="L20" s="671">
        <f>VLOOKUP(B20,'Presupuesto - PAA 2015'!$B$3:$N$265,11,0)</f>
        <v>0</v>
      </c>
      <c r="M20" s="671">
        <f>VLOOKUP(B20,'Presupuesto - PAA 2015'!$B$3:$N$265,12,0)</f>
        <v>0</v>
      </c>
      <c r="N20" s="671">
        <f>VLOOKUP(B20,'Presupuesto - PAA 2015'!$B$3:$N$265,13,0)</f>
        <v>19543890</v>
      </c>
    </row>
    <row r="21" spans="1:14" ht="23.25" customHeight="1" x14ac:dyDescent="0.25">
      <c r="A21" s="659"/>
      <c r="B21" s="1119" t="s">
        <v>1659</v>
      </c>
      <c r="C21" s="1119"/>
      <c r="D21" s="1119"/>
      <c r="E21" s="491">
        <f>COUNTIF('Actualizada - presupuesto'!$E$7:$E$111,B21)</f>
        <v>0</v>
      </c>
      <c r="F21" s="544">
        <f>VLOOKUP(B21,'Presupuesto - PAA 2015'!$B$3:$N$265,4,0)</f>
        <v>1513500000</v>
      </c>
      <c r="G21" s="548">
        <v>1380000000</v>
      </c>
      <c r="H21" s="548">
        <v>140614000</v>
      </c>
      <c r="I21" s="548">
        <v>1488000000</v>
      </c>
      <c r="J21" s="544">
        <f>VLOOKUP(B21,'Presupuesto - PAA 2015'!$B$3:$N$265,9,0)</f>
        <v>1306122735</v>
      </c>
      <c r="K21" s="607">
        <f>VLOOKUP(B21,'Presupuesto - PAA 2015'!$B$3:$N$265,10,0)</f>
        <v>0.86298165510406344</v>
      </c>
      <c r="L21" s="544">
        <f>VLOOKUP(B21,'Presupuesto - PAA 2015'!$B$3:$N$265,11,0)</f>
        <v>204558372</v>
      </c>
      <c r="M21" s="544">
        <f>VLOOKUP(B21,'Presupuesto - PAA 2015'!$B$3:$N$265,12,0)</f>
        <v>0</v>
      </c>
      <c r="N21" s="544">
        <f>VLOOKUP(B21,'Presupuesto - PAA 2015'!$B$3:$N$265,13,0)</f>
        <v>2818875</v>
      </c>
    </row>
    <row r="22" spans="1:14" ht="23.25" customHeight="1" x14ac:dyDescent="0.25">
      <c r="A22" s="659"/>
      <c r="B22" s="1143" t="s">
        <v>1660</v>
      </c>
      <c r="C22" s="1143"/>
      <c r="D22" s="1143"/>
      <c r="E22" s="491">
        <f>COUNTIF('Actualizada - presupuesto'!$E$7:$E$111,B22)</f>
        <v>2</v>
      </c>
      <c r="F22" s="671">
        <f>VLOOKUP(B22,'Presupuesto - PAA 2015'!$B$3:$N$265,4,0)</f>
        <v>205193000</v>
      </c>
      <c r="G22" s="585">
        <v>211000000</v>
      </c>
      <c r="H22" s="716">
        <v>16307000</v>
      </c>
      <c r="I22" s="585">
        <v>194693000</v>
      </c>
      <c r="J22" s="671">
        <f>VLOOKUP(B22,'Presupuesto - PAA 2015'!$B$3:$N$265,9,0)</f>
        <v>188702234</v>
      </c>
      <c r="K22" s="672">
        <f>VLOOKUP(B22,'Presupuesto - PAA 2015'!$B$3:$N$265,10,0)</f>
        <v>0.91963290170717327</v>
      </c>
      <c r="L22" s="671">
        <f>VLOOKUP(B22,'Presupuesto - PAA 2015'!$B$3:$N$265,11,0)</f>
        <v>14211967</v>
      </c>
      <c r="M22" s="671">
        <f>VLOOKUP(B22,'Presupuesto - PAA 2015'!$B$3:$N$265,12,0)</f>
        <v>0</v>
      </c>
      <c r="N22" s="671">
        <f>VLOOKUP(B22,'Presupuesto - PAA 2015'!$B$3:$N$265,13,0)</f>
        <v>2278799</v>
      </c>
    </row>
    <row r="23" spans="1:14" ht="23.25" customHeight="1" x14ac:dyDescent="0.25">
      <c r="A23" s="659"/>
      <c r="B23" s="1143" t="s">
        <v>1661</v>
      </c>
      <c r="C23" s="1143"/>
      <c r="D23" s="1143"/>
      <c r="E23" s="491">
        <f>COUNTIF('Actualizada - presupuesto'!$E$7:$E$111,B23)</f>
        <v>2</v>
      </c>
      <c r="F23" s="671">
        <f>VLOOKUP(B23,'Presupuesto - PAA 2015'!$B$3:$N$265,4,0)</f>
        <v>227307000</v>
      </c>
      <c r="G23" s="585">
        <v>88000000</v>
      </c>
      <c r="H23" s="585">
        <v>124307000</v>
      </c>
      <c r="I23" s="585">
        <v>212307000</v>
      </c>
      <c r="J23" s="671">
        <f>VLOOKUP(B23,'Presupuesto - PAA 2015'!$B$3:$N$265,9,0)</f>
        <v>226766924</v>
      </c>
      <c r="K23" s="672">
        <f>VLOOKUP(B23,'Presupuesto - PAA 2015'!$B$3:$N$265,10,0)</f>
        <v>0.99762402389719629</v>
      </c>
      <c r="L23" s="671">
        <f>VLOOKUP(B23,'Presupuesto - PAA 2015'!$B$3:$N$265,11,0)</f>
        <v>0</v>
      </c>
      <c r="M23" s="671">
        <f>VLOOKUP(B23,'Presupuesto - PAA 2015'!$B$3:$N$265,12,0)</f>
        <v>0</v>
      </c>
      <c r="N23" s="671">
        <f>VLOOKUP(B23,'Presupuesto - PAA 2015'!$B$3:$N$265,13,0)</f>
        <v>540076</v>
      </c>
    </row>
    <row r="24" spans="1:14" x14ac:dyDescent="0.25">
      <c r="A24" s="659"/>
      <c r="B24" s="1143" t="s">
        <v>1662</v>
      </c>
      <c r="C24" s="1143"/>
      <c r="D24" s="1143"/>
      <c r="E24" s="491">
        <f>COUNTIF('Actualizada - presupuesto'!$E$7:$E$111,B24)</f>
        <v>0</v>
      </c>
      <c r="F24" s="671">
        <f>VLOOKUP(B24,'Presupuesto - PAA 2015'!$B$3:$N$265,4,0)</f>
        <v>1081000000</v>
      </c>
      <c r="G24" s="585">
        <v>1081000000</v>
      </c>
      <c r="H24" s="585"/>
      <c r="I24" s="585">
        <v>1081000000</v>
      </c>
      <c r="J24" s="671">
        <f>VLOOKUP(B24,'Presupuesto - PAA 2015'!$B$3:$N$265,9,0)</f>
        <v>890653595</v>
      </c>
      <c r="K24" s="672">
        <f>VLOOKUP(B24,'Presupuesto - PAA 2015'!$B$3:$N$265,10,0)</f>
        <v>0.82391636910268273</v>
      </c>
      <c r="L24" s="671">
        <f>VLOOKUP(B24,'Presupuesto - PAA 2015'!$B$3:$N$265,11,0)</f>
        <v>190346405</v>
      </c>
      <c r="M24" s="671">
        <f>VLOOKUP(B24,'Presupuesto - PAA 2015'!$B$3:$N$265,12,0)</f>
        <v>0</v>
      </c>
      <c r="N24" s="671">
        <f>VLOOKUP(B24,'Presupuesto - PAA 2015'!$B$3:$N$265,13,0)</f>
        <v>0</v>
      </c>
    </row>
    <row r="25" spans="1:14" x14ac:dyDescent="0.25">
      <c r="A25" s="659"/>
      <c r="B25" s="1119" t="s">
        <v>1663</v>
      </c>
      <c r="C25" s="1119"/>
      <c r="D25" s="1119"/>
      <c r="E25" s="545"/>
      <c r="F25" s="544">
        <f>VLOOKUP(B25,'Presupuesto - PAA 2015'!$B$3:$N$265,4,0)</f>
        <v>430000000</v>
      </c>
      <c r="G25" s="548">
        <v>430000000</v>
      </c>
      <c r="H25" s="548">
        <v>0</v>
      </c>
      <c r="I25" s="548">
        <v>430000000</v>
      </c>
      <c r="J25" s="544">
        <f>VLOOKUP(B25,'Presupuesto - PAA 2015'!$B$3:$N$265,9,0)</f>
        <v>242601380</v>
      </c>
      <c r="K25" s="607">
        <f>VLOOKUP(B25,'Presupuesto - PAA 2015'!$B$3:$N$265,10,0)</f>
        <v>0.56418925581395352</v>
      </c>
      <c r="L25" s="544">
        <f>VLOOKUP(B25,'Presupuesto - PAA 2015'!$B$3:$N$265,11,0)</f>
        <v>187398620</v>
      </c>
      <c r="M25" s="548">
        <v>0</v>
      </c>
      <c r="N25" s="544">
        <f>VLOOKUP(B25,'Presupuesto - PAA 2015'!$B$3:$N$265,13,0)</f>
        <v>0</v>
      </c>
    </row>
    <row r="26" spans="1:14" x14ac:dyDescent="0.25">
      <c r="A26" s="659"/>
      <c r="B26" s="1143" t="s">
        <v>1664</v>
      </c>
      <c r="C26" s="1143"/>
      <c r="D26" s="1143"/>
      <c r="E26" s="539"/>
      <c r="F26" s="671">
        <f>VLOOKUP(B26,'Presupuesto - PAA 2015'!$B$3:$N$265,4,0)</f>
        <v>206250000</v>
      </c>
      <c r="G26" s="585">
        <v>206250000</v>
      </c>
      <c r="H26" s="585"/>
      <c r="I26" s="585">
        <v>206250000</v>
      </c>
      <c r="J26" s="671">
        <f>VLOOKUP(B26,'Presupuesto - PAA 2015'!$B$3:$N$265,9,0)</f>
        <v>106215940</v>
      </c>
      <c r="K26" s="672">
        <f>VLOOKUP(B26,'Presupuesto - PAA 2015'!$B$3:$N$265,10,0)</f>
        <v>0.51498637575757578</v>
      </c>
      <c r="L26" s="671">
        <f>VLOOKUP(B26,'Presupuesto - PAA 2015'!$B$3:$N$265,11,0)</f>
        <v>100034060</v>
      </c>
      <c r="M26" s="585"/>
      <c r="N26" s="671">
        <f>VLOOKUP(B26,'Presupuesto - PAA 2015'!$B$3:$N$265,13,0)</f>
        <v>0</v>
      </c>
    </row>
    <row r="27" spans="1:14" x14ac:dyDescent="0.25">
      <c r="A27" s="659"/>
      <c r="B27" s="1143" t="s">
        <v>1665</v>
      </c>
      <c r="C27" s="1143"/>
      <c r="D27" s="1143"/>
      <c r="E27" s="539"/>
      <c r="F27" s="671">
        <f>VLOOKUP(B27,'Presupuesto - PAA 2015'!$B$3:$N$265,4,0)</f>
        <v>36750000</v>
      </c>
      <c r="G27" s="585">
        <v>36750000</v>
      </c>
      <c r="H27" s="585"/>
      <c r="I27" s="585">
        <v>36750000</v>
      </c>
      <c r="J27" s="671">
        <f>VLOOKUP(B27,'Presupuesto - PAA 2015'!$B$3:$N$265,9,0)</f>
        <v>12264940</v>
      </c>
      <c r="K27" s="672">
        <f>VLOOKUP(B27,'Presupuesto - PAA 2015'!$B$3:$N$265,10,0)</f>
        <v>0.33373986394557825</v>
      </c>
      <c r="L27" s="671">
        <f>VLOOKUP(B27,'Presupuesto - PAA 2015'!$B$3:$N$265,11,0)</f>
        <v>24485060</v>
      </c>
      <c r="M27" s="585"/>
      <c r="N27" s="671">
        <f>VLOOKUP(B27,'Presupuesto - PAA 2015'!$B$3:$N$265,13,0)</f>
        <v>0</v>
      </c>
    </row>
    <row r="28" spans="1:14" x14ac:dyDescent="0.25">
      <c r="A28" s="659"/>
      <c r="B28" s="1143" t="s">
        <v>1666</v>
      </c>
      <c r="C28" s="1143"/>
      <c r="D28" s="1143"/>
      <c r="E28" s="539"/>
      <c r="F28" s="671">
        <f>VLOOKUP(B28,'Presupuesto - PAA 2015'!$B$3:$N$265,4,0)</f>
        <v>58000000</v>
      </c>
      <c r="G28" s="585">
        <v>58000000</v>
      </c>
      <c r="H28" s="585"/>
      <c r="I28" s="585">
        <v>58000000</v>
      </c>
      <c r="J28" s="671">
        <f>VLOOKUP(B28,'Presupuesto - PAA 2015'!$B$3:$N$265,9,0)</f>
        <v>5462970</v>
      </c>
      <c r="K28" s="672">
        <f>VLOOKUP(B28,'Presupuesto - PAA 2015'!$B$3:$N$265,10,0)</f>
        <v>9.4189137931034478E-2</v>
      </c>
      <c r="L28" s="671">
        <f>VLOOKUP(B28,'Presupuesto - PAA 2015'!$B$3:$N$265,11,0)</f>
        <v>52537030</v>
      </c>
      <c r="M28" s="585"/>
      <c r="N28" s="671">
        <f>VLOOKUP(B28,'Presupuesto - PAA 2015'!$B$3:$N$265,13,0)</f>
        <v>0</v>
      </c>
    </row>
    <row r="29" spans="1:14" x14ac:dyDescent="0.25">
      <c r="A29" s="659"/>
      <c r="B29" s="1143" t="s">
        <v>1667</v>
      </c>
      <c r="C29" s="1143"/>
      <c r="D29" s="1143"/>
      <c r="E29" s="539"/>
      <c r="F29" s="671">
        <f>VLOOKUP(B29,'Presupuesto - PAA 2015'!$B$3:$N$265,4,0)</f>
        <v>129000000</v>
      </c>
      <c r="G29" s="585">
        <v>129000000</v>
      </c>
      <c r="H29" s="585"/>
      <c r="I29" s="585">
        <v>129000000</v>
      </c>
      <c r="J29" s="671">
        <f>VLOOKUP(B29,'Presupuesto - PAA 2015'!$B$3:$N$265,9,0)</f>
        <v>118657530</v>
      </c>
      <c r="K29" s="672">
        <f>VLOOKUP(B29,'Presupuesto - PAA 2015'!$B$3:$N$265,10,0)</f>
        <v>0.91982581395348839</v>
      </c>
      <c r="L29" s="671">
        <f>VLOOKUP(B29,'Presupuesto - PAA 2015'!$B$3:$N$265,11,0)</f>
        <v>10342470</v>
      </c>
      <c r="M29" s="585"/>
      <c r="N29" s="671">
        <f>VLOOKUP(B29,'Presupuesto - PAA 2015'!$B$3:$N$265,13,0)</f>
        <v>0</v>
      </c>
    </row>
    <row r="30" spans="1:14" x14ac:dyDescent="0.25">
      <c r="A30" s="659"/>
      <c r="B30" s="1119" t="s">
        <v>1668</v>
      </c>
      <c r="C30" s="1119"/>
      <c r="D30" s="1119"/>
      <c r="E30" s="545"/>
      <c r="F30" s="544">
        <f>VLOOKUP(B30,'Presupuesto - PAA 2015'!$B$3:$N$265,4,0)</f>
        <v>478000000</v>
      </c>
      <c r="G30" s="548">
        <v>478000000</v>
      </c>
      <c r="H30" s="548">
        <v>0</v>
      </c>
      <c r="I30" s="548">
        <v>478000000</v>
      </c>
      <c r="J30" s="544">
        <f>VLOOKUP(B30,'Presupuesto - PAA 2015'!$B$3:$N$265,9,0)</f>
        <v>436914000</v>
      </c>
      <c r="K30" s="607">
        <f>VLOOKUP(B30,'Presupuesto - PAA 2015'!$B$3:$N$265,10,0)</f>
        <v>0</v>
      </c>
      <c r="L30" s="544">
        <f>VLOOKUP(B30,'Presupuesto - PAA 2015'!$B$3:$N$265,11,0)</f>
        <v>0</v>
      </c>
      <c r="M30" s="548">
        <v>0</v>
      </c>
      <c r="N30" s="544">
        <f>VLOOKUP(B30,'Presupuesto - PAA 2015'!$B$3:$N$265,13,0)</f>
        <v>41086000</v>
      </c>
    </row>
    <row r="31" spans="1:14" x14ac:dyDescent="0.25">
      <c r="A31" s="659"/>
      <c r="B31" s="1143" t="s">
        <v>1669</v>
      </c>
      <c r="C31" s="1143"/>
      <c r="D31" s="1143"/>
      <c r="E31" s="491">
        <f>COUNTIF('Actualizada - presupuesto'!$E$7:$E$111,B31)</f>
        <v>1</v>
      </c>
      <c r="F31" s="671">
        <f>VLOOKUP(B31,'Presupuesto - PAA 2015'!$B$3:$N$265,4,0)</f>
        <v>478000000</v>
      </c>
      <c r="G31" s="585">
        <v>478000000</v>
      </c>
      <c r="H31" s="585"/>
      <c r="I31" s="585">
        <v>478000000</v>
      </c>
      <c r="J31" s="671">
        <f>VLOOKUP(B31,'Presupuesto - PAA 2015'!$B$3:$N$265,9,0)</f>
        <v>436914000</v>
      </c>
      <c r="K31" s="672">
        <f>VLOOKUP(B31,'Presupuesto - PAA 2015'!$B$3:$N$265,10,0)</f>
        <v>0.91404602510460253</v>
      </c>
      <c r="L31" s="671">
        <f>VLOOKUP(B31,'Presupuesto - PAA 2015'!$B$3:$N$265,11,0)</f>
        <v>0</v>
      </c>
      <c r="M31" s="585"/>
      <c r="N31" s="671">
        <f>VLOOKUP(B31,'Presupuesto - PAA 2015'!$B$3:$N$265,13,0)</f>
        <v>41086000</v>
      </c>
    </row>
    <row r="32" spans="1:14" x14ac:dyDescent="0.25">
      <c r="A32" s="659"/>
      <c r="B32" s="1119" t="s">
        <v>1670</v>
      </c>
      <c r="C32" s="1119"/>
      <c r="D32" s="1119"/>
      <c r="E32" s="491">
        <f>COUNTIF('Actualizada - presupuesto'!$E$7:$E$111,B32)</f>
        <v>3</v>
      </c>
      <c r="F32" s="544">
        <f>VLOOKUP(B32,'Presupuesto - PAA 2015'!$B$3:$N$265,4,0)</f>
        <v>834000000</v>
      </c>
      <c r="G32" s="548">
        <v>834000000</v>
      </c>
      <c r="H32" s="548"/>
      <c r="I32" s="548">
        <v>834000000</v>
      </c>
      <c r="J32" s="544">
        <f>VLOOKUP(B32,'Presupuesto - PAA 2015'!$B$3:$N$265,9,0)</f>
        <v>750240969</v>
      </c>
      <c r="K32" s="607">
        <f>VLOOKUP(B32,'Presupuesto - PAA 2015'!$B$3:$N$265,10,0)</f>
        <v>0.89956950719424456</v>
      </c>
      <c r="L32" s="544">
        <f>VLOOKUP(B32,'Presupuesto - PAA 2015'!$B$3:$N$265,11,0)</f>
        <v>0</v>
      </c>
      <c r="M32" s="548"/>
      <c r="N32" s="544">
        <f>VLOOKUP(B32,'Presupuesto - PAA 2015'!$B$3:$N$265,13,0)</f>
        <v>83759031</v>
      </c>
    </row>
    <row r="33" spans="1:14" x14ac:dyDescent="0.25">
      <c r="A33" s="659"/>
      <c r="B33" s="1119" t="s">
        <v>1671</v>
      </c>
      <c r="C33" s="1119"/>
      <c r="D33" s="1119"/>
      <c r="E33" s="491">
        <f>COUNTIF('Actualizada - presupuesto'!$E$7:$E$111,B33)</f>
        <v>4</v>
      </c>
      <c r="F33" s="544">
        <f>VLOOKUP(B33,'Presupuesto - PAA 2015'!$B$3:$N$265,4,0)</f>
        <v>351721000</v>
      </c>
      <c r="G33" s="548">
        <v>478000000</v>
      </c>
      <c r="H33" s="548"/>
      <c r="I33" s="548">
        <v>478000000</v>
      </c>
      <c r="J33" s="544">
        <f>VLOOKUP(B33,'Presupuesto - PAA 2015'!$B$3:$N$265,9,0)</f>
        <v>343600000</v>
      </c>
      <c r="K33" s="607">
        <f>VLOOKUP(B33,'Presupuesto - PAA 2015'!$B$3:$N$265,10,0)</f>
        <v>0.97691067635995577</v>
      </c>
      <c r="L33" s="544">
        <f>VLOOKUP(B33,'Presupuesto - PAA 2015'!$B$3:$N$265,11,0)</f>
        <v>0</v>
      </c>
      <c r="M33" s="548"/>
      <c r="N33" s="544">
        <f>VLOOKUP(B33,'Presupuesto - PAA 2015'!$B$3:$N$265,13,0)</f>
        <v>8121000</v>
      </c>
    </row>
    <row r="34" spans="1:14" x14ac:dyDescent="0.25">
      <c r="A34" s="659"/>
      <c r="B34" s="1119" t="s">
        <v>1672</v>
      </c>
      <c r="C34" s="1119"/>
      <c r="D34" s="1119"/>
      <c r="E34" s="491">
        <f>COUNTIF('Actualizada - presupuesto'!$E$7:$E$111,B34)</f>
        <v>3</v>
      </c>
      <c r="F34" s="544">
        <f>VLOOKUP(B34,'Presupuesto - PAA 2015'!$B$3:$N$265,4,0)</f>
        <v>108000000</v>
      </c>
      <c r="G34" s="548">
        <v>108000000</v>
      </c>
      <c r="H34" s="548"/>
      <c r="I34" s="548">
        <v>108000000</v>
      </c>
      <c r="J34" s="544">
        <f>VLOOKUP(B34,'Presupuesto - PAA 2015'!$B$3:$N$265,9,0)</f>
        <v>81139000</v>
      </c>
      <c r="K34" s="607">
        <f>VLOOKUP(B34,'Presupuesto - PAA 2015'!$B$3:$N$265,10,0)</f>
        <v>0.75128703703703703</v>
      </c>
      <c r="L34" s="544">
        <f>VLOOKUP(B34,'Presupuesto - PAA 2015'!$B$3:$N$265,11,0)</f>
        <v>0</v>
      </c>
      <c r="M34" s="548"/>
      <c r="N34" s="544">
        <f>VLOOKUP(B34,'Presupuesto - PAA 2015'!$B$3:$N$265,13,0)</f>
        <v>26861000</v>
      </c>
    </row>
    <row r="35" spans="1:14" x14ac:dyDescent="0.25">
      <c r="A35" s="659"/>
      <c r="B35" s="1119" t="s">
        <v>1673</v>
      </c>
      <c r="C35" s="1119"/>
      <c r="D35" s="1119"/>
      <c r="E35" s="491">
        <f>COUNTIF('Actualizada - presupuesto'!$E$7:$E$111,B35)</f>
        <v>0</v>
      </c>
      <c r="F35" s="544">
        <f>VLOOKUP(B35,'Presupuesto - PAA 2015'!$B$3:$N$265,4,0)</f>
        <v>40000000</v>
      </c>
      <c r="G35" s="548">
        <v>40000000</v>
      </c>
      <c r="H35" s="548">
        <v>0</v>
      </c>
      <c r="I35" s="548">
        <v>40000000</v>
      </c>
      <c r="J35" s="544">
        <f>VLOOKUP(B35,'Presupuesto - PAA 2015'!$B$3:$N$265,9,0)</f>
        <v>40000000</v>
      </c>
      <c r="K35" s="607">
        <f>VLOOKUP(B35,'Presupuesto - PAA 2015'!$B$3:$N$265,10,0)</f>
        <v>1</v>
      </c>
      <c r="L35" s="544">
        <f>VLOOKUP(B35,'Presupuesto - PAA 2015'!$B$3:$N$265,11,0)</f>
        <v>0</v>
      </c>
      <c r="M35" s="548">
        <v>0</v>
      </c>
      <c r="N35" s="544">
        <f>VLOOKUP(B35,'Presupuesto - PAA 2015'!$B$3:$N$265,13,0)</f>
        <v>0</v>
      </c>
    </row>
    <row r="36" spans="1:14" x14ac:dyDescent="0.25">
      <c r="A36" s="659"/>
      <c r="B36" s="1143" t="s">
        <v>1842</v>
      </c>
      <c r="C36" s="1143"/>
      <c r="D36" s="1143"/>
      <c r="E36" s="491">
        <f>COUNTIF('Actualizada - presupuesto'!$E$7:$E$111,B36)</f>
        <v>0</v>
      </c>
      <c r="F36" s="671">
        <f>VLOOKUP(B36,'Presupuesto - PAA 2015'!$B$3:$N$265,4,0)</f>
        <v>40000000</v>
      </c>
      <c r="G36" s="585">
        <v>40000000</v>
      </c>
      <c r="H36" s="585"/>
      <c r="I36" s="585">
        <v>40000000</v>
      </c>
      <c r="J36" s="671">
        <f>VLOOKUP(B36,'Presupuesto - PAA 2015'!$B$3:$N$265,9,0)</f>
        <v>40000000</v>
      </c>
      <c r="K36" s="672">
        <f>VLOOKUP(B36,'Presupuesto - PAA 2015'!$B$3:$N$265,10,0)</f>
        <v>0</v>
      </c>
      <c r="L36" s="671">
        <f>VLOOKUP(B36,'Presupuesto - PAA 2015'!$B$3:$N$265,11,0)</f>
        <v>0</v>
      </c>
      <c r="M36" s="585"/>
      <c r="N36" s="671">
        <f>VLOOKUP(B36,'Presupuesto - PAA 2015'!$B$3:$N$265,13,0)</f>
        <v>0</v>
      </c>
    </row>
    <row r="37" spans="1:14" x14ac:dyDescent="0.25">
      <c r="A37" s="659"/>
      <c r="B37" s="1119" t="s">
        <v>1675</v>
      </c>
      <c r="C37" s="1119"/>
      <c r="D37" s="1119"/>
      <c r="E37" s="491">
        <f>COUNTIF('Actualizada - presupuesto'!$E$7:$E$111,B37)</f>
        <v>2</v>
      </c>
      <c r="F37" s="544">
        <f>VLOOKUP(B37,'Presupuesto - PAA 2015'!$B$3:$N$265,4,0)</f>
        <v>1800000000</v>
      </c>
      <c r="G37" s="548">
        <v>1800000000</v>
      </c>
      <c r="H37" s="548"/>
      <c r="I37" s="548">
        <v>1800000000</v>
      </c>
      <c r="J37" s="544">
        <f>VLOOKUP(B37,'Presupuesto - PAA 2015'!$B$3:$N$265,9,0)</f>
        <v>1696938453</v>
      </c>
      <c r="K37" s="607">
        <f>VLOOKUP(B37,'Presupuesto - PAA 2015'!$B$3:$N$265,10,0)</f>
        <v>0.942743585</v>
      </c>
      <c r="L37" s="544">
        <f>VLOOKUP(B37,'Presupuesto - PAA 2015'!$B$3:$N$265,11,0)</f>
        <v>0</v>
      </c>
      <c r="M37" s="548"/>
      <c r="N37" s="544">
        <f>VLOOKUP(B37,'Presupuesto - PAA 2015'!$B$3:$N$265,13,0)</f>
        <v>103061547</v>
      </c>
    </row>
    <row r="38" spans="1:14" x14ac:dyDescent="0.25">
      <c r="A38" s="659"/>
      <c r="B38" s="1144" t="s">
        <v>1676</v>
      </c>
      <c r="C38" s="1144"/>
      <c r="D38" s="1144"/>
      <c r="E38" s="665"/>
      <c r="F38" s="666">
        <f>VLOOKUP(B38,'Presupuesto - PAA 2015'!$B$3:$N$265,4,0)</f>
        <v>36000000</v>
      </c>
      <c r="G38" s="666">
        <v>1000000</v>
      </c>
      <c r="H38" s="666">
        <v>0</v>
      </c>
      <c r="I38" s="666">
        <v>1000000</v>
      </c>
      <c r="J38" s="666">
        <f>VLOOKUP(B38,'Presupuesto - PAA 2015'!$B$3:$N$265,9,0)</f>
        <v>908534</v>
      </c>
      <c r="K38" s="677">
        <f>VLOOKUP(B38,'Presupuesto - PAA 2015'!$B$3:$N$265,10,0)</f>
        <v>2.5237055555555554E-2</v>
      </c>
      <c r="L38" s="666">
        <f>VLOOKUP(B38,'Presupuesto - PAA 2015'!$B$3:$N$265,11,0)</f>
        <v>91466</v>
      </c>
      <c r="M38" s="666">
        <v>0</v>
      </c>
      <c r="N38" s="666">
        <f>VLOOKUP(B38,'Presupuesto - PAA 2015'!$B$3:$N$265,13,0)</f>
        <v>18203084</v>
      </c>
    </row>
    <row r="39" spans="1:14" x14ac:dyDescent="0.25">
      <c r="A39" s="659"/>
      <c r="B39" s="1143" t="s">
        <v>1841</v>
      </c>
      <c r="C39" s="1143"/>
      <c r="D39" s="1143"/>
      <c r="E39" s="539"/>
      <c r="F39" s="671">
        <f>VLOOKUP(B39,'Presupuesto - PAA 2015'!$B$3:$N$265,4,0)</f>
        <v>1000000</v>
      </c>
      <c r="G39" s="585">
        <v>1000000</v>
      </c>
      <c r="H39" s="585"/>
      <c r="I39" s="585">
        <v>1000000</v>
      </c>
      <c r="J39" s="671">
        <f>VLOOKUP(B39,'Presupuesto - PAA 2015'!$B$3:$N$265,9,0)</f>
        <v>908534</v>
      </c>
      <c r="K39" s="672">
        <f>VLOOKUP(B39,'Presupuesto - PAA 2015'!$B$3:$N$265,10,0)</f>
        <v>0.90853399999999995</v>
      </c>
      <c r="L39" s="671">
        <f>VLOOKUP(B39,'Presupuesto - PAA 2015'!$B$3:$N$265,11,0)</f>
        <v>91466</v>
      </c>
      <c r="M39" s="585"/>
      <c r="N39" s="671">
        <f>VLOOKUP(B39,'Presupuesto - PAA 2015'!$B$3:$N$265,13,0)</f>
        <v>18203084</v>
      </c>
    </row>
    <row r="40" spans="1:14" x14ac:dyDescent="0.25">
      <c r="A40" s="659"/>
      <c r="B40" s="1139" t="s">
        <v>1691</v>
      </c>
      <c r="C40" s="1139"/>
      <c r="D40" s="1139"/>
      <c r="E40" s="668"/>
      <c r="F40" s="662">
        <f>VLOOKUP(B40,'Presupuesto - PAA 2015'!$B$3:$N$265,4,0)</f>
        <v>8242477000</v>
      </c>
      <c r="G40" s="662">
        <v>7542477000</v>
      </c>
      <c r="H40" s="662">
        <v>0</v>
      </c>
      <c r="I40" s="662">
        <v>7542477000</v>
      </c>
      <c r="J40" s="662">
        <f>VLOOKUP(B40,'Presupuesto - PAA 2015'!$B$3:$N$265,9,0)</f>
        <v>7657910202.1999998</v>
      </c>
      <c r="K40" s="670">
        <f>VLOOKUP(B40,'Presupuesto - PAA 2015'!$B$3:$N$265,10,0)</f>
        <v>0.92907874686213865</v>
      </c>
      <c r="L40" s="662">
        <f>VLOOKUP(B40,'Presupuesto - PAA 2015'!$B$3:$N$265,11,0)</f>
        <v>450477000</v>
      </c>
      <c r="M40" s="662">
        <v>0</v>
      </c>
      <c r="N40" s="662">
        <f>VLOOKUP(B40,'Presupuesto - PAA 2015'!$B$3:$N$265,13,0)</f>
        <v>134089797.80000019</v>
      </c>
    </row>
    <row r="41" spans="1:14" x14ac:dyDescent="0.25">
      <c r="A41" s="659"/>
      <c r="B41" s="1121" t="s">
        <v>1690</v>
      </c>
      <c r="C41" s="1121"/>
      <c r="D41" s="1121"/>
      <c r="E41" s="545"/>
      <c r="F41" s="544">
        <f>VLOOKUP(B41,'Presupuesto - PAA 2015'!$B$3:$N$265,4,0)</f>
        <v>8242477000</v>
      </c>
      <c r="G41" s="548">
        <v>7542477000</v>
      </c>
      <c r="H41" s="548">
        <v>0</v>
      </c>
      <c r="I41" s="548">
        <v>7542477000</v>
      </c>
      <c r="J41" s="544">
        <f>VLOOKUP(B41,'Presupuesto - PAA 2015'!$B$3:$N$265,9,0)</f>
        <v>7657910202.1999998</v>
      </c>
      <c r="K41" s="607">
        <f>VLOOKUP(B41,'Presupuesto - PAA 2015'!$B$3:$N$265,10,0)</f>
        <v>0.92907874686213865</v>
      </c>
      <c r="L41" s="544">
        <f>VLOOKUP(B41,'Presupuesto - PAA 2015'!$B$3:$N$265,11,0)</f>
        <v>450477000</v>
      </c>
      <c r="M41" s="548">
        <v>0</v>
      </c>
      <c r="N41" s="544">
        <f>VLOOKUP(B41,'Presupuesto - PAA 2015'!$B$3:$N$265,13,0)</f>
        <v>134089797.80000019</v>
      </c>
    </row>
    <row r="42" spans="1:14" x14ac:dyDescent="0.25">
      <c r="A42" s="659"/>
      <c r="B42" s="1119" t="s">
        <v>1679</v>
      </c>
      <c r="C42" s="1119"/>
      <c r="D42" s="1119"/>
      <c r="E42" s="763"/>
      <c r="F42" s="544">
        <f>+F43</f>
        <v>8242477000</v>
      </c>
      <c r="G42" s="544"/>
      <c r="H42" s="544"/>
      <c r="I42" s="544"/>
      <c r="J42" s="544">
        <f t="shared" ref="J42:L43" si="0">+J43</f>
        <v>7657910202.1999998</v>
      </c>
      <c r="K42" s="607">
        <f t="shared" si="0"/>
        <v>0.92907874686213865</v>
      </c>
      <c r="L42" s="544">
        <f t="shared" si="0"/>
        <v>450477000</v>
      </c>
      <c r="M42" s="544"/>
      <c r="N42" s="544">
        <f>+N43</f>
        <v>134089797.80000019</v>
      </c>
    </row>
    <row r="43" spans="1:14" x14ac:dyDescent="0.25">
      <c r="A43" s="659"/>
      <c r="B43" s="1119" t="s">
        <v>1840</v>
      </c>
      <c r="C43" s="1119"/>
      <c r="D43" s="1119"/>
      <c r="E43" s="763"/>
      <c r="F43" s="544">
        <f>+F44</f>
        <v>8242477000</v>
      </c>
      <c r="G43" s="544"/>
      <c r="H43" s="544"/>
      <c r="I43" s="544"/>
      <c r="J43" s="544">
        <f t="shared" si="0"/>
        <v>7657910202.1999998</v>
      </c>
      <c r="K43" s="607">
        <f t="shared" si="0"/>
        <v>0.92907874686213865</v>
      </c>
      <c r="L43" s="544">
        <f t="shared" si="0"/>
        <v>450477000</v>
      </c>
      <c r="M43" s="544"/>
      <c r="N43" s="544">
        <f>+N44</f>
        <v>134089797.80000019</v>
      </c>
    </row>
    <row r="44" spans="1:14" x14ac:dyDescent="0.25">
      <c r="A44" s="659"/>
      <c r="B44" s="1119" t="s">
        <v>1839</v>
      </c>
      <c r="C44" s="1119"/>
      <c r="D44" s="1119"/>
      <c r="E44" s="763"/>
      <c r="F44" s="544">
        <f>+F41</f>
        <v>8242477000</v>
      </c>
      <c r="G44" s="544"/>
      <c r="H44" s="544"/>
      <c r="I44" s="544"/>
      <c r="J44" s="544">
        <f>+J41</f>
        <v>7657910202.1999998</v>
      </c>
      <c r="K44" s="607">
        <f>+K41</f>
        <v>0.92907874686213865</v>
      </c>
      <c r="L44" s="544">
        <f>+L41</f>
        <v>450477000</v>
      </c>
      <c r="M44" s="544"/>
      <c r="N44" s="544">
        <f>+N41</f>
        <v>134089797.80000019</v>
      </c>
    </row>
    <row r="45" spans="1:14" ht="22.5" customHeight="1" x14ac:dyDescent="0.25">
      <c r="A45" s="659"/>
      <c r="B45" s="1142" t="s">
        <v>1877</v>
      </c>
      <c r="C45" s="1142"/>
      <c r="D45" s="1142"/>
      <c r="E45" s="491">
        <f>COUNTIF('Actualizada - presupuesto'!$E$7:$E$111,B45)</f>
        <v>0</v>
      </c>
      <c r="F45" s="544">
        <f>VLOOKUP(B45,'Presupuesto - PAA 2015'!$B$3:$N$265,4,0)</f>
        <v>8242477000</v>
      </c>
      <c r="G45" s="548">
        <v>7542477000</v>
      </c>
      <c r="H45" s="548"/>
      <c r="I45" s="548">
        <v>7542477000</v>
      </c>
      <c r="J45" s="544">
        <f>VLOOKUP(B45,'Presupuesto - PAA 2015'!$B$3:$N$265,9,0)</f>
        <v>7657910202.1999998</v>
      </c>
      <c r="K45" s="607">
        <f>VLOOKUP(B45,'Presupuesto - PAA 2015'!$B$3:$N$265,10,0)</f>
        <v>0.92907874686213865</v>
      </c>
      <c r="L45" s="544">
        <f>VLOOKUP(B45,'Presupuesto - PAA 2015'!$B$3:$N$265,11,0)</f>
        <v>450477000</v>
      </c>
      <c r="M45" s="548">
        <v>0</v>
      </c>
      <c r="N45" s="544">
        <f>VLOOKUP(B45,'Presupuesto - PAA 2015'!$B$3:$N$265,13,0)</f>
        <v>134089797.80000019</v>
      </c>
    </row>
    <row r="46" spans="1:14" ht="44.25" customHeight="1" x14ac:dyDescent="0.25">
      <c r="A46" s="659"/>
      <c r="B46" s="621"/>
      <c r="C46" s="1121" t="s">
        <v>1913</v>
      </c>
      <c r="D46" s="1121"/>
      <c r="E46" s="545"/>
      <c r="F46" s="544">
        <f>+'Presupuesto - PAA 2015'!E233</f>
        <v>400000000</v>
      </c>
      <c r="G46" s="623">
        <v>400000000</v>
      </c>
      <c r="H46" s="623"/>
      <c r="I46" s="623">
        <v>400000000</v>
      </c>
      <c r="J46" s="544">
        <f>+'Presupuesto - PAA 2015'!J233</f>
        <v>398880000</v>
      </c>
      <c r="K46" s="607">
        <f>+'Presupuesto - PAA 2015'!K233</f>
        <v>0.99719999999999998</v>
      </c>
      <c r="L46" s="544">
        <f>+'Presupuesto - PAA 2015'!L233</f>
        <v>0</v>
      </c>
      <c r="M46" s="544">
        <f>+'Presupuesto - PAA 2015'!M233</f>
        <v>0</v>
      </c>
      <c r="N46" s="544">
        <f>+'Presupuesto - PAA 2015'!N233</f>
        <v>1120000</v>
      </c>
    </row>
    <row r="47" spans="1:14" ht="34.5" customHeight="1" x14ac:dyDescent="0.25">
      <c r="A47" s="659"/>
      <c r="B47" s="542"/>
      <c r="C47" s="1140" t="s">
        <v>1914</v>
      </c>
      <c r="D47" s="1141"/>
      <c r="E47" s="626"/>
      <c r="F47" s="675">
        <f>+'Presupuesto - PAA 2015'!E234</f>
        <v>400000000</v>
      </c>
      <c r="G47" s="669">
        <v>400000000</v>
      </c>
      <c r="H47" s="669"/>
      <c r="I47" s="669">
        <v>400000000</v>
      </c>
      <c r="J47" s="675">
        <f>+'Presupuesto - PAA 2015'!J234</f>
        <v>398880000</v>
      </c>
      <c r="K47" s="676">
        <f>+'Presupuesto - PAA 2015'!K234</f>
        <v>0</v>
      </c>
      <c r="L47" s="675">
        <f>+'Presupuesto - PAA 2015'!L234</f>
        <v>0</v>
      </c>
      <c r="M47" s="675">
        <f>+'Presupuesto - PAA 2015'!M234</f>
        <v>0</v>
      </c>
      <c r="N47" s="675">
        <f>+'Presupuesto - PAA 2015'!N234</f>
        <v>1120000</v>
      </c>
    </row>
    <row r="48" spans="1:14" ht="33.75" x14ac:dyDescent="0.25">
      <c r="A48" s="659"/>
      <c r="B48" s="632">
        <v>214</v>
      </c>
      <c r="C48" s="619" t="s">
        <v>1088</v>
      </c>
      <c r="D48" s="673" t="s">
        <v>1945</v>
      </c>
      <c r="E48" s="539">
        <v>1</v>
      </c>
      <c r="F48" s="544">
        <f>+'Presupuesto - PAA 2015'!E235</f>
        <v>40800000</v>
      </c>
      <c r="G48" s="585">
        <v>65040000</v>
      </c>
      <c r="H48" s="585"/>
      <c r="I48" s="585">
        <v>65040000</v>
      </c>
      <c r="J48" s="544">
        <f>+'Presupuesto - PAA 2015'!J235</f>
        <v>40800000</v>
      </c>
      <c r="K48" s="607">
        <f>+'Presupuesto - PAA 2015'!K235</f>
        <v>0</v>
      </c>
      <c r="L48" s="544" t="str">
        <f>+'Presupuesto - PAA 2015'!L235</f>
        <v xml:space="preserve"> </v>
      </c>
      <c r="M48" s="544">
        <f>+'Presupuesto - PAA 2015'!M235</f>
        <v>0</v>
      </c>
      <c r="N48" s="544" t="str">
        <f>+'Presupuesto - PAA 2015'!N235</f>
        <v xml:space="preserve"> </v>
      </c>
    </row>
    <row r="49" spans="1:14" ht="24" x14ac:dyDescent="0.25">
      <c r="A49" s="659"/>
      <c r="B49" s="632"/>
      <c r="C49" s="619" t="s">
        <v>1915</v>
      </c>
      <c r="D49" s="673" t="s">
        <v>1916</v>
      </c>
      <c r="E49" s="539"/>
      <c r="F49" s="544">
        <f>+'Presupuesto - PAA 2015'!E236</f>
        <v>12000000</v>
      </c>
      <c r="G49" s="585">
        <v>334080000</v>
      </c>
      <c r="H49" s="585"/>
      <c r="I49" s="585">
        <v>334080000</v>
      </c>
      <c r="J49" s="544">
        <f>+'Presupuesto - PAA 2015'!J236</f>
        <v>12000000</v>
      </c>
      <c r="K49" s="607">
        <f>+'Presupuesto - PAA 2015'!K236</f>
        <v>0</v>
      </c>
      <c r="L49" s="544" t="str">
        <f>+'Presupuesto - PAA 2015'!L236</f>
        <v xml:space="preserve"> </v>
      </c>
      <c r="M49" s="544">
        <f>+'Presupuesto - PAA 2015'!M236</f>
        <v>0</v>
      </c>
      <c r="N49" s="544" t="str">
        <f>+'Presupuesto - PAA 2015'!N236</f>
        <v xml:space="preserve"> </v>
      </c>
    </row>
    <row r="50" spans="1:14" ht="25.5" customHeight="1" x14ac:dyDescent="0.25">
      <c r="A50" s="659"/>
      <c r="B50" s="621"/>
      <c r="C50" s="1121" t="s">
        <v>1917</v>
      </c>
      <c r="D50" s="1121"/>
      <c r="E50" s="545"/>
      <c r="F50" s="544">
        <f>+'Presupuesto - PAA 2015'!E237</f>
        <v>12000000</v>
      </c>
      <c r="G50" s="548">
        <v>7142477000</v>
      </c>
      <c r="H50" s="548"/>
      <c r="I50" s="548">
        <v>7142477000</v>
      </c>
      <c r="J50" s="544">
        <f>+'Presupuesto - PAA 2015'!J237</f>
        <v>12000000</v>
      </c>
      <c r="K50" s="607">
        <f>+'Presupuesto - PAA 2015'!K237</f>
        <v>0</v>
      </c>
      <c r="L50" s="544" t="str">
        <f>+'Presupuesto - PAA 2015'!L237</f>
        <v xml:space="preserve"> </v>
      </c>
      <c r="M50" s="544">
        <f>+'Presupuesto - PAA 2015'!M237</f>
        <v>0</v>
      </c>
      <c r="N50" s="544" t="str">
        <f>+'Presupuesto - PAA 2015'!N237</f>
        <v xml:space="preserve"> </v>
      </c>
    </row>
    <row r="51" spans="1:14" ht="23.25" customHeight="1" x14ac:dyDescent="0.25">
      <c r="A51" s="659"/>
      <c r="B51" s="542">
        <v>213</v>
      </c>
      <c r="C51" s="1126" t="s">
        <v>1918</v>
      </c>
      <c r="D51" s="1126"/>
      <c r="E51" s="640"/>
      <c r="F51" s="675">
        <f>+'Presupuesto - PAA 2015'!E238</f>
        <v>334080000</v>
      </c>
      <c r="G51" s="624">
        <v>450477000</v>
      </c>
      <c r="H51" s="624"/>
      <c r="I51" s="624">
        <v>450477000</v>
      </c>
      <c r="J51" s="675">
        <f>+'Presupuesto - PAA 2015'!J238</f>
        <v>334080000</v>
      </c>
      <c r="K51" s="676">
        <f>+'Presupuesto - PAA 2015'!K238</f>
        <v>0</v>
      </c>
      <c r="L51" s="675" t="str">
        <f>+'Presupuesto - PAA 2015'!L238</f>
        <v xml:space="preserve"> </v>
      </c>
      <c r="M51" s="675">
        <f>+'Presupuesto - PAA 2015'!M238</f>
        <v>0</v>
      </c>
      <c r="N51" s="675" t="str">
        <f>+'Presupuesto - PAA 2015'!N238</f>
        <v xml:space="preserve"> </v>
      </c>
    </row>
    <row r="52" spans="1:14" x14ac:dyDescent="0.25">
      <c r="A52" s="659"/>
      <c r="B52" s="632"/>
      <c r="C52" s="633"/>
      <c r="D52" s="633" t="s">
        <v>1919</v>
      </c>
      <c r="E52" s="539" t="s">
        <v>390</v>
      </c>
      <c r="F52" s="671">
        <f>+'Presupuesto - PAA 2015'!E239</f>
        <v>1120000</v>
      </c>
      <c r="G52" s="585">
        <v>450477000</v>
      </c>
      <c r="H52" s="585"/>
      <c r="I52" s="585">
        <v>450477000</v>
      </c>
      <c r="J52" s="671">
        <f>+'Presupuesto - PAA 2015'!J239</f>
        <v>0</v>
      </c>
      <c r="K52" s="672">
        <f>+'Presupuesto - PAA 2015'!K239</f>
        <v>0</v>
      </c>
      <c r="L52" s="671">
        <f>+'Presupuesto - PAA 2015'!L239</f>
        <v>0</v>
      </c>
      <c r="M52" s="671">
        <f>+'Presupuesto - PAA 2015'!M239</f>
        <v>0</v>
      </c>
      <c r="N52" s="671">
        <f>+'Presupuesto - PAA 2015'!N239</f>
        <v>1120000</v>
      </c>
    </row>
    <row r="53" spans="1:14" ht="27.75" customHeight="1" x14ac:dyDescent="0.25">
      <c r="A53" s="659"/>
      <c r="B53" s="542"/>
      <c r="C53" s="1126" t="s">
        <v>1920</v>
      </c>
      <c r="D53" s="1126"/>
      <c r="E53" s="626"/>
      <c r="F53" s="544">
        <f>+'Presupuesto - PAA 2015'!E240</f>
        <v>0</v>
      </c>
      <c r="G53" s="624">
        <v>1775400000</v>
      </c>
      <c r="H53" s="624"/>
      <c r="I53" s="624">
        <v>1775400000</v>
      </c>
      <c r="J53" s="544">
        <f>+'Presupuesto - PAA 2015'!J240</f>
        <v>0</v>
      </c>
      <c r="K53" s="607">
        <f>+'Presupuesto - PAA 2015'!K240</f>
        <v>0</v>
      </c>
      <c r="L53" s="544">
        <f>+'Presupuesto - PAA 2015'!L240</f>
        <v>0</v>
      </c>
      <c r="M53" s="544">
        <f>+'Presupuesto - PAA 2015'!M240</f>
        <v>0</v>
      </c>
      <c r="N53" s="544" t="str">
        <f>+'Presupuesto - PAA 2015'!N240</f>
        <v xml:space="preserve"> </v>
      </c>
    </row>
    <row r="54" spans="1:14" ht="36" x14ac:dyDescent="0.25">
      <c r="A54" s="659"/>
      <c r="B54" s="632">
        <v>208</v>
      </c>
      <c r="C54" s="619" t="s">
        <v>1618</v>
      </c>
      <c r="D54" s="633" t="s">
        <v>1921</v>
      </c>
      <c r="E54" s="539" t="s">
        <v>390</v>
      </c>
      <c r="F54" s="671">
        <f>+'Presupuesto - PAA 2015'!E241</f>
        <v>7722182796</v>
      </c>
      <c r="G54" s="585">
        <v>389910657</v>
      </c>
      <c r="H54" s="585"/>
      <c r="I54" s="585">
        <v>389910657</v>
      </c>
      <c r="J54" s="671">
        <f>+'Presupuesto - PAA 2015'!J241</f>
        <v>7259030202.1999998</v>
      </c>
      <c r="K54" s="672">
        <f>+'Presupuesto - PAA 2015'!K241</f>
        <v>0.94002309890411972</v>
      </c>
      <c r="L54" s="671">
        <f>+'Presupuesto - PAA 2015'!L241</f>
        <v>450477000</v>
      </c>
      <c r="M54" s="671">
        <f>+'Presupuesto - PAA 2015'!M241</f>
        <v>0</v>
      </c>
      <c r="N54" s="671">
        <f>+'Presupuesto - PAA 2015'!N241</f>
        <v>12675593.800000191</v>
      </c>
    </row>
    <row r="55" spans="1:14" ht="24" x14ac:dyDescent="0.25">
      <c r="A55" s="659"/>
      <c r="B55" s="632">
        <v>263</v>
      </c>
      <c r="C55" s="619" t="s">
        <v>1922</v>
      </c>
      <c r="D55" s="633" t="s">
        <v>1923</v>
      </c>
      <c r="E55" s="539" t="s">
        <v>390</v>
      </c>
      <c r="F55" s="671">
        <f>+'Presupuesto - PAA 2015'!E242</f>
        <v>450477000</v>
      </c>
      <c r="G55" s="585">
        <v>101489343</v>
      </c>
      <c r="H55" s="585"/>
      <c r="I55" s="585">
        <v>101489343</v>
      </c>
      <c r="J55" s="671">
        <f>+'Presupuesto - PAA 2015'!J242</f>
        <v>0</v>
      </c>
      <c r="K55" s="672">
        <f>+'Presupuesto - PAA 2015'!K242</f>
        <v>0</v>
      </c>
      <c r="L55" s="671">
        <f>+'Presupuesto - PAA 2015'!L242</f>
        <v>450477000</v>
      </c>
      <c r="M55" s="671">
        <f>+'Presupuesto - PAA 2015'!M242</f>
        <v>0</v>
      </c>
      <c r="N55" s="671">
        <f>+'Presupuesto - PAA 2015'!N242</f>
        <v>0</v>
      </c>
    </row>
    <row r="56" spans="1:14" ht="24" x14ac:dyDescent="0.25">
      <c r="A56" s="659"/>
      <c r="B56" s="632">
        <v>209</v>
      </c>
      <c r="C56" s="619" t="s">
        <v>1088</v>
      </c>
      <c r="D56" s="633" t="s">
        <v>1924</v>
      </c>
      <c r="E56" s="539">
        <v>0</v>
      </c>
      <c r="F56" s="671">
        <f>+'Presupuesto - PAA 2015'!E243</f>
        <v>450477000</v>
      </c>
      <c r="G56" s="585">
        <v>24000000</v>
      </c>
      <c r="H56" s="585"/>
      <c r="I56" s="585">
        <v>24000000</v>
      </c>
      <c r="J56" s="671" t="str">
        <f>+'Presupuesto - PAA 2015'!J243</f>
        <v>Sin Celebrar</v>
      </c>
      <c r="K56" s="672">
        <f>+'Presupuesto - PAA 2015'!K243</f>
        <v>0</v>
      </c>
      <c r="L56" s="671">
        <f>+'Presupuesto - PAA 2015'!L243</f>
        <v>450477000</v>
      </c>
      <c r="M56" s="671">
        <f>+'Presupuesto - PAA 2015'!M243</f>
        <v>0</v>
      </c>
      <c r="N56" s="671" t="str">
        <f>+'Presupuesto - PAA 2015'!N243</f>
        <v xml:space="preserve"> </v>
      </c>
    </row>
    <row r="57" spans="1:14" ht="24" x14ac:dyDescent="0.25">
      <c r="A57" s="659"/>
      <c r="B57" s="632">
        <v>211</v>
      </c>
      <c r="C57" s="619" t="s">
        <v>1088</v>
      </c>
      <c r="D57" s="633" t="s">
        <v>1925</v>
      </c>
      <c r="E57" s="539">
        <v>0</v>
      </c>
      <c r="F57" s="671">
        <f>+'Presupuesto - PAA 2015'!E244</f>
        <v>466869877</v>
      </c>
      <c r="G57" s="585">
        <v>1260000000</v>
      </c>
      <c r="H57" s="585"/>
      <c r="I57" s="585">
        <v>1260000000</v>
      </c>
      <c r="J57" s="671">
        <f>+'Presupuesto - PAA 2015'!J244</f>
        <v>466869877</v>
      </c>
      <c r="K57" s="672">
        <f>+'Presupuesto - PAA 2015'!K244</f>
        <v>1</v>
      </c>
      <c r="L57" s="671">
        <f>+'Presupuesto - PAA 2015'!L244</f>
        <v>0</v>
      </c>
      <c r="M57" s="671">
        <f>+'Presupuesto - PAA 2015'!M244</f>
        <v>0</v>
      </c>
      <c r="N57" s="671">
        <f>+'Presupuesto - PAA 2015'!N244</f>
        <v>0</v>
      </c>
    </row>
    <row r="58" spans="1:14" ht="38.25" customHeight="1" x14ac:dyDescent="0.25">
      <c r="A58" s="659"/>
      <c r="B58" s="542"/>
      <c r="C58" s="1126" t="s">
        <v>1926</v>
      </c>
      <c r="D58" s="1126"/>
      <c r="E58" s="626"/>
      <c r="F58" s="675">
        <f>+'Presupuesto - PAA 2015'!E245</f>
        <v>379200000</v>
      </c>
      <c r="G58" s="624">
        <v>90000000</v>
      </c>
      <c r="H58" s="624"/>
      <c r="I58" s="624">
        <v>90000000</v>
      </c>
      <c r="J58" s="675">
        <f>+'Presupuesto - PAA 2015'!J245</f>
        <v>379200000</v>
      </c>
      <c r="K58" s="676">
        <f>+'Presupuesto - PAA 2015'!K245</f>
        <v>0</v>
      </c>
      <c r="L58" s="675" t="str">
        <f>+'Presupuesto - PAA 2015'!L245</f>
        <v xml:space="preserve"> </v>
      </c>
      <c r="M58" s="675">
        <f>+'Presupuesto - PAA 2015'!M245</f>
        <v>0</v>
      </c>
      <c r="N58" s="675" t="str">
        <f>+'Presupuesto - PAA 2015'!N245</f>
        <v xml:space="preserve"> </v>
      </c>
    </row>
    <row r="59" spans="1:14" ht="36" x14ac:dyDescent="0.25">
      <c r="A59" s="659"/>
      <c r="B59" s="632">
        <v>212</v>
      </c>
      <c r="C59" s="619" t="s">
        <v>1088</v>
      </c>
      <c r="D59" s="633" t="s">
        <v>1927</v>
      </c>
      <c r="E59" s="539">
        <v>0</v>
      </c>
      <c r="F59" s="671">
        <f>+'Presupuesto - PAA 2015'!E246</f>
        <v>87669877</v>
      </c>
      <c r="G59" s="585">
        <v>90000000</v>
      </c>
      <c r="H59" s="585"/>
      <c r="I59" s="585">
        <v>90000000</v>
      </c>
      <c r="J59" s="671">
        <f>+'Presupuesto - PAA 2015'!J246</f>
        <v>87669877</v>
      </c>
      <c r="K59" s="672">
        <f>+'Presupuesto - PAA 2015'!K246</f>
        <v>0</v>
      </c>
      <c r="L59" s="671" t="str">
        <f>+'Presupuesto - PAA 2015'!L246</f>
        <v xml:space="preserve"> </v>
      </c>
      <c r="M59" s="671">
        <f>+'Presupuesto - PAA 2015'!M246</f>
        <v>0</v>
      </c>
      <c r="N59" s="671" t="str">
        <f>+'Presupuesto - PAA 2015'!N246</f>
        <v xml:space="preserve"> </v>
      </c>
    </row>
    <row r="60" spans="1:14" x14ac:dyDescent="0.25">
      <c r="A60" s="659"/>
      <c r="B60" s="542"/>
      <c r="C60" s="1124" t="s">
        <v>1928</v>
      </c>
      <c r="D60" s="1124"/>
      <c r="E60" s="626"/>
      <c r="F60" s="675">
        <f>+'Presupuesto - PAA 2015'!E247</f>
        <v>0</v>
      </c>
      <c r="G60" s="624">
        <v>506600000</v>
      </c>
      <c r="H60" s="624"/>
      <c r="I60" s="624">
        <v>506600000</v>
      </c>
      <c r="J60" s="675" t="str">
        <f>+'Presupuesto - PAA 2015'!J247</f>
        <v>Sin Celebrar</v>
      </c>
      <c r="K60" s="676">
        <f>+'Presupuesto - PAA 2015'!K247</f>
        <v>0</v>
      </c>
      <c r="L60" s="675">
        <f>+'Presupuesto - PAA 2015'!L247</f>
        <v>0</v>
      </c>
      <c r="M60" s="675">
        <f>+'Presupuesto - PAA 2015'!M247</f>
        <v>0</v>
      </c>
      <c r="N60" s="675" t="str">
        <f>+'Presupuesto - PAA 2015'!N247</f>
        <v xml:space="preserve"> </v>
      </c>
    </row>
    <row r="61" spans="1:14" ht="24" x14ac:dyDescent="0.25">
      <c r="A61" s="659"/>
      <c r="B61" s="632">
        <v>70</v>
      </c>
      <c r="C61" s="619" t="s">
        <v>1088</v>
      </c>
      <c r="D61" s="633" t="s">
        <v>1929</v>
      </c>
      <c r="E61" s="539" t="s">
        <v>390</v>
      </c>
      <c r="F61" s="671">
        <f>+'Presupuesto - PAA 2015'!E248</f>
        <v>0</v>
      </c>
      <c r="G61" s="585">
        <v>32000000</v>
      </c>
      <c r="H61" s="585"/>
      <c r="I61" s="585">
        <v>32000000</v>
      </c>
      <c r="J61" s="671" t="str">
        <f>+'Presupuesto - PAA 2015'!J248</f>
        <v>Sin Celebrar</v>
      </c>
      <c r="K61" s="672">
        <f>+'Presupuesto - PAA 2015'!K248</f>
        <v>0</v>
      </c>
      <c r="L61" s="671">
        <f>+'Presupuesto - PAA 2015'!L248</f>
        <v>0</v>
      </c>
      <c r="M61" s="671">
        <f>+'Presupuesto - PAA 2015'!M248</f>
        <v>0</v>
      </c>
      <c r="N61" s="671" t="str">
        <f>+'Presupuesto - PAA 2015'!N248</f>
        <v xml:space="preserve"> </v>
      </c>
    </row>
    <row r="62" spans="1:14" ht="24" x14ac:dyDescent="0.25">
      <c r="A62" s="659"/>
      <c r="B62" s="632">
        <v>71</v>
      </c>
      <c r="C62" s="619" t="s">
        <v>1088</v>
      </c>
      <c r="D62" s="633" t="s">
        <v>1930</v>
      </c>
      <c r="E62" s="539" t="s">
        <v>390</v>
      </c>
      <c r="F62" s="671">
        <f>+'Presupuesto - PAA 2015'!E249</f>
        <v>0</v>
      </c>
      <c r="G62" s="585">
        <v>13300000</v>
      </c>
      <c r="H62" s="585"/>
      <c r="I62" s="585">
        <v>13300000</v>
      </c>
      <c r="J62" s="671">
        <f>+'Presupuesto - PAA 2015'!J249</f>
        <v>0</v>
      </c>
      <c r="K62" s="672" t="e">
        <f>+'Presupuesto - PAA 2015'!K249</f>
        <v>#DIV/0!</v>
      </c>
      <c r="L62" s="671">
        <f>+'Presupuesto - PAA 2015'!L249</f>
        <v>0</v>
      </c>
      <c r="M62" s="671">
        <f>+'Presupuesto - PAA 2015'!M249</f>
        <v>0</v>
      </c>
      <c r="N62" s="671">
        <f>+'Presupuesto - PAA 2015'!N249</f>
        <v>0</v>
      </c>
    </row>
    <row r="63" spans="1:14" ht="24" x14ac:dyDescent="0.25">
      <c r="A63" s="659"/>
      <c r="B63" s="632">
        <v>73</v>
      </c>
      <c r="C63" s="619" t="s">
        <v>1088</v>
      </c>
      <c r="D63" s="633" t="s">
        <v>1931</v>
      </c>
      <c r="E63" s="539" t="s">
        <v>390</v>
      </c>
      <c r="F63" s="671">
        <f>+'Presupuesto - PAA 2015'!E250</f>
        <v>0</v>
      </c>
      <c r="G63" s="585">
        <v>201000000</v>
      </c>
      <c r="H63" s="585"/>
      <c r="I63" s="585">
        <v>201000000</v>
      </c>
      <c r="J63" s="671" t="str">
        <f>+'Presupuesto - PAA 2015'!J250</f>
        <v>Sin Celebrar</v>
      </c>
      <c r="K63" s="672">
        <f>+'Presupuesto - PAA 2015'!K250</f>
        <v>0</v>
      </c>
      <c r="L63" s="671">
        <f>+'Presupuesto - PAA 2015'!L250</f>
        <v>0</v>
      </c>
      <c r="M63" s="671">
        <f>+'Presupuesto - PAA 2015'!M250</f>
        <v>0</v>
      </c>
      <c r="N63" s="671" t="str">
        <f>+'Presupuesto - PAA 2015'!N250</f>
        <v xml:space="preserve"> </v>
      </c>
    </row>
    <row r="64" spans="1:14" ht="24" x14ac:dyDescent="0.25">
      <c r="A64" s="659"/>
      <c r="B64" s="632">
        <v>74</v>
      </c>
      <c r="C64" s="619" t="s">
        <v>1088</v>
      </c>
      <c r="D64" s="633" t="s">
        <v>1932</v>
      </c>
      <c r="E64" s="539">
        <v>0</v>
      </c>
      <c r="F64" s="671">
        <f>+'Presupuesto - PAA 2015'!E251</f>
        <v>2630558934</v>
      </c>
      <c r="G64" s="585">
        <v>130000000</v>
      </c>
      <c r="H64" s="585"/>
      <c r="I64" s="585">
        <v>130000000</v>
      </c>
      <c r="J64" s="671">
        <f>+'Presupuesto - PAA 2015'!J251</f>
        <v>2617883340.1999998</v>
      </c>
      <c r="K64" s="672">
        <f>+'Presupuesto - PAA 2015'!K251</f>
        <v>0.99518140664473698</v>
      </c>
      <c r="L64" s="671">
        <f>+'Presupuesto - PAA 2015'!L251</f>
        <v>0</v>
      </c>
      <c r="M64" s="671">
        <f>+'Presupuesto - PAA 2015'!M251</f>
        <v>0</v>
      </c>
      <c r="N64" s="671">
        <f>+'Presupuesto - PAA 2015'!N251</f>
        <v>12675593.800000191</v>
      </c>
    </row>
    <row r="65" spans="1:14" ht="24" x14ac:dyDescent="0.25">
      <c r="A65" s="659"/>
      <c r="B65" s="632">
        <v>75</v>
      </c>
      <c r="C65" s="619" t="s">
        <v>1088</v>
      </c>
      <c r="D65" s="633" t="s">
        <v>1781</v>
      </c>
      <c r="E65" s="539" t="s">
        <v>390</v>
      </c>
      <c r="F65" s="671">
        <f>+'Presupuesto - PAA 2015'!E252</f>
        <v>31577404</v>
      </c>
      <c r="G65" s="585">
        <v>22000000</v>
      </c>
      <c r="H65" s="585"/>
      <c r="I65" s="585">
        <v>22000000</v>
      </c>
      <c r="J65" s="671">
        <f>+'Presupuesto - PAA 2015'!J252</f>
        <v>31577404</v>
      </c>
      <c r="K65" s="672">
        <f>+'Presupuesto - PAA 2015'!K252</f>
        <v>0</v>
      </c>
      <c r="L65" s="671" t="str">
        <f>+'Presupuesto - PAA 2015'!L252</f>
        <v xml:space="preserve"> </v>
      </c>
      <c r="M65" s="671">
        <f>+'Presupuesto - PAA 2015'!M252</f>
        <v>0</v>
      </c>
      <c r="N65" s="671" t="str">
        <f>+'Presupuesto - PAA 2015'!N252</f>
        <v xml:space="preserve"> </v>
      </c>
    </row>
    <row r="66" spans="1:14" ht="24" x14ac:dyDescent="0.25">
      <c r="A66" s="659"/>
      <c r="B66" s="632">
        <v>76</v>
      </c>
      <c r="C66" s="619" t="s">
        <v>1088</v>
      </c>
      <c r="D66" s="633" t="s">
        <v>1933</v>
      </c>
      <c r="E66" s="539" t="s">
        <v>390</v>
      </c>
      <c r="F66" s="671">
        <f>+'Presupuesto - PAA 2015'!E253</f>
        <v>11167296</v>
      </c>
      <c r="G66" s="585">
        <v>65000000</v>
      </c>
      <c r="H66" s="585"/>
      <c r="I66" s="585">
        <v>65000000</v>
      </c>
      <c r="J66" s="671">
        <f>+'Presupuesto - PAA 2015'!J253</f>
        <v>11167296</v>
      </c>
      <c r="K66" s="672">
        <f>+'Presupuesto - PAA 2015'!K253</f>
        <v>0</v>
      </c>
      <c r="L66" s="671" t="str">
        <f>+'Presupuesto - PAA 2015'!L253</f>
        <v xml:space="preserve"> </v>
      </c>
      <c r="M66" s="671">
        <f>+'Presupuesto - PAA 2015'!M253</f>
        <v>0</v>
      </c>
      <c r="N66" s="671" t="str">
        <f>+'Presupuesto - PAA 2015'!N253</f>
        <v xml:space="preserve"> </v>
      </c>
    </row>
    <row r="67" spans="1:14" ht="24" x14ac:dyDescent="0.25">
      <c r="A67" s="659"/>
      <c r="B67" s="632">
        <v>77</v>
      </c>
      <c r="C67" s="619" t="s">
        <v>1088</v>
      </c>
      <c r="D67" s="633" t="s">
        <v>1934</v>
      </c>
      <c r="E67" s="539">
        <v>0</v>
      </c>
      <c r="F67" s="671">
        <f>+'Presupuesto - PAA 2015'!E254</f>
        <v>0</v>
      </c>
      <c r="G67" s="585">
        <v>20000000</v>
      </c>
      <c r="H67" s="585"/>
      <c r="I67" s="585">
        <v>20000000</v>
      </c>
      <c r="J67" s="671">
        <f>+'Presupuesto - PAA 2015'!J254</f>
        <v>8320000</v>
      </c>
      <c r="K67" s="672">
        <f>+'Presupuesto - PAA 2015'!K254</f>
        <v>0</v>
      </c>
      <c r="L67" s="671" t="str">
        <f>+'Presupuesto - PAA 2015'!L254</f>
        <v xml:space="preserve"> </v>
      </c>
      <c r="M67" s="671">
        <f>+'Presupuesto - PAA 2015'!M254</f>
        <v>0</v>
      </c>
      <c r="N67" s="671" t="str">
        <f>+'Presupuesto - PAA 2015'!N254</f>
        <v xml:space="preserve"> </v>
      </c>
    </row>
    <row r="68" spans="1:14" x14ac:dyDescent="0.25">
      <c r="A68" s="659"/>
      <c r="B68" s="619"/>
      <c r="C68" s="619"/>
      <c r="D68" s="619" t="s">
        <v>1935</v>
      </c>
      <c r="E68" s="619"/>
      <c r="F68" s="671">
        <f>+'Presupuesto - PAA 2015'!E255</f>
        <v>1544000000</v>
      </c>
      <c r="G68" s="635">
        <v>23300000</v>
      </c>
      <c r="H68" s="619"/>
      <c r="I68" s="635">
        <v>23300000</v>
      </c>
      <c r="J68" s="671">
        <f>+'Presupuesto - PAA 2015'!J255</f>
        <v>1512217703</v>
      </c>
      <c r="K68" s="672">
        <f>+'Presupuesto - PAA 2015'!K255</f>
        <v>0</v>
      </c>
      <c r="L68" s="671" t="str">
        <f>+'Presupuesto - PAA 2015'!L255</f>
        <v xml:space="preserve"> </v>
      </c>
      <c r="M68" s="671">
        <f>+'Presupuesto - PAA 2015'!M255</f>
        <v>0</v>
      </c>
      <c r="N68" s="671">
        <f>+'Presupuesto - PAA 2015'!N255</f>
        <v>31782297</v>
      </c>
    </row>
    <row r="69" spans="1:14" ht="42" customHeight="1" x14ac:dyDescent="0.25">
      <c r="A69" s="659"/>
      <c r="B69" s="538"/>
      <c r="C69" s="1140" t="s">
        <v>1936</v>
      </c>
      <c r="D69" s="1141"/>
      <c r="E69" s="640"/>
      <c r="F69" s="675">
        <f>+'Presupuesto - PAA 2015'!E256</f>
        <v>8086410</v>
      </c>
      <c r="G69" s="625">
        <v>4320000000</v>
      </c>
      <c r="H69" s="640"/>
      <c r="I69" s="624">
        <v>4320000000</v>
      </c>
      <c r="J69" s="675">
        <f>+'Presupuesto - PAA 2015'!J256</f>
        <v>8086410</v>
      </c>
      <c r="K69" s="676">
        <f>+'Presupuesto - PAA 2015'!K256</f>
        <v>0</v>
      </c>
      <c r="L69" s="675" t="str">
        <f>+'Presupuesto - PAA 2015'!L256</f>
        <v xml:space="preserve"> </v>
      </c>
      <c r="M69" s="675">
        <f>+'Presupuesto - PAA 2015'!M256</f>
        <v>0</v>
      </c>
      <c r="N69" s="675" t="str">
        <f>+'Presupuesto - PAA 2015'!N256</f>
        <v xml:space="preserve"> </v>
      </c>
    </row>
    <row r="70" spans="1:14" ht="72" x14ac:dyDescent="0.25">
      <c r="A70" s="659"/>
      <c r="B70" s="632">
        <v>210</v>
      </c>
      <c r="C70" s="619" t="s">
        <v>1639</v>
      </c>
      <c r="D70" s="633" t="s">
        <v>1937</v>
      </c>
      <c r="E70" s="539" t="s">
        <v>390</v>
      </c>
      <c r="F70" s="671">
        <f>+'Presupuesto - PAA 2015'!E265</f>
        <v>4174276985</v>
      </c>
      <c r="G70" s="585">
        <v>4320000000</v>
      </c>
      <c r="H70" s="585"/>
      <c r="I70" s="585">
        <v>4320000000</v>
      </c>
      <c r="J70" s="671">
        <f>+'Presupuesto - PAA 2015'!J265</f>
        <v>4174276985</v>
      </c>
      <c r="K70" s="671">
        <f>+'Presupuesto - PAA 2015'!K265</f>
        <v>0</v>
      </c>
      <c r="L70" s="671" t="str">
        <f>+'Presupuesto - PAA 2015'!L265</f>
        <v xml:space="preserve"> </v>
      </c>
      <c r="M70" s="671">
        <f>+'Presupuesto - PAA 2015'!M265</f>
        <v>0</v>
      </c>
      <c r="N70" s="671" t="str">
        <f>+'Presupuesto - PAA 2015'!N265</f>
        <v xml:space="preserve"> </v>
      </c>
    </row>
    <row r="71" spans="1:14" x14ac:dyDescent="0.25">
      <c r="A71" s="659"/>
    </row>
    <row r="72" spans="1:14" x14ac:dyDescent="0.25">
      <c r="A72" s="659"/>
    </row>
    <row r="73" spans="1:14" x14ac:dyDescent="0.25">
      <c r="A73" s="659"/>
    </row>
    <row r="74" spans="1:14" x14ac:dyDescent="0.25">
      <c r="A74" s="659"/>
    </row>
    <row r="75" spans="1:14" x14ac:dyDescent="0.25">
      <c r="A75" s="659"/>
    </row>
    <row r="76" spans="1:14" x14ac:dyDescent="0.25">
      <c r="A76" s="659"/>
    </row>
    <row r="77" spans="1:14" x14ac:dyDescent="0.25">
      <c r="A77" s="659"/>
    </row>
    <row r="78" spans="1:14" x14ac:dyDescent="0.25">
      <c r="A78" s="659"/>
    </row>
    <row r="79" spans="1:14" x14ac:dyDescent="0.25">
      <c r="A79" s="659"/>
    </row>
    <row r="80" spans="1:14" x14ac:dyDescent="0.25">
      <c r="A80" s="659"/>
    </row>
    <row r="81" spans="1:1" x14ac:dyDescent="0.25">
      <c r="A81" s="659"/>
    </row>
    <row r="82" spans="1:1" x14ac:dyDescent="0.25">
      <c r="A82" s="659"/>
    </row>
    <row r="83" spans="1:1" x14ac:dyDescent="0.25">
      <c r="A83" s="659"/>
    </row>
    <row r="84" spans="1:1" x14ac:dyDescent="0.25">
      <c r="A84" s="659"/>
    </row>
    <row r="85" spans="1:1" x14ac:dyDescent="0.25">
      <c r="A85" s="659"/>
    </row>
    <row r="86" spans="1:1" x14ac:dyDescent="0.25">
      <c r="A86" s="659"/>
    </row>
    <row r="87" spans="1:1" x14ac:dyDescent="0.25">
      <c r="A87" s="659"/>
    </row>
    <row r="88" spans="1:1" x14ac:dyDescent="0.25">
      <c r="A88" s="659"/>
    </row>
    <row r="89" spans="1:1" x14ac:dyDescent="0.25">
      <c r="A89" s="659"/>
    </row>
    <row r="90" spans="1:1" x14ac:dyDescent="0.25">
      <c r="A90" s="659"/>
    </row>
    <row r="91" spans="1:1" x14ac:dyDescent="0.25">
      <c r="A91" s="659"/>
    </row>
    <row r="92" spans="1:1" ht="16.5" customHeight="1" x14ac:dyDescent="0.25">
      <c r="A92" s="659"/>
    </row>
    <row r="93" spans="1:1" x14ac:dyDescent="0.25">
      <c r="A93" s="659"/>
    </row>
    <row r="94" spans="1:1" x14ac:dyDescent="0.25">
      <c r="A94" s="659"/>
    </row>
    <row r="95" spans="1:1" x14ac:dyDescent="0.25">
      <c r="A95" s="659"/>
    </row>
    <row r="96" spans="1:1" x14ac:dyDescent="0.25">
      <c r="A96" s="659"/>
    </row>
    <row r="97" spans="1:1" x14ac:dyDescent="0.25">
      <c r="A97" s="659"/>
    </row>
    <row r="98" spans="1:1" x14ac:dyDescent="0.25">
      <c r="A98" s="659"/>
    </row>
    <row r="99" spans="1:1" x14ac:dyDescent="0.25">
      <c r="A99" s="659"/>
    </row>
    <row r="100" spans="1:1" x14ac:dyDescent="0.25">
      <c r="A100" s="659"/>
    </row>
    <row r="101" spans="1:1" x14ac:dyDescent="0.25">
      <c r="A101" s="659"/>
    </row>
    <row r="102" spans="1:1" x14ac:dyDescent="0.25">
      <c r="A102" s="659"/>
    </row>
    <row r="103" spans="1:1" x14ac:dyDescent="0.25">
      <c r="A103" s="659"/>
    </row>
    <row r="104" spans="1:1" x14ac:dyDescent="0.25">
      <c r="A104" s="659"/>
    </row>
    <row r="105" spans="1:1" x14ac:dyDescent="0.25">
      <c r="A105" s="659"/>
    </row>
    <row r="106" spans="1:1" x14ac:dyDescent="0.25">
      <c r="A106" s="659"/>
    </row>
  </sheetData>
  <mergeCells count="53">
    <mergeCell ref="B6:D6"/>
    <mergeCell ref="B1:N1"/>
    <mergeCell ref="B2:D2"/>
    <mergeCell ref="B3:D3"/>
    <mergeCell ref="B4:D4"/>
    <mergeCell ref="B5:D5"/>
    <mergeCell ref="B18:D18"/>
    <mergeCell ref="B7:D7"/>
    <mergeCell ref="B8:D8"/>
    <mergeCell ref="B9:D9"/>
    <mergeCell ref="B10:D10"/>
    <mergeCell ref="B11:D11"/>
    <mergeCell ref="B12:D12"/>
    <mergeCell ref="B13:D13"/>
    <mergeCell ref="B14:D14"/>
    <mergeCell ref="B15:D15"/>
    <mergeCell ref="B16:D16"/>
    <mergeCell ref="B17:D17"/>
    <mergeCell ref="B30:D30"/>
    <mergeCell ref="B19:D19"/>
    <mergeCell ref="B20:D20"/>
    <mergeCell ref="B21:D21"/>
    <mergeCell ref="B22:D22"/>
    <mergeCell ref="B23:D23"/>
    <mergeCell ref="B24:D24"/>
    <mergeCell ref="B25:D25"/>
    <mergeCell ref="B26:D26"/>
    <mergeCell ref="B27:D27"/>
    <mergeCell ref="B28:D28"/>
    <mergeCell ref="B29:D29"/>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C60:D60"/>
    <mergeCell ref="C69:D69"/>
    <mergeCell ref="C46:D46"/>
    <mergeCell ref="C47:D47"/>
    <mergeCell ref="C50:D50"/>
    <mergeCell ref="C51:D51"/>
    <mergeCell ref="C53:D53"/>
    <mergeCell ref="C58:D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40" customWidth="1"/>
    <col min="2" max="2" width="10" style="540" customWidth="1"/>
    <col min="3" max="3" width="6.5703125" style="540" hidden="1" customWidth="1"/>
    <col min="4" max="4" width="18" style="540" customWidth="1"/>
    <col min="5" max="5" width="46.140625" style="540" customWidth="1"/>
    <col min="6" max="6" width="18.42578125" style="540" customWidth="1"/>
    <col min="7" max="7" width="14.42578125" style="825" customWidth="1"/>
    <col min="8" max="8" width="8.5703125" style="825" bestFit="1" customWidth="1"/>
    <col min="9" max="9" width="13.42578125" style="540" customWidth="1"/>
    <col min="10" max="10" width="16.7109375" style="540" customWidth="1"/>
    <col min="11" max="11" width="9" style="616" customWidth="1"/>
    <col min="12" max="13" width="16.7109375" style="540" customWidth="1"/>
    <col min="14" max="14" width="16.7109375" style="702" customWidth="1"/>
    <col min="15" max="15" width="15.140625" style="552" customWidth="1"/>
    <col min="16" max="18" width="11.42578125" style="540" customWidth="1"/>
    <col min="19" max="19" width="16.7109375" style="540" customWidth="1"/>
    <col min="20" max="20" width="17.5703125" style="661" bestFit="1" customWidth="1"/>
    <col min="21" max="21" width="17.85546875" style="540" bestFit="1" customWidth="1"/>
    <col min="22" max="22" width="11.42578125" style="540"/>
    <col min="23" max="23" width="8.28515625" style="540" hidden="1" customWidth="1"/>
    <col min="24" max="25" width="11.42578125" style="540"/>
    <col min="26" max="26" width="0" style="540" hidden="1" customWidth="1"/>
    <col min="27" max="16384" width="11.42578125" style="540"/>
  </cols>
  <sheetData>
    <row r="1" spans="2:26" ht="23.25" customHeight="1" thickBot="1" x14ac:dyDescent="0.3">
      <c r="B1" s="1131" t="s">
        <v>2282</v>
      </c>
      <c r="C1" s="1132"/>
      <c r="D1" s="1132"/>
      <c r="E1" s="1132"/>
      <c r="F1" s="1132"/>
      <c r="G1" s="1132"/>
      <c r="H1" s="1132"/>
      <c r="I1" s="1132"/>
      <c r="J1" s="1132"/>
      <c r="K1" s="1132"/>
      <c r="L1" s="1132"/>
      <c r="M1" s="1132"/>
      <c r="N1" s="1132"/>
      <c r="O1" s="1132"/>
      <c r="P1" s="1132"/>
      <c r="Q1" s="1132"/>
      <c r="R1" s="1132"/>
      <c r="S1" s="1133"/>
      <c r="Z1" s="540" t="s">
        <v>1906</v>
      </c>
    </row>
    <row r="2" spans="2:26" ht="33.75" customHeight="1" x14ac:dyDescent="0.25">
      <c r="B2" s="1138" t="s">
        <v>1786</v>
      </c>
      <c r="C2" s="1138"/>
      <c r="D2" s="1138"/>
      <c r="E2" s="1138"/>
      <c r="F2" s="778" t="s">
        <v>2416</v>
      </c>
      <c r="G2" s="723" t="s">
        <v>2349</v>
      </c>
      <c r="H2" s="1154" t="s">
        <v>1845</v>
      </c>
      <c r="I2" s="1155"/>
      <c r="J2" s="778" t="s">
        <v>1902</v>
      </c>
      <c r="K2" s="721" t="s">
        <v>1903</v>
      </c>
      <c r="L2" s="778" t="s">
        <v>1904</v>
      </c>
      <c r="M2" s="778" t="s">
        <v>1907</v>
      </c>
      <c r="N2" s="722" t="s">
        <v>1123</v>
      </c>
      <c r="O2" s="723" t="s">
        <v>1850</v>
      </c>
      <c r="P2" s="778" t="s">
        <v>1851</v>
      </c>
      <c r="Q2" s="778" t="s">
        <v>1852</v>
      </c>
      <c r="R2" s="778" t="s">
        <v>375</v>
      </c>
      <c r="S2" s="778" t="s">
        <v>1853</v>
      </c>
    </row>
    <row r="3" spans="2:26" ht="15" customHeight="1" x14ac:dyDescent="0.25">
      <c r="B3" s="1125" t="s">
        <v>1689</v>
      </c>
      <c r="C3" s="1125"/>
      <c r="D3" s="1125"/>
      <c r="E3" s="1125"/>
      <c r="F3" s="546"/>
      <c r="G3" s="834">
        <f>+G4+G190</f>
        <v>92</v>
      </c>
      <c r="H3" s="834">
        <f>+H4+H190</f>
        <v>1</v>
      </c>
      <c r="I3" s="546"/>
      <c r="J3" s="546">
        <f>+J4+J190</f>
        <v>8460919518</v>
      </c>
      <c r="K3" s="651" t="e">
        <f t="shared" ref="K3:K8" si="0">+J3/F3</f>
        <v>#DIV/0!</v>
      </c>
      <c r="L3" s="546">
        <f>+L4+L190</f>
        <v>3289793500</v>
      </c>
      <c r="M3" s="546">
        <f>+M4+M190</f>
        <v>-11750713018</v>
      </c>
      <c r="N3" s="546"/>
      <c r="O3" s="656"/>
      <c r="P3" s="576"/>
      <c r="Q3" s="576"/>
      <c r="R3" s="576"/>
      <c r="S3" s="576"/>
    </row>
    <row r="4" spans="2:26" ht="15" customHeight="1" x14ac:dyDescent="0.25">
      <c r="B4" s="1125" t="s">
        <v>1687</v>
      </c>
      <c r="C4" s="1125"/>
      <c r="D4" s="1125"/>
      <c r="E4" s="1125"/>
      <c r="F4" s="546"/>
      <c r="G4" s="834">
        <f>+G5+G39</f>
        <v>83</v>
      </c>
      <c r="H4" s="834">
        <f>+H5+H39</f>
        <v>1</v>
      </c>
      <c r="I4" s="547"/>
      <c r="J4" s="546">
        <f>+J5+J39</f>
        <v>3862728518</v>
      </c>
      <c r="K4" s="651" t="e">
        <f t="shared" si="0"/>
        <v>#DIV/0!</v>
      </c>
      <c r="L4" s="546">
        <f>+L5+L39</f>
        <v>2678833500</v>
      </c>
      <c r="M4" s="546">
        <f>+M5+M39</f>
        <v>-6541562018</v>
      </c>
      <c r="N4" s="679"/>
      <c r="O4" s="577"/>
      <c r="P4" s="576"/>
      <c r="Q4" s="576"/>
      <c r="R4" s="576"/>
      <c r="S4" s="576"/>
    </row>
    <row r="5" spans="2:26" ht="15" customHeight="1" x14ac:dyDescent="0.25">
      <c r="B5" s="1121" t="s">
        <v>1686</v>
      </c>
      <c r="C5" s="1121"/>
      <c r="D5" s="1121"/>
      <c r="E5" s="1121"/>
      <c r="F5" s="544"/>
      <c r="G5" s="835">
        <f>+G6</f>
        <v>20</v>
      </c>
      <c r="H5" s="835">
        <f>+H6</f>
        <v>0</v>
      </c>
      <c r="I5" s="545"/>
      <c r="J5" s="544">
        <f t="shared" ref="J5:M6" si="1">+J6</f>
        <v>365435500</v>
      </c>
      <c r="K5" s="607" t="e">
        <f t="shared" si="0"/>
        <v>#DIV/0!</v>
      </c>
      <c r="L5" s="544">
        <f t="shared" si="1"/>
        <v>431877500</v>
      </c>
      <c r="M5" s="544">
        <f t="shared" si="1"/>
        <v>-797313000</v>
      </c>
      <c r="N5" s="680"/>
      <c r="O5" s="575"/>
      <c r="P5" s="574"/>
      <c r="Q5" s="574"/>
      <c r="R5" s="574"/>
      <c r="S5" s="574"/>
    </row>
    <row r="6" spans="2:26" ht="15" customHeight="1" x14ac:dyDescent="0.25">
      <c r="B6" s="1139" t="s">
        <v>1685</v>
      </c>
      <c r="C6" s="1139"/>
      <c r="D6" s="1139"/>
      <c r="E6" s="1139"/>
      <c r="F6" s="662"/>
      <c r="G6" s="836">
        <f>+G7+G33</f>
        <v>20</v>
      </c>
      <c r="H6" s="836">
        <f>+H7+H33</f>
        <v>0</v>
      </c>
      <c r="I6" s="591"/>
      <c r="J6" s="662">
        <f t="shared" si="1"/>
        <v>365435500</v>
      </c>
      <c r="K6" s="670" t="e">
        <f t="shared" si="0"/>
        <v>#DIV/0!</v>
      </c>
      <c r="L6" s="662">
        <f t="shared" si="1"/>
        <v>431877500</v>
      </c>
      <c r="M6" s="662">
        <f t="shared" si="1"/>
        <v>-797313000</v>
      </c>
      <c r="N6" s="807"/>
      <c r="O6" s="808"/>
      <c r="P6" s="597"/>
      <c r="Q6" s="597"/>
      <c r="R6" s="597"/>
      <c r="S6" s="597"/>
      <c r="W6" s="540">
        <v>2016</v>
      </c>
    </row>
    <row r="7" spans="2:26" ht="15" customHeight="1" x14ac:dyDescent="0.25">
      <c r="B7" s="1149" t="s">
        <v>1684</v>
      </c>
      <c r="C7" s="1149"/>
      <c r="D7" s="1149"/>
      <c r="E7" s="1149"/>
      <c r="F7" s="806"/>
      <c r="G7" s="829">
        <f>+G8+G30</f>
        <v>18</v>
      </c>
      <c r="H7" s="829">
        <f>+H8+H30</f>
        <v>0</v>
      </c>
      <c r="I7" s="804"/>
      <c r="J7" s="806">
        <f>+J8+J30+J33</f>
        <v>365435500</v>
      </c>
      <c r="K7" s="809" t="e">
        <f t="shared" si="0"/>
        <v>#DIV/0!</v>
      </c>
      <c r="L7" s="806">
        <f>+L8+L30+L33</f>
        <v>431877500</v>
      </c>
      <c r="M7" s="806">
        <f>+M8+M30+M33</f>
        <v>-797313000</v>
      </c>
      <c r="N7" s="810"/>
      <c r="O7" s="811"/>
      <c r="P7" s="795"/>
      <c r="Q7" s="795"/>
      <c r="R7" s="795"/>
      <c r="S7" s="795"/>
      <c r="W7" s="540" t="s">
        <v>1906</v>
      </c>
    </row>
    <row r="8" spans="2:26" ht="15" customHeight="1" x14ac:dyDescent="0.25">
      <c r="B8" s="1151" t="s">
        <v>1646</v>
      </c>
      <c r="C8" s="1151"/>
      <c r="D8" s="1151"/>
      <c r="E8" s="1151"/>
      <c r="F8" s="790"/>
      <c r="G8" s="796">
        <f>COUNT(G10:G27)</f>
        <v>18</v>
      </c>
      <c r="H8" s="796">
        <f>COUNTIF(H10:H27,Hoja1!$J$2)</f>
        <v>0</v>
      </c>
      <c r="I8" s="791"/>
      <c r="J8" s="812">
        <f>SUM(J10:J28)</f>
        <v>351035500</v>
      </c>
      <c r="K8" s="792" t="e">
        <f t="shared" si="0"/>
        <v>#DIV/0!</v>
      </c>
      <c r="L8" s="812">
        <f>SUM(L10:L29)</f>
        <v>365133500</v>
      </c>
      <c r="M8" s="800">
        <f>+F8-J8-L8</f>
        <v>-716169000</v>
      </c>
      <c r="N8" s="813"/>
      <c r="O8" s="812"/>
      <c r="P8" s="795"/>
      <c r="Q8" s="795"/>
      <c r="R8" s="795"/>
      <c r="S8" s="795"/>
    </row>
    <row r="9" spans="2:26" s="620" customFormat="1" ht="24" outlineLevel="1" x14ac:dyDescent="0.25">
      <c r="B9" s="632" t="s">
        <v>2348</v>
      </c>
      <c r="C9" s="632" t="s">
        <v>2359</v>
      </c>
      <c r="D9" s="632" t="s">
        <v>912</v>
      </c>
      <c r="E9" s="632" t="s">
        <v>1825</v>
      </c>
      <c r="F9" s="781" t="s">
        <v>1849</v>
      </c>
      <c r="G9" s="817" t="s">
        <v>2350</v>
      </c>
      <c r="H9" s="817" t="s">
        <v>2354</v>
      </c>
      <c r="I9" s="539" t="s">
        <v>2355</v>
      </c>
      <c r="J9" s="632" t="s">
        <v>1848</v>
      </c>
      <c r="K9" s="617"/>
      <c r="L9" s="632" t="s">
        <v>1942</v>
      </c>
      <c r="M9" s="632" t="s">
        <v>1943</v>
      </c>
      <c r="N9" s="782" t="s">
        <v>1123</v>
      </c>
      <c r="O9" s="783" t="s">
        <v>1850</v>
      </c>
      <c r="P9" s="632" t="s">
        <v>1851</v>
      </c>
      <c r="Q9" s="632" t="s">
        <v>1852</v>
      </c>
      <c r="R9" s="632" t="s">
        <v>375</v>
      </c>
      <c r="S9" s="632" t="s">
        <v>1853</v>
      </c>
      <c r="T9" s="661"/>
    </row>
    <row r="10" spans="2:26" s="620" customFormat="1" ht="14.25" customHeight="1" outlineLevel="1" x14ac:dyDescent="0.25">
      <c r="B10" s="632">
        <v>117</v>
      </c>
      <c r="C10" s="632" t="str">
        <f t="shared" ref="C10:C27" si="2">$W$6&amp;B10</f>
        <v>2016117</v>
      </c>
      <c r="D10" s="538" t="str">
        <f>IF(ISERROR(VLOOKUP(C10,'Base de Datos'!$D$7:$F$4345,2,0))=TRUE,"",(VLOOKUP(C10,'Base de Datos'!$D$7:$F$4345,2,0)))</f>
        <v>160076-0-2016</v>
      </c>
      <c r="E10" s="619" t="s">
        <v>2283</v>
      </c>
      <c r="F10" s="585">
        <v>47460000</v>
      </c>
      <c r="G10" s="817">
        <v>42374</v>
      </c>
      <c r="H10" s="817"/>
      <c r="I10" s="838" t="str">
        <f ca="1">IF(H10=Hoja1!$J$2," ",(IF(MONTH(G10)=MONTH(TODAY()),IF(DAY(G10)&gt;DAY(TODAY()),"Quedan "&amp;ABS(DAY(G10)-DAY(TODAY()))&amp;" Días","Hace "&amp;ABS(DAY(G10)-DAY(TODAY()))&amp;" Días"),"")))</f>
        <v>Hace 13 Días</v>
      </c>
      <c r="J10" s="541">
        <f>IF(ISERROR(VLOOKUP(C10,'Base de Datos'!$D$7:$N$4345,6,0))=TRUE,"Sin Celebrar",(VLOOKUP(C10,'Base de Datos'!$D$7:$N$4345,6,0)))</f>
        <v>35595000</v>
      </c>
      <c r="K10" s="617"/>
      <c r="L10" s="541" t="str">
        <f t="shared" ref="L10:L27" si="3">IF(J10=$W$7,F10, " ")</f>
        <v xml:space="preserve"> </v>
      </c>
      <c r="M10" s="541">
        <f t="shared" ref="M10:M29" si="4">IF(J10&lt;F10,(F10-J10)," ")</f>
        <v>11865000</v>
      </c>
      <c r="N10" s="724" t="str">
        <f>IF(ISERROR(VLOOKUP(C10,'Base de Datos'!$D$7:$K$1048576,7,0))=TRUE," ",(VLOOKUP(C10,'Base de Datos'!$D$7:$K$1048576,7,0)))</f>
        <v>160076-0-2016</v>
      </c>
      <c r="O10" s="556">
        <f>IF(ISERROR(VLOOKUP(C10,'Base de Datos'!$D$7:$N$4330,9,0))=TRUE," ",(VLOOKUP(C10,'Base de Datos'!$D$7:$N$4330,9,0)))</f>
        <v>42479</v>
      </c>
      <c r="P10" s="618" t="e">
        <f>VLOOKUP(B10,#REF!,13,0)</f>
        <v>#REF!</v>
      </c>
      <c r="Q10" s="556">
        <f>IF(ISERROR(VLOOKUP(C10,'Base de Datos'!$D$7:$N$4330,10,0))=TRUE," ",(VLOOKUP(C10,'Base de Datos'!$D$7:$N$4330,10,0)))</f>
        <v>42485</v>
      </c>
      <c r="R10" s="556">
        <f>IF(ISERROR(VLOOKUP(C10,'Base de Datos'!$D$7:$N$4330,11,0))=TRUE," ",(VLOOKUP(C10,'Base de Datos'!$D$7:$N$4330,11,0)))</f>
        <v>42760</v>
      </c>
      <c r="S10" s="619" t="s">
        <v>981</v>
      </c>
      <c r="T10" s="727"/>
      <c r="U10" s="784"/>
    </row>
    <row r="11" spans="2:26" s="620" customFormat="1" ht="24.75" customHeight="1" outlineLevel="1" x14ac:dyDescent="0.25">
      <c r="B11" s="632">
        <v>153</v>
      </c>
      <c r="C11" s="632" t="str">
        <f t="shared" si="2"/>
        <v>2016153</v>
      </c>
      <c r="D11" s="538" t="str">
        <f>IF(ISERROR(VLOOKUP(C11,'Base de Datos'!$D$7:$F$4345,2,0))=TRUE,"",(VLOOKUP(C11,'Base de Datos'!$D$7:$F$4345,2,0)))</f>
        <v>160047-0-2016</v>
      </c>
      <c r="E11" s="619" t="s">
        <v>2284</v>
      </c>
      <c r="F11" s="585">
        <v>61800000</v>
      </c>
      <c r="G11" s="817">
        <v>42384</v>
      </c>
      <c r="H11" s="817"/>
      <c r="I11" s="838" t="str">
        <f ca="1">IF(H11=Hoja1!$J$2," ",(IF(MONTH(G11)=MONTH(TODAY()),IF(DAY(G11)&gt;DAY(TODAY()),"Quedan "&amp;ABS(DAY(G11)-DAY(TODAY()))&amp;" Días","Hace "&amp;ABS(DAY(G11)-DAY(TODAY()))&amp;" Días"),"")))</f>
        <v>Hace 3 Días</v>
      </c>
      <c r="J11" s="541">
        <f>IF(ISERROR(VLOOKUP(C11,'Base de Datos'!$D$7:$N$4345,6,0))=TRUE,"Sin Celebrar",(VLOOKUP(C11,'Base de Datos'!$D$7:$N$4345,6,0)))</f>
        <v>61800000</v>
      </c>
      <c r="K11" s="617"/>
      <c r="L11" s="541" t="str">
        <f t="shared" si="3"/>
        <v xml:space="preserve"> </v>
      </c>
      <c r="M11" s="541" t="str">
        <f t="shared" si="4"/>
        <v xml:space="preserve"> </v>
      </c>
      <c r="N11" s="724" t="str">
        <f>IF(ISERROR(VLOOKUP(C11,'Base de Datos'!$D$7:$K$1048576,7,0))=TRUE," ",(VLOOKUP(C11,'Base de Datos'!$D$7:$K$1048576,7,0)))</f>
        <v>160047-0-2016</v>
      </c>
      <c r="O11" s="556">
        <f>IF(ISERROR(VLOOKUP(C11,'Base de Datos'!$D$7:$N$4330,9,0))=TRUE," ",(VLOOKUP(C11,'Base de Datos'!$D$7:$N$4330,9,0)))</f>
        <v>42446</v>
      </c>
      <c r="P11" s="618" t="e">
        <f>VLOOKUP(B11,#REF!,13,0)</f>
        <v>#REF!</v>
      </c>
      <c r="Q11" s="556">
        <f>IF(ISERROR(VLOOKUP(C11,'Base de Datos'!$D$7:$N$4330,10,0))=TRUE," ",(VLOOKUP(C11,'Base de Datos'!$D$7:$N$4330,10,0)))</f>
        <v>42451</v>
      </c>
      <c r="R11" s="556">
        <f>IF(ISERROR(VLOOKUP(C11,'Base de Datos'!$D$7:$N$4330,11,0))=TRUE," ",(VLOOKUP(C11,'Base de Datos'!$D$7:$N$4330,11,0)))</f>
        <v>42816</v>
      </c>
      <c r="S11" s="619" t="s">
        <v>981</v>
      </c>
      <c r="T11" s="727"/>
      <c r="U11" s="784"/>
    </row>
    <row r="12" spans="2:26" s="620" customFormat="1" ht="14.25" customHeight="1" outlineLevel="1" x14ac:dyDescent="0.25">
      <c r="B12" s="632">
        <v>116</v>
      </c>
      <c r="C12" s="632" t="str">
        <f t="shared" si="2"/>
        <v>2016116</v>
      </c>
      <c r="D12" s="538" t="str">
        <f>IF(ISERROR(VLOOKUP(C12,'Base de Datos'!$D$7:$F$4345,2,0))=TRUE,"",(VLOOKUP(C12,'Base de Datos'!$D$7:$F$4345,2,0)))</f>
        <v/>
      </c>
      <c r="E12" s="619" t="s">
        <v>2285</v>
      </c>
      <c r="F12" s="585">
        <v>65564000</v>
      </c>
      <c r="G12" s="817">
        <v>42384</v>
      </c>
      <c r="H12" s="817"/>
      <c r="I12" s="838" t="str">
        <f ca="1">IF(H12=Hoja1!$J$2," ",(IF(MONTH(G12)=MONTH(TODAY()),IF(DAY(G12)&gt;DAY(TODAY()),"Quedan "&amp;ABS(DAY(G12)-DAY(TODAY()))&amp;" Días","Hace "&amp;ABS(DAY(G12)-DAY(TODAY()))&amp;" Días"),"")))</f>
        <v>Hace 3 Días</v>
      </c>
      <c r="J12" s="541" t="str">
        <f>IF(ISERROR(VLOOKUP(C12,'Base de Datos'!$D$7:$N$4345,6,0))=TRUE,"Sin Celebrar",(VLOOKUP(C12,'Base de Datos'!$D$7:$N$4345,6,0)))</f>
        <v>Sin Celebrar</v>
      </c>
      <c r="K12" s="617"/>
      <c r="L12" s="541">
        <f t="shared" si="3"/>
        <v>65564000</v>
      </c>
      <c r="M12" s="541" t="str">
        <f t="shared" si="4"/>
        <v xml:space="preserve"> </v>
      </c>
      <c r="N12" s="724" t="str">
        <f>IF(ISERROR(VLOOKUP(C12,'Base de Datos'!$D$7:$K$1048576,7,0))=TRUE," ",(VLOOKUP(C12,'Base de Datos'!$D$7:$K$1048576,7,0)))</f>
        <v xml:space="preserve"> </v>
      </c>
      <c r="O12" s="556" t="str">
        <f>IF(ISERROR(VLOOKUP(C12,'Base de Datos'!$D$7:$N$4330,9,0))=TRUE," ",(VLOOKUP(C12,'Base de Datos'!$D$7:$N$4330,9,0)))</f>
        <v xml:space="preserve"> </v>
      </c>
      <c r="P12" s="618" t="e">
        <f>VLOOKUP(B12,#REF!,13,0)</f>
        <v>#REF!</v>
      </c>
      <c r="Q12" s="556" t="str">
        <f>IF(ISERROR(VLOOKUP(C12,'Base de Datos'!$D$7:$N$4330,10,0))=TRUE," ",(VLOOKUP(C12,'Base de Datos'!$D$7:$N$4330,10,0)))</f>
        <v xml:space="preserve"> </v>
      </c>
      <c r="R12" s="556" t="str">
        <f>IF(ISERROR(VLOOKUP(C12,'Base de Datos'!$D$7:$N$4330,11,0))=TRUE," ",(VLOOKUP(C12,'Base de Datos'!$D$7:$N$4330,11,0)))</f>
        <v xml:space="preserve"> </v>
      </c>
      <c r="S12" s="619" t="s">
        <v>2080</v>
      </c>
      <c r="T12" s="727"/>
      <c r="U12" s="784"/>
    </row>
    <row r="13" spans="2:26" s="620" customFormat="1" ht="14.25" customHeight="1" outlineLevel="1" x14ac:dyDescent="0.25">
      <c r="B13" s="632">
        <v>118</v>
      </c>
      <c r="C13" s="632" t="str">
        <f t="shared" si="2"/>
        <v>2016118</v>
      </c>
      <c r="D13" s="538" t="str">
        <f>IF(ISERROR(VLOOKUP(C13,'Base de Datos'!$D$7:$F$4345,2,0))=TRUE,"",(VLOOKUP(C13,'Base de Datos'!$D$7:$F$4345,2,0)))</f>
        <v/>
      </c>
      <c r="E13" s="619" t="s">
        <v>2285</v>
      </c>
      <c r="F13" s="585">
        <v>61800000</v>
      </c>
      <c r="G13" s="817">
        <v>42379</v>
      </c>
      <c r="H13" s="817"/>
      <c r="I13" s="838" t="str">
        <f ca="1">IF(H13=Hoja1!$J$2," ",(IF(MONTH(G13)=MONTH(TODAY()),IF(DAY(G13)&gt;DAY(TODAY()),"Quedan "&amp;ABS(DAY(G13)-DAY(TODAY()))&amp;" Días","Hace "&amp;ABS(DAY(G13)-DAY(TODAY()))&amp;" Días"),"")))</f>
        <v>Hace 8 Días</v>
      </c>
      <c r="J13" s="541" t="str">
        <f>IF(ISERROR(VLOOKUP(C13,'Base de Datos'!$D$7:$N$4345,6,0))=TRUE,"Sin Celebrar",(VLOOKUP(C13,'Base de Datos'!$D$7:$N$4345,6,0)))</f>
        <v>Sin Celebrar</v>
      </c>
      <c r="K13" s="617"/>
      <c r="L13" s="541">
        <f t="shared" si="3"/>
        <v>61800000</v>
      </c>
      <c r="M13" s="541" t="str">
        <f t="shared" si="4"/>
        <v xml:space="preserve"> </v>
      </c>
      <c r="N13" s="724" t="str">
        <f>IF(ISERROR(VLOOKUP(C13,'Base de Datos'!$D$7:$K$1048576,7,0))=TRUE," ",(VLOOKUP(C13,'Base de Datos'!$D$7:$K$1048576,7,0)))</f>
        <v xml:space="preserve"> </v>
      </c>
      <c r="O13" s="556" t="str">
        <f>IF(ISERROR(VLOOKUP(C13,'Base de Datos'!$D$7:$N$4330,9,0))=TRUE," ",(VLOOKUP(C13,'Base de Datos'!$D$7:$N$4330,9,0)))</f>
        <v xml:space="preserve"> </v>
      </c>
      <c r="P13" s="618" t="e">
        <f>VLOOKUP(B13,#REF!,13,0)</f>
        <v>#REF!</v>
      </c>
      <c r="Q13" s="556" t="str">
        <f>IF(ISERROR(VLOOKUP(C13,'Base de Datos'!$D$7:$N$4330,10,0))=TRUE," ",(VLOOKUP(C13,'Base de Datos'!$D$7:$N$4330,10,0)))</f>
        <v xml:space="preserve"> </v>
      </c>
      <c r="R13" s="556" t="str">
        <f>IF(ISERROR(VLOOKUP(C13,'Base de Datos'!$D$7:$N$4330,11,0))=TRUE," ",(VLOOKUP(C13,'Base de Datos'!$D$7:$N$4330,11,0)))</f>
        <v xml:space="preserve"> </v>
      </c>
      <c r="S13" s="619" t="s">
        <v>2080</v>
      </c>
      <c r="T13" s="727"/>
      <c r="U13" s="784"/>
    </row>
    <row r="14" spans="2:26" s="620" customFormat="1" ht="14.25" customHeight="1" outlineLevel="1" x14ac:dyDescent="0.25">
      <c r="B14" s="632">
        <v>120</v>
      </c>
      <c r="C14" s="632" t="str">
        <f t="shared" si="2"/>
        <v>2016120</v>
      </c>
      <c r="D14" s="538" t="str">
        <f>IF(ISERROR(VLOOKUP(C14,'Base de Datos'!$D$7:$F$4345,2,0))=TRUE,"",(VLOOKUP(C14,'Base de Datos'!$D$7:$F$4345,2,0)))</f>
        <v/>
      </c>
      <c r="E14" s="619" t="s">
        <v>2286</v>
      </c>
      <c r="F14" s="585">
        <v>29177500</v>
      </c>
      <c r="G14" s="817">
        <v>42384</v>
      </c>
      <c r="H14" s="817"/>
      <c r="I14" s="838" t="str">
        <f ca="1">IF(H14=Hoja1!$J$2," ",(IF(MONTH(G14)=MONTH(TODAY()),IF(DAY(G14)&gt;DAY(TODAY()),"Quedan "&amp;ABS(DAY(G14)-DAY(TODAY()))&amp;" Días","Hace "&amp;ABS(DAY(G14)-DAY(TODAY()))&amp;" Días"),"")))</f>
        <v>Hace 3 Días</v>
      </c>
      <c r="J14" s="541" t="str">
        <f>IF(ISERROR(VLOOKUP(C14,'Base de Datos'!$D$7:$N$4345,6,0))=TRUE,"Sin Celebrar",(VLOOKUP(C14,'Base de Datos'!$D$7:$N$4345,6,0)))</f>
        <v>Sin Celebrar</v>
      </c>
      <c r="K14" s="617"/>
      <c r="L14" s="541">
        <f t="shared" si="3"/>
        <v>29177500</v>
      </c>
      <c r="M14" s="541" t="str">
        <f t="shared" si="4"/>
        <v xml:space="preserve"> </v>
      </c>
      <c r="N14" s="724" t="str">
        <f>IF(ISERROR(VLOOKUP(C14,'Base de Datos'!$D$7:$K$1048576,7,0))=TRUE," ",(VLOOKUP(C14,'Base de Datos'!$D$7:$K$1048576,7,0)))</f>
        <v xml:space="preserve"> </v>
      </c>
      <c r="O14" s="556" t="str">
        <f>IF(ISERROR(VLOOKUP(C14,'Base de Datos'!$D$7:$N$4330,9,0))=TRUE," ",(VLOOKUP(C14,'Base de Datos'!$D$7:$N$4330,9,0)))</f>
        <v xml:space="preserve"> </v>
      </c>
      <c r="P14" s="618" t="e">
        <f>VLOOKUP(B14,#REF!,13,0)</f>
        <v>#REF!</v>
      </c>
      <c r="Q14" s="556" t="str">
        <f>IF(ISERROR(VLOOKUP(C14,'Base de Datos'!$D$7:$N$4330,10,0))=TRUE," ",(VLOOKUP(C14,'Base de Datos'!$D$7:$N$4330,10,0)))</f>
        <v xml:space="preserve"> </v>
      </c>
      <c r="R14" s="556" t="str">
        <f>IF(ISERROR(VLOOKUP(C14,'Base de Datos'!$D$7:$N$4330,11,0))=TRUE," ",(VLOOKUP(C14,'Base de Datos'!$D$7:$N$4330,11,0)))</f>
        <v xml:space="preserve"> </v>
      </c>
      <c r="S14" s="619" t="s">
        <v>2080</v>
      </c>
      <c r="T14" s="727"/>
      <c r="U14" s="784"/>
    </row>
    <row r="15" spans="2:26" s="620" customFormat="1" ht="14.25" customHeight="1" outlineLevel="1" x14ac:dyDescent="0.25">
      <c r="B15" s="632">
        <v>119</v>
      </c>
      <c r="C15" s="632" t="str">
        <f t="shared" si="2"/>
        <v>2016119</v>
      </c>
      <c r="D15" s="538" t="str">
        <f>IF(ISERROR(VLOOKUP(C15,'Base de Datos'!$D$7:$F$4345,2,0))=TRUE,"",(VLOOKUP(C15,'Base de Datos'!$D$7:$F$4345,2,0)))</f>
        <v>160072-0-2016</v>
      </c>
      <c r="E15" s="619" t="s">
        <v>2287</v>
      </c>
      <c r="F15" s="585">
        <v>29177500</v>
      </c>
      <c r="G15" s="817">
        <v>42384</v>
      </c>
      <c r="H15" s="817"/>
      <c r="I15" s="838" t="str">
        <f ca="1">IF(H15=Hoja1!$J$2," ",(IF(MONTH(G15)=MONTH(TODAY()),IF(DAY(G15)&gt;DAY(TODAY()),"Quedan "&amp;ABS(DAY(G15)-DAY(TODAY()))&amp;" Días","Hace "&amp;ABS(DAY(G15)-DAY(TODAY()))&amp;" Días"),"")))</f>
        <v>Hace 3 Días</v>
      </c>
      <c r="J15" s="541">
        <f>IF(ISERROR(VLOOKUP(C15,'Base de Datos'!$D$7:$N$4345,6,0))=TRUE,"Sin Celebrar",(VLOOKUP(C15,'Base de Datos'!$D$7:$N$4345,6,0)))</f>
        <v>23872500</v>
      </c>
      <c r="K15" s="617"/>
      <c r="L15" s="541" t="str">
        <f t="shared" si="3"/>
        <v xml:space="preserve"> </v>
      </c>
      <c r="M15" s="541">
        <f t="shared" si="4"/>
        <v>5305000</v>
      </c>
      <c r="N15" s="724" t="str">
        <f>IF(ISERROR(VLOOKUP(C15,'Base de Datos'!$D$7:$K$1048576,7,0))=TRUE," ",(VLOOKUP(C15,'Base de Datos'!$D$7:$K$1048576,7,0)))</f>
        <v>160072-0-2016</v>
      </c>
      <c r="O15" s="556">
        <f>IF(ISERROR(VLOOKUP(C15,'Base de Datos'!$D$7:$N$4330,9,0))=TRUE," ",(VLOOKUP(C15,'Base de Datos'!$D$7:$N$4330,9,0)))</f>
        <v>42473</v>
      </c>
      <c r="P15" s="618" t="e">
        <f>VLOOKUP(B15,#REF!,13,0)</f>
        <v>#REF!</v>
      </c>
      <c r="Q15" s="556">
        <f>IF(ISERROR(VLOOKUP(C15,'Base de Datos'!$D$7:$N$4330,10,0))=TRUE," ",(VLOOKUP(C15,'Base de Datos'!$D$7:$N$4330,10,0)))</f>
        <v>42479</v>
      </c>
      <c r="R15" s="556">
        <f>IF(ISERROR(VLOOKUP(C15,'Base de Datos'!$D$7:$N$4330,11,0))=TRUE," ",(VLOOKUP(C15,'Base de Datos'!$D$7:$N$4330,11,0)))</f>
        <v>42754</v>
      </c>
      <c r="S15" s="619" t="s">
        <v>981</v>
      </c>
      <c r="T15" s="727"/>
      <c r="U15" s="784"/>
    </row>
    <row r="16" spans="2:26" s="620" customFormat="1" ht="14.25" customHeight="1" outlineLevel="1" x14ac:dyDescent="0.25">
      <c r="B16" s="632">
        <v>121</v>
      </c>
      <c r="C16" s="632" t="str">
        <f t="shared" si="2"/>
        <v>2016121</v>
      </c>
      <c r="D16" s="538" t="str">
        <f>IF(ISERROR(VLOOKUP(C16,'Base de Datos'!$D$7:$F$4345,2,0))=TRUE,"",(VLOOKUP(C16,'Base de Datos'!$D$7:$F$4345,2,0)))</f>
        <v>160134-0-2016</v>
      </c>
      <c r="E16" s="619" t="s">
        <v>2288</v>
      </c>
      <c r="F16" s="585">
        <v>65564000</v>
      </c>
      <c r="G16" s="817">
        <v>42384</v>
      </c>
      <c r="H16" s="817"/>
      <c r="I16" s="838" t="str">
        <f ca="1">IF(H16=Hoja1!$J$2," ",(IF(MONTH(G16)=MONTH(TODAY()),IF(DAY(G16)&gt;DAY(TODAY()),"Quedan "&amp;ABS(DAY(G16)-DAY(TODAY()))&amp;" Días","Hace "&amp;ABS(DAY(G16)-DAY(TODAY()))&amp;" Días"),"")))</f>
        <v>Hace 3 Días</v>
      </c>
      <c r="J16" s="541">
        <f>IF(ISERROR(VLOOKUP(C16,'Base de Datos'!$D$7:$N$4345,6,0))=TRUE,"Sin Celebrar",(VLOOKUP(C16,'Base de Datos'!$D$7:$N$4345,6,0)))</f>
        <v>44000000</v>
      </c>
      <c r="K16" s="617"/>
      <c r="L16" s="541" t="str">
        <f t="shared" si="3"/>
        <v xml:space="preserve"> </v>
      </c>
      <c r="M16" s="541">
        <f t="shared" si="4"/>
        <v>21564000</v>
      </c>
      <c r="N16" s="724" t="str">
        <f>IF(ISERROR(VLOOKUP(C16,'Base de Datos'!$D$7:$K$1048576,7,0))=TRUE," ",(VLOOKUP(C16,'Base de Datos'!$D$7:$K$1048576,7,0)))</f>
        <v>160134-0-2016</v>
      </c>
      <c r="O16" s="556">
        <f>IF(ISERROR(VLOOKUP(C16,'Base de Datos'!$D$7:$N$4330,9,0))=TRUE," ",(VLOOKUP(C16,'Base de Datos'!$D$7:$N$4330,9,0)))</f>
        <v>42534</v>
      </c>
      <c r="P16" s="618" t="e">
        <f>VLOOKUP(B16,#REF!,13,0)</f>
        <v>#REF!</v>
      </c>
      <c r="Q16" s="556">
        <f>IF(ISERROR(VLOOKUP(C16,'Base de Datos'!$D$7:$N$4330,10,0))=TRUE," ",(VLOOKUP(C16,'Base de Datos'!$D$7:$N$4330,10,0)))</f>
        <v>42535</v>
      </c>
      <c r="R16" s="556">
        <f>IF(ISERROR(VLOOKUP(C16,'Base de Datos'!$D$7:$N$4330,11,0))=TRUE," ",(VLOOKUP(C16,'Base de Datos'!$D$7:$N$4330,11,0)))</f>
        <v>42779</v>
      </c>
      <c r="S16" s="619" t="s">
        <v>2080</v>
      </c>
      <c r="T16" s="727"/>
      <c r="U16" s="784"/>
    </row>
    <row r="17" spans="2:21" s="620" customFormat="1" ht="24" outlineLevel="1" x14ac:dyDescent="0.25">
      <c r="B17" s="632">
        <v>122</v>
      </c>
      <c r="C17" s="632" t="str">
        <f t="shared" si="2"/>
        <v>2016122</v>
      </c>
      <c r="D17" s="538" t="str">
        <f>IF(ISERROR(VLOOKUP(C17,'Base de Datos'!$D$7:$F$4345,2,0))=TRUE,"",(VLOOKUP(C17,'Base de Datos'!$D$7:$F$4345,2,0)))</f>
        <v/>
      </c>
      <c r="E17" s="619" t="s">
        <v>2285</v>
      </c>
      <c r="F17" s="585">
        <v>86520000</v>
      </c>
      <c r="G17" s="817">
        <v>42374</v>
      </c>
      <c r="H17" s="817"/>
      <c r="I17" s="838" t="str">
        <f ca="1">IF(H17=Hoja1!$J$2," ",(IF(MONTH(G17)=MONTH(TODAY()),IF(DAY(G17)&gt;DAY(TODAY()),"Quedan "&amp;ABS(DAY(G17)-DAY(TODAY()))&amp;" Días","Hace "&amp;ABS(DAY(G17)-DAY(TODAY()))&amp;" Días"),"")))</f>
        <v>Hace 13 Días</v>
      </c>
      <c r="J17" s="541" t="str">
        <f>IF(ISERROR(VLOOKUP(C17,'Base de Datos'!$D$7:$N$4345,6,0))=TRUE,"Sin Celebrar",(VLOOKUP(C17,'Base de Datos'!$D$7:$N$4345,6,0)))</f>
        <v>Sin Celebrar</v>
      </c>
      <c r="K17" s="617"/>
      <c r="L17" s="541">
        <f t="shared" si="3"/>
        <v>86520000</v>
      </c>
      <c r="M17" s="541" t="str">
        <f t="shared" si="4"/>
        <v xml:space="preserve"> </v>
      </c>
      <c r="N17" s="724" t="str">
        <f>IF(ISERROR(VLOOKUP(C17,'Base de Datos'!$D$7:$K$1048576,7,0))=TRUE," ",(VLOOKUP(C17,'Base de Datos'!$D$7:$K$1048576,7,0)))</f>
        <v xml:space="preserve"> </v>
      </c>
      <c r="O17" s="556" t="str">
        <f>IF(ISERROR(VLOOKUP(C17,'Base de Datos'!$D$7:$N$4330,9,0))=TRUE," ",(VLOOKUP(C17,'Base de Datos'!$D$7:$N$4330,9,0)))</f>
        <v xml:space="preserve"> </v>
      </c>
      <c r="P17" s="618" t="e">
        <f>VLOOKUP(B17,#REF!,13,0)</f>
        <v>#REF!</v>
      </c>
      <c r="Q17" s="556" t="str">
        <f>IF(ISERROR(VLOOKUP(C17,'Base de Datos'!$D$7:$N$4330,10,0))=TRUE," ",(VLOOKUP(C17,'Base de Datos'!$D$7:$N$4330,10,0)))</f>
        <v xml:space="preserve"> </v>
      </c>
      <c r="R17" s="556" t="str">
        <f>IF(ISERROR(VLOOKUP(C17,'Base de Datos'!$D$7:$N$4330,11,0))=TRUE," ",(VLOOKUP(C17,'Base de Datos'!$D$7:$N$4330,11,0)))</f>
        <v xml:space="preserve"> </v>
      </c>
      <c r="S17" s="619" t="s">
        <v>981</v>
      </c>
      <c r="T17" s="727"/>
      <c r="U17" s="784"/>
    </row>
    <row r="18" spans="2:21" s="620" customFormat="1" ht="24" outlineLevel="1" x14ac:dyDescent="0.25">
      <c r="B18" s="632">
        <v>123</v>
      </c>
      <c r="C18" s="632" t="str">
        <f t="shared" si="2"/>
        <v>2016123</v>
      </c>
      <c r="D18" s="538" t="str">
        <f>IF(ISERROR(VLOOKUP(C18,'Base de Datos'!$D$7:$F$4345,2,0))=TRUE,"",(VLOOKUP(C18,'Base de Datos'!$D$7:$F$4345,2,0)))</f>
        <v/>
      </c>
      <c r="E18" s="619" t="s">
        <v>2289</v>
      </c>
      <c r="F18" s="585">
        <v>44562000</v>
      </c>
      <c r="G18" s="817">
        <v>42379</v>
      </c>
      <c r="H18" s="817"/>
      <c r="I18" s="838" t="str">
        <f ca="1">IF(H18=Hoja1!$J$2," ",(IF(MONTH(G18)=MONTH(TODAY()),IF(DAY(G18)&gt;DAY(TODAY()),"Quedan "&amp;ABS(DAY(G18)-DAY(TODAY()))&amp;" Días","Hace "&amp;ABS(DAY(G18)-DAY(TODAY()))&amp;" Días"),"")))</f>
        <v>Hace 8 Días</v>
      </c>
      <c r="J18" s="541" t="str">
        <f>IF(ISERROR(VLOOKUP(C18,'Base de Datos'!$D$7:$N$4345,6,0))=TRUE,"Sin Celebrar",(VLOOKUP(C18,'Base de Datos'!$D$7:$N$4345,6,0)))</f>
        <v>Sin Celebrar</v>
      </c>
      <c r="K18" s="617"/>
      <c r="L18" s="541">
        <f t="shared" si="3"/>
        <v>44562000</v>
      </c>
      <c r="M18" s="541" t="str">
        <f t="shared" si="4"/>
        <v xml:space="preserve"> </v>
      </c>
      <c r="N18" s="724" t="str">
        <f>IF(ISERROR(VLOOKUP(C18,'Base de Datos'!$D$7:$K$1048576,7,0))=TRUE," ",(VLOOKUP(C18,'Base de Datos'!$D$7:$K$1048576,7,0)))</f>
        <v xml:space="preserve"> </v>
      </c>
      <c r="O18" s="556" t="str">
        <f>IF(ISERROR(VLOOKUP(C18,'Base de Datos'!$D$7:$N$4330,9,0))=TRUE," ",(VLOOKUP(C18,'Base de Datos'!$D$7:$N$4330,9,0)))</f>
        <v xml:space="preserve"> </v>
      </c>
      <c r="P18" s="618" t="e">
        <f>VLOOKUP(B18,#REF!,13,0)</f>
        <v>#REF!</v>
      </c>
      <c r="Q18" s="556" t="str">
        <f>IF(ISERROR(VLOOKUP(C18,'Base de Datos'!$D$7:$N$4330,10,0))=TRUE," ",(VLOOKUP(C18,'Base de Datos'!$D$7:$N$4330,10,0)))</f>
        <v xml:space="preserve"> </v>
      </c>
      <c r="R18" s="556" t="str">
        <f>IF(ISERROR(VLOOKUP(C18,'Base de Datos'!$D$7:$N$4330,11,0))=TRUE," ",(VLOOKUP(C18,'Base de Datos'!$D$7:$N$4330,11,0)))</f>
        <v xml:space="preserve"> </v>
      </c>
      <c r="S18" s="619" t="s">
        <v>2080</v>
      </c>
      <c r="T18" s="727"/>
      <c r="U18" s="784"/>
    </row>
    <row r="19" spans="2:21" s="620" customFormat="1" ht="24" outlineLevel="1" x14ac:dyDescent="0.25">
      <c r="B19" s="632">
        <v>124</v>
      </c>
      <c r="C19" s="632" t="str">
        <f t="shared" si="2"/>
        <v>2016124</v>
      </c>
      <c r="D19" s="538" t="str">
        <f>IF(ISERROR(VLOOKUP(C19,'Base de Datos'!$D$7:$F$4345,2,0))=TRUE,"",(VLOOKUP(C19,'Base de Datos'!$D$7:$F$4345,2,0)))</f>
        <v>160162-0-2016</v>
      </c>
      <c r="E19" s="619" t="s">
        <v>2290</v>
      </c>
      <c r="F19" s="585">
        <v>65564000</v>
      </c>
      <c r="G19" s="817">
        <v>42358</v>
      </c>
      <c r="H19" s="817"/>
      <c r="I19" s="838" t="str">
        <f ca="1">IF(H19=Hoja1!$J$2," ",(IF(MONTH(G19)=MONTH(TODAY()),IF(DAY(G19)&gt;DAY(TODAY()),"Quedan "&amp;ABS(DAY(G19)-DAY(TODAY()))&amp;" Días","Hace "&amp;ABS(DAY(G19)-DAY(TODAY()))&amp;" Días"),"")))</f>
        <v/>
      </c>
      <c r="J19" s="541">
        <f>IF(ISERROR(VLOOKUP(C19,'Base de Datos'!$D$7:$N$4345,6,0))=TRUE,"Sin Celebrar",(VLOOKUP(C19,'Base de Datos'!$D$7:$N$4345,6,0)))</f>
        <v>38500000</v>
      </c>
      <c r="K19" s="617"/>
      <c r="L19" s="541" t="str">
        <f t="shared" si="3"/>
        <v xml:space="preserve"> </v>
      </c>
      <c r="M19" s="541">
        <f t="shared" si="4"/>
        <v>27064000</v>
      </c>
      <c r="N19" s="724" t="str">
        <f>IF(ISERROR(VLOOKUP(C19,'Base de Datos'!$D$7:$K$1048576,7,0))=TRUE," ",(VLOOKUP(C19,'Base de Datos'!$D$7:$K$1048576,7,0)))</f>
        <v>160162-0-2016</v>
      </c>
      <c r="O19" s="556">
        <f>IF(ISERROR(VLOOKUP(C19,'Base de Datos'!$D$7:$N$4330,9,0))=TRUE," ",(VLOOKUP(C19,'Base de Datos'!$D$7:$N$4330,9,0)))</f>
        <v>42558</v>
      </c>
      <c r="P19" s="618" t="e">
        <f>VLOOKUP(B19,#REF!,13,0)</f>
        <v>#REF!</v>
      </c>
      <c r="Q19" s="556">
        <f>IF(ISERROR(VLOOKUP(C19,'Base de Datos'!$D$7:$N$4330,10,0))=TRUE," ",(VLOOKUP(C19,'Base de Datos'!$D$7:$N$4330,10,0)))</f>
        <v>42563</v>
      </c>
      <c r="R19" s="556">
        <f>IF(ISERROR(VLOOKUP(C19,'Base de Datos'!$D$7:$N$4330,11,0))=TRUE," ",(VLOOKUP(C19,'Base de Datos'!$D$7:$N$4330,11,0)))</f>
        <v>42778</v>
      </c>
      <c r="S19" s="619"/>
      <c r="T19" s="727"/>
      <c r="U19" s="784"/>
    </row>
    <row r="20" spans="2:21" s="620" customFormat="1" ht="24" outlineLevel="1" x14ac:dyDescent="0.25">
      <c r="B20" s="632">
        <v>125</v>
      </c>
      <c r="C20" s="632" t="str">
        <f t="shared" si="2"/>
        <v>2016125</v>
      </c>
      <c r="D20" s="538" t="str">
        <f>IF(ISERROR(VLOOKUP(C20,'Base de Datos'!$D$7:$F$4345,2,0))=TRUE,"",(VLOOKUP(C20,'Base de Datos'!$D$7:$F$4345,2,0)))</f>
        <v>160092-0-2016</v>
      </c>
      <c r="E20" s="619" t="s">
        <v>2291</v>
      </c>
      <c r="F20" s="585">
        <v>44496000</v>
      </c>
      <c r="G20" s="817">
        <v>42374</v>
      </c>
      <c r="H20" s="817"/>
      <c r="I20" s="838" t="str">
        <f ca="1">IF(H20=Hoja1!$J$2," ",(IF(MONTH(G20)=MONTH(TODAY()),IF(DAY(G20)&gt;DAY(TODAY()),"Quedan "&amp;ABS(DAY(G20)-DAY(TODAY()))&amp;" Días","Hace "&amp;ABS(DAY(G20)-DAY(TODAY()))&amp;" Días"),"")))</f>
        <v>Hace 13 Días</v>
      </c>
      <c r="J20" s="541">
        <f>IF(ISERROR(VLOOKUP(C20,'Base de Datos'!$D$7:$N$4345,6,0))=TRUE,"Sin Celebrar",(VLOOKUP(C20,'Base de Datos'!$D$7:$N$4345,6,0)))</f>
        <v>29664000</v>
      </c>
      <c r="K20" s="617"/>
      <c r="L20" s="541" t="str">
        <f t="shared" si="3"/>
        <v xml:space="preserve"> </v>
      </c>
      <c r="M20" s="541">
        <f t="shared" si="4"/>
        <v>14832000</v>
      </c>
      <c r="N20" s="724" t="str">
        <f>IF(ISERROR(VLOOKUP(C20,'Base de Datos'!$D$7:$K$1048576,7,0))=TRUE," ",(VLOOKUP(C20,'Base de Datos'!$D$7:$K$1048576,7,0)))</f>
        <v>150092-0-2015</v>
      </c>
      <c r="O20" s="556">
        <f>IF(ISERROR(VLOOKUP(C20,'Base de Datos'!$D$7:$N$4330,9,0))=TRUE," ",(VLOOKUP(C20,'Base de Datos'!$D$7:$N$4330,9,0)))</f>
        <v>42493</v>
      </c>
      <c r="P20" s="618" t="e">
        <f>VLOOKUP(B20,#REF!,13,0)</f>
        <v>#REF!</v>
      </c>
      <c r="Q20" s="556">
        <f>IF(ISERROR(VLOOKUP(C20,'Base de Datos'!$D$7:$N$4330,10,0))=TRUE," ",(VLOOKUP(C20,'Base de Datos'!$D$7:$N$4330,10,0)))</f>
        <v>42494</v>
      </c>
      <c r="R20" s="556">
        <f>IF(ISERROR(VLOOKUP(C20,'Base de Datos'!$D$7:$N$4330,11,0))=TRUE," ",(VLOOKUP(C20,'Base de Datos'!$D$7:$N$4330,11,0)))</f>
        <v>42739</v>
      </c>
      <c r="S20" s="619" t="s">
        <v>2080</v>
      </c>
      <c r="T20" s="727"/>
      <c r="U20" s="784"/>
    </row>
    <row r="21" spans="2:21" s="620" customFormat="1" ht="24" outlineLevel="1" x14ac:dyDescent="0.25">
      <c r="B21" s="632">
        <v>126</v>
      </c>
      <c r="C21" s="632" t="str">
        <f t="shared" si="2"/>
        <v>2016126</v>
      </c>
      <c r="D21" s="538" t="str">
        <f>IF(ISERROR(VLOOKUP(C21,'Base de Datos'!$D$7:$F$4345,2,0))=TRUE,"",(VLOOKUP(C21,'Base de Datos'!$D$7:$F$4345,2,0)))</f>
        <v>160101-0-2016</v>
      </c>
      <c r="E21" s="619" t="s">
        <v>2292</v>
      </c>
      <c r="F21" s="585">
        <v>65564000</v>
      </c>
      <c r="G21" s="817">
        <v>42374</v>
      </c>
      <c r="H21" s="817"/>
      <c r="I21" s="838" t="str">
        <f ca="1">IF(H21=Hoja1!$J$2," ",(IF(MONTH(G21)=MONTH(TODAY()),IF(DAY(G21)&gt;DAY(TODAY()),"Quedan "&amp;ABS(DAY(G21)-DAY(TODAY()))&amp;" Días","Hace "&amp;ABS(DAY(G21)-DAY(TODAY()))&amp;" Días"),"")))</f>
        <v>Hace 13 Días</v>
      </c>
      <c r="J21" s="541">
        <f>IF(ISERROR(VLOOKUP(C21,'Base de Datos'!$D$7:$N$4345,6,0))=TRUE,"Sin Celebrar",(VLOOKUP(C21,'Base de Datos'!$D$7:$N$4345,6,0)))</f>
        <v>44000000</v>
      </c>
      <c r="K21" s="617"/>
      <c r="L21" s="541" t="str">
        <f t="shared" si="3"/>
        <v xml:space="preserve"> </v>
      </c>
      <c r="M21" s="541">
        <f t="shared" si="4"/>
        <v>21564000</v>
      </c>
      <c r="N21" s="724" t="str">
        <f>IF(ISERROR(VLOOKUP(C21,'Base de Datos'!$D$7:$K$1048576,7,0))=TRUE," ",(VLOOKUP(C21,'Base de Datos'!$D$7:$K$1048576,7,0)))</f>
        <v>160101-0-2016</v>
      </c>
      <c r="O21" s="556">
        <f>IF(ISERROR(VLOOKUP(C21,'Base de Datos'!$D$7:$N$4330,9,0))=TRUE," ",(VLOOKUP(C21,'Base de Datos'!$D$7:$N$4330,9,0)))</f>
        <v>42506</v>
      </c>
      <c r="P21" s="618" t="e">
        <f>VLOOKUP(B21,#REF!,13,0)</f>
        <v>#REF!</v>
      </c>
      <c r="Q21" s="556">
        <f>IF(ISERROR(VLOOKUP(C21,'Base de Datos'!$D$7:$N$4330,10,0))=TRUE," ",(VLOOKUP(C21,'Base de Datos'!$D$7:$N$4330,10,0)))</f>
        <v>42510</v>
      </c>
      <c r="R21" s="556">
        <f>IF(ISERROR(VLOOKUP(C21,'Base de Datos'!$D$7:$N$4330,11,0))=TRUE," ",(VLOOKUP(C21,'Base de Datos'!$D$7:$N$4330,11,0)))</f>
        <v>42755</v>
      </c>
      <c r="S21" s="619" t="s">
        <v>2080</v>
      </c>
      <c r="T21" s="727"/>
      <c r="U21" s="784"/>
    </row>
    <row r="22" spans="2:21" s="620" customFormat="1" ht="24" outlineLevel="1" x14ac:dyDescent="0.25">
      <c r="B22" s="632">
        <v>127</v>
      </c>
      <c r="C22" s="632" t="str">
        <f t="shared" si="2"/>
        <v>2016127</v>
      </c>
      <c r="D22" s="538" t="str">
        <f>IF(ISERROR(VLOOKUP(C22,'Base de Datos'!$D$7:$F$4345,2,0))=TRUE,"",(VLOOKUP(C22,'Base de Datos'!$D$7:$F$4345,2,0)))</f>
        <v/>
      </c>
      <c r="E22" s="619" t="s">
        <v>2293</v>
      </c>
      <c r="F22" s="585">
        <v>65564000</v>
      </c>
      <c r="G22" s="817">
        <v>42353</v>
      </c>
      <c r="H22" s="817"/>
      <c r="I22" s="838" t="str">
        <f ca="1">IF(H22=Hoja1!$J$2," ",(IF(MONTH(G22)=MONTH(TODAY()),IF(DAY(G22)&gt;DAY(TODAY()),"Quedan "&amp;ABS(DAY(G22)-DAY(TODAY()))&amp;" Días","Hace "&amp;ABS(DAY(G22)-DAY(TODAY()))&amp;" Días"),"")))</f>
        <v/>
      </c>
      <c r="J22" s="541" t="str">
        <f>IF(ISERROR(VLOOKUP(C22,'Base de Datos'!$D$7:$N$4345,6,0))=TRUE,"Sin Celebrar",(VLOOKUP(C22,'Base de Datos'!$D$7:$N$4345,6,0)))</f>
        <v>Sin Celebrar</v>
      </c>
      <c r="K22" s="617"/>
      <c r="L22" s="541">
        <f t="shared" si="3"/>
        <v>65564000</v>
      </c>
      <c r="M22" s="541" t="str">
        <f t="shared" si="4"/>
        <v xml:space="preserve"> </v>
      </c>
      <c r="N22" s="724" t="str">
        <f>IF(ISERROR(VLOOKUP(C22,'Base de Datos'!$D$7:$K$1048576,7,0))=TRUE," ",(VLOOKUP(C22,'Base de Datos'!$D$7:$K$1048576,7,0)))</f>
        <v xml:space="preserve"> </v>
      </c>
      <c r="O22" s="556" t="str">
        <f>IF(ISERROR(VLOOKUP(C22,'Base de Datos'!$D$7:$N$4330,9,0))=TRUE," ",(VLOOKUP(C22,'Base de Datos'!$D$7:$N$4330,9,0)))</f>
        <v xml:space="preserve"> </v>
      </c>
      <c r="P22" s="618" t="e">
        <f>VLOOKUP(B22,#REF!,13,0)</f>
        <v>#REF!</v>
      </c>
      <c r="Q22" s="556" t="str">
        <f>IF(ISERROR(VLOOKUP(C22,'Base de Datos'!$D$7:$N$4330,10,0))=TRUE," ",(VLOOKUP(C22,'Base de Datos'!$D$7:$N$4330,10,0)))</f>
        <v xml:space="preserve"> </v>
      </c>
      <c r="R22" s="556" t="str">
        <f>IF(ISERROR(VLOOKUP(C22,'Base de Datos'!$D$7:$N$4330,11,0))=TRUE," ",(VLOOKUP(C22,'Base de Datos'!$D$7:$N$4330,11,0)))</f>
        <v xml:space="preserve"> </v>
      </c>
      <c r="S22" s="619"/>
      <c r="T22" s="727"/>
      <c r="U22" s="784"/>
    </row>
    <row r="23" spans="2:21" s="620" customFormat="1" ht="24" outlineLevel="1" x14ac:dyDescent="0.25">
      <c r="B23" s="632">
        <v>83</v>
      </c>
      <c r="C23" s="632" t="str">
        <f t="shared" si="2"/>
        <v>201683</v>
      </c>
      <c r="D23" s="538"/>
      <c r="E23" s="619" t="s">
        <v>2397</v>
      </c>
      <c r="F23" s="585">
        <v>39552000</v>
      </c>
      <c r="G23" s="817">
        <v>42036</v>
      </c>
      <c r="H23" s="817"/>
      <c r="I23" s="838" t="str">
        <f ca="1">IF(H23=Hoja1!$J$2," ",(IF(MONTH(G23)=MONTH(TODAY()),IF(DAY(G23)&gt;DAY(TODAY()),"Quedan "&amp;ABS(DAY(G23)-DAY(TODAY()))&amp;" Días","Hace "&amp;ABS(DAY(G23)-DAY(TODAY()))&amp;" Días"),"")))</f>
        <v/>
      </c>
      <c r="J23" s="541">
        <f>IF(ISERROR(VLOOKUP(C23,'Base de Datos'!$D$7:$N$4345,6,0))=TRUE,"Sin Celebrar",(VLOOKUP(C23,'Base de Datos'!$D$7:$N$4345,6,0)))</f>
        <v>29664000</v>
      </c>
      <c r="K23" s="617"/>
      <c r="L23" s="541" t="str">
        <f>IF(J23=$W$7,F23, " ")</f>
        <v xml:space="preserve"> </v>
      </c>
      <c r="M23" s="541"/>
      <c r="N23" s="724"/>
      <c r="O23" s="556">
        <f>IF(ISERROR(VLOOKUP(C23,'Base de Datos'!$D$7:$N$4330,9,0))=TRUE," ",(VLOOKUP(C23,'Base de Datos'!$D$7:$N$4330,9,0)))</f>
        <v>42514</v>
      </c>
      <c r="P23" s="618" t="e">
        <f>VLOOKUP(B23,#REF!,13,0)</f>
        <v>#REF!</v>
      </c>
      <c r="Q23" s="556"/>
      <c r="R23" s="556"/>
      <c r="S23" s="619"/>
      <c r="T23" s="727"/>
      <c r="U23" s="784"/>
    </row>
    <row r="24" spans="2:21" s="620" customFormat="1" ht="24" outlineLevel="1" x14ac:dyDescent="0.25">
      <c r="B24" s="632">
        <v>82</v>
      </c>
      <c r="C24" s="632" t="str">
        <f t="shared" si="2"/>
        <v>201682</v>
      </c>
      <c r="D24" s="538"/>
      <c r="E24" s="619" t="s">
        <v>2396</v>
      </c>
      <c r="F24" s="585">
        <v>49440000</v>
      </c>
      <c r="G24" s="817">
        <v>42387</v>
      </c>
      <c r="H24" s="817"/>
      <c r="I24" s="838" t="str">
        <f ca="1">IF(H24=Hoja1!$J$2," ",(IF(MONTH(G24)=MONTH(TODAY()),IF(DAY(G24)&gt;DAY(TODAY()),"Quedan "&amp;ABS(DAY(G24)-DAY(TODAY()))&amp;" Días","Hace "&amp;ABS(DAY(G24)-DAY(TODAY()))&amp;" Días"),"")))</f>
        <v>Hace 0 Días</v>
      </c>
      <c r="J24" s="541">
        <f>IF(ISERROR(VLOOKUP(C24,'Base de Datos'!$D$7:$N$4345,6,0))=TRUE,"Sin Celebrar",(VLOOKUP(C24,'Base de Datos'!$D$7:$N$4345,6,0)))</f>
        <v>37080000</v>
      </c>
      <c r="K24" s="617"/>
      <c r="L24" s="541" t="str">
        <f t="shared" si="3"/>
        <v xml:space="preserve"> </v>
      </c>
      <c r="M24" s="541"/>
      <c r="N24" s="724"/>
      <c r="O24" s="556">
        <f>IF(ISERROR(VLOOKUP(C24,'Base de Datos'!$D$7:$N$4330,9,0))=TRUE," ",(VLOOKUP(C24,'Base de Datos'!$D$7:$N$4330,9,0)))</f>
        <v>42514</v>
      </c>
      <c r="P24" s="618" t="e">
        <f>VLOOKUP(B24,#REF!,13,0)</f>
        <v>#REF!</v>
      </c>
      <c r="Q24" s="556"/>
      <c r="R24" s="556"/>
      <c r="S24" s="619" t="s">
        <v>981</v>
      </c>
      <c r="T24" s="727"/>
      <c r="U24" s="784"/>
    </row>
    <row r="25" spans="2:21" s="620" customFormat="1" ht="24" outlineLevel="1" x14ac:dyDescent="0.25">
      <c r="B25" s="632">
        <v>128</v>
      </c>
      <c r="C25" s="632" t="str">
        <f t="shared" si="2"/>
        <v>2016128</v>
      </c>
      <c r="D25" s="538"/>
      <c r="E25" s="619" t="s">
        <v>2398</v>
      </c>
      <c r="F25" s="585">
        <v>6860000</v>
      </c>
      <c r="G25" s="817">
        <v>42583</v>
      </c>
      <c r="H25" s="817"/>
      <c r="I25" s="838" t="str">
        <f ca="1">IF(H25=Hoja1!$J$2," ",(IF(MONTH(G25)=MONTH(TODAY()),IF(DAY(G25)&gt;DAY(TODAY()),"Quedan "&amp;ABS(DAY(G25)-DAY(TODAY()))&amp;" Días","Hace "&amp;ABS(DAY(G25)-DAY(TODAY()))&amp;" Días"),"")))</f>
        <v/>
      </c>
      <c r="J25" s="541">
        <f>IF(ISERROR(VLOOKUP(C25,'Base de Datos'!$D$7:$N$4345,6,0))=TRUE,"Sin Celebrar",(VLOOKUP(C25,'Base de Datos'!$D$7:$N$4345,6,0)))</f>
        <v>6860000</v>
      </c>
      <c r="K25" s="617"/>
      <c r="L25" s="541" t="str">
        <f>IF(J25=$W$7,F25, " ")</f>
        <v xml:space="preserve"> </v>
      </c>
      <c r="M25" s="541"/>
      <c r="N25" s="724"/>
      <c r="O25" s="556">
        <f>IF(ISERROR(VLOOKUP(C25,'Base de Datos'!$D$7:$N$4330,9,0))=TRUE," ",(VLOOKUP(C25,'Base de Datos'!$D$7:$N$4330,9,0)))</f>
        <v>42710</v>
      </c>
      <c r="P25" s="618" t="e">
        <f>VLOOKUP(B25,#REF!,13,0)</f>
        <v>#REF!</v>
      </c>
      <c r="Q25" s="556"/>
      <c r="R25" s="556"/>
      <c r="S25" s="619"/>
      <c r="T25" s="727"/>
      <c r="U25" s="784"/>
    </row>
    <row r="26" spans="2:21" s="620" customFormat="1" ht="24" outlineLevel="1" x14ac:dyDescent="0.25">
      <c r="B26" s="632">
        <v>129</v>
      </c>
      <c r="C26" s="632" t="str">
        <f t="shared" si="2"/>
        <v>2016129</v>
      </c>
      <c r="D26" s="538" t="str">
        <f>IF(ISERROR(VLOOKUP(C26,'Base de Datos'!$D$7:$F$4345,2,0))=TRUE,"",(VLOOKUP(C26,'Base de Datos'!$D$7:$F$4345,2,0)))</f>
        <v/>
      </c>
      <c r="E26" s="619" t="s">
        <v>2294</v>
      </c>
      <c r="F26" s="585">
        <v>7946000</v>
      </c>
      <c r="G26" s="817">
        <v>42449</v>
      </c>
      <c r="H26" s="817"/>
      <c r="I26" s="838" t="str">
        <f ca="1">IF(H26=Hoja1!$J$2," ",(IF(MONTH(G26)=MONTH(TODAY()),IF(DAY(G26)&gt;DAY(TODAY()),"Quedan "&amp;ABS(DAY(G26)-DAY(TODAY()))&amp;" Días","Hace "&amp;ABS(DAY(G26)-DAY(TODAY()))&amp;" Días"),"")))</f>
        <v/>
      </c>
      <c r="J26" s="541" t="str">
        <f>IF(ISERROR(VLOOKUP(C26,'Base de Datos'!$D$7:$N$4345,6,0))=TRUE,"Sin Celebrar",(VLOOKUP(C26,'Base de Datos'!$D$7:$N$4345,6,0)))</f>
        <v>Sin Celebrar</v>
      </c>
      <c r="K26" s="617"/>
      <c r="L26" s="541">
        <f t="shared" si="3"/>
        <v>7946000</v>
      </c>
      <c r="M26" s="541" t="str">
        <f t="shared" si="4"/>
        <v xml:space="preserve"> </v>
      </c>
      <c r="N26" s="724" t="str">
        <f>IF(ISERROR(VLOOKUP(C26,'Base de Datos'!$D$7:$K$1048576,7,0))=TRUE," ",(VLOOKUP(C26,'Base de Datos'!$D$7:$K$1048576,7,0)))</f>
        <v xml:space="preserve"> </v>
      </c>
      <c r="O26" s="556" t="str">
        <f>IF(ISERROR(VLOOKUP(C26,'Base de Datos'!$D$7:$N$4330,9,0))=TRUE," ",(VLOOKUP(C26,'Base de Datos'!$D$7:$N$4330,9,0)))</f>
        <v xml:space="preserve"> </v>
      </c>
      <c r="P26" s="618" t="e">
        <f>VLOOKUP(B26,#REF!,13,0)</f>
        <v>#REF!</v>
      </c>
      <c r="Q26" s="556" t="str">
        <f>IF(ISERROR(VLOOKUP(C26,'Base de Datos'!$D$7:$N$4330,10,0))=TRUE," ",(VLOOKUP(C26,'Base de Datos'!$D$7:$N$4330,10,0)))</f>
        <v xml:space="preserve"> </v>
      </c>
      <c r="R26" s="556" t="str">
        <f>IF(ISERROR(VLOOKUP(C26,'Base de Datos'!$D$7:$N$4330,11,0))=TRUE," ",(VLOOKUP(C26,'Base de Datos'!$D$7:$N$4330,11,0)))</f>
        <v xml:space="preserve"> </v>
      </c>
      <c r="S26" s="619" t="s">
        <v>2356</v>
      </c>
      <c r="T26" s="727"/>
      <c r="U26" s="784"/>
    </row>
    <row r="27" spans="2:21" s="620" customFormat="1" ht="36" outlineLevel="1" x14ac:dyDescent="0.25">
      <c r="B27" s="711">
        <v>130</v>
      </c>
      <c r="C27" s="632" t="str">
        <f t="shared" si="2"/>
        <v>2016130</v>
      </c>
      <c r="D27" s="538" t="str">
        <f>IF(ISERROR(VLOOKUP(C27,'Base de Datos'!$D$7:$F$4345,2,0))=TRUE,"",(VLOOKUP(C27,'Base de Datos'!$D$7:$F$4345,2,0)))</f>
        <v/>
      </c>
      <c r="E27" s="619" t="s">
        <v>2295</v>
      </c>
      <c r="F27" s="713">
        <v>4000000</v>
      </c>
      <c r="G27" s="820">
        <v>42461</v>
      </c>
      <c r="H27" s="817"/>
      <c r="I27" s="838" t="str">
        <f ca="1">IF(H27=Hoja1!$J$2," ",(IF(MONTH(G27)=MONTH(TODAY()),IF(DAY(G27)&gt;DAY(TODAY()),"Quedan "&amp;ABS(DAY(G27)-DAY(TODAY()))&amp;" Días","Hace "&amp;ABS(DAY(G27)-DAY(TODAY()))&amp;" Días"),"")))</f>
        <v/>
      </c>
      <c r="J27" s="541" t="str">
        <f>IF(ISERROR(VLOOKUP(C27,'Base de Datos'!$D$7:$N$4345,6,0))=TRUE,"Sin Celebrar",(VLOOKUP(C27,'Base de Datos'!$D$7:$N$4345,6,0)))</f>
        <v>Sin Celebrar</v>
      </c>
      <c r="K27" s="714"/>
      <c r="L27" s="541">
        <f t="shared" si="3"/>
        <v>4000000</v>
      </c>
      <c r="M27" s="541" t="str">
        <f t="shared" si="4"/>
        <v xml:space="preserve"> </v>
      </c>
      <c r="N27" s="724" t="str">
        <f>IF(ISERROR(VLOOKUP(C27,'Base de Datos'!$D$7:$K$1048576,7,0))=TRUE," ",(VLOOKUP(C27,'Base de Datos'!$D$7:$K$1048576,7,0)))</f>
        <v xml:space="preserve"> </v>
      </c>
      <c r="O27" s="556" t="str">
        <f>IF(ISERROR(VLOOKUP(C27,'Base de Datos'!$D$7:$N$4330,9,0))=TRUE," ",(VLOOKUP(C27,'Base de Datos'!$D$7:$N$4330,9,0)))</f>
        <v xml:space="preserve"> </v>
      </c>
      <c r="P27" s="618" t="e">
        <f>VLOOKUP(B27,#REF!,13,0)</f>
        <v>#REF!</v>
      </c>
      <c r="Q27" s="556" t="str">
        <f>IF(ISERROR(VLOOKUP(C27,'Base de Datos'!$D$7:$N$4330,10,0))=TRUE," ",(VLOOKUP(C27,'Base de Datos'!$D$7:$N$4330,10,0)))</f>
        <v xml:space="preserve"> </v>
      </c>
      <c r="R27" s="556" t="str">
        <f>IF(ISERROR(VLOOKUP(C27,'Base de Datos'!$D$7:$N$4330,11,0))=TRUE," ",(VLOOKUP(C27,'Base de Datos'!$D$7:$N$4330,11,0)))</f>
        <v xml:space="preserve"> </v>
      </c>
      <c r="S27" s="619" t="s">
        <v>2356</v>
      </c>
      <c r="T27" s="727"/>
      <c r="U27" s="784"/>
    </row>
    <row r="28" spans="2:21" s="620" customFormat="1" outlineLevel="1" x14ac:dyDescent="0.25">
      <c r="B28" s="711"/>
      <c r="C28" s="632"/>
      <c r="D28" s="712"/>
      <c r="E28" s="619" t="s">
        <v>1938</v>
      </c>
      <c r="F28" s="585"/>
      <c r="G28" s="817"/>
      <c r="H28" s="817"/>
      <c r="I28" s="539"/>
      <c r="J28" s="585"/>
      <c r="K28" s="714"/>
      <c r="L28" s="585" t="str">
        <f>IF(J28=$Z$1,F28, " ")</f>
        <v xml:space="preserve"> </v>
      </c>
      <c r="M28" s="585" t="str">
        <f t="shared" si="4"/>
        <v xml:space="preserve"> </v>
      </c>
      <c r="N28" s="814"/>
      <c r="O28" s="618" t="str">
        <f>IF(ISERROR(VLOOKUP(B28,'Base de Datos'!$C$7:$N$315,9,0))=TRUE," ",(VLOOKUP(B28,'Base de Datos'!$C$7:$N$315,9,0)))</f>
        <v xml:space="preserve"> </v>
      </c>
      <c r="P28" s="712"/>
      <c r="Q28" s="618" t="str">
        <f>IF(ISERROR(VLOOKUP(B28,'Base de Datos'!$C$7:$N$315,10,0))=TRUE," ",(VLOOKUP(B28,'Base de Datos'!$C$7:$N$315,10,0)))</f>
        <v xml:space="preserve"> </v>
      </c>
      <c r="R28" s="618" t="str">
        <f>IF(ISERROR(VLOOKUP(B28,'Base de Datos'!$C$7:$N$315,11,0))=TRUE," ",(VLOOKUP(B28,'Base de Datos'!$C$7:$N$315,11,0)))</f>
        <v xml:space="preserve"> </v>
      </c>
      <c r="S28" s="619"/>
      <c r="T28" s="727"/>
      <c r="U28" s="784"/>
    </row>
    <row r="29" spans="2:21" s="620" customFormat="1" outlineLevel="1" x14ac:dyDescent="0.25">
      <c r="B29" s="711"/>
      <c r="C29" s="711"/>
      <c r="D29" s="712"/>
      <c r="E29" s="712"/>
      <c r="F29" s="713"/>
      <c r="G29" s="820"/>
      <c r="H29" s="820"/>
      <c r="I29" s="560"/>
      <c r="J29" s="713"/>
      <c r="K29" s="714"/>
      <c r="L29" s="713" t="str">
        <f>IF(J29=$Z$1,F29, " ")</f>
        <v xml:space="preserve"> </v>
      </c>
      <c r="M29" s="713" t="str">
        <f t="shared" si="4"/>
        <v xml:space="preserve"> </v>
      </c>
      <c r="N29" s="814"/>
      <c r="O29" s="715" t="str">
        <f>IF(ISERROR(VLOOKUP(B29,'Base de Datos'!$C$7:$N$315,9,0))=TRUE," ",(VLOOKUP(B29,'Base de Datos'!$C$7:$N$315,9,0)))</f>
        <v xml:space="preserve"> </v>
      </c>
      <c r="P29" s="712"/>
      <c r="Q29" s="715" t="str">
        <f>IF(ISERROR(VLOOKUP(B29,'Base de Datos'!$C$7:$N$315,10,0))=TRUE," ",(VLOOKUP(B29,'Base de Datos'!$C$7:$N$315,10,0)))</f>
        <v xml:space="preserve"> </v>
      </c>
      <c r="R29" s="715" t="str">
        <f>IF(ISERROR(VLOOKUP(B29,'Base de Datos'!$C$7:$N$315,11,0))=TRUE," ",(VLOOKUP(B29,'Base de Datos'!$C$7:$N$315,11,0)))</f>
        <v xml:space="preserve"> </v>
      </c>
      <c r="S29" s="712"/>
      <c r="T29" s="727"/>
      <c r="U29" s="784"/>
    </row>
    <row r="30" spans="2:21" x14ac:dyDescent="0.25">
      <c r="B30" s="1151" t="s">
        <v>1647</v>
      </c>
      <c r="C30" s="1151"/>
      <c r="D30" s="1151"/>
      <c r="E30" s="1151"/>
      <c r="F30" s="790"/>
      <c r="G30" s="796">
        <f>COUNT(G31)</f>
        <v>0</v>
      </c>
      <c r="H30" s="796">
        <f>COUNTIF(H31:H32,Hoja1!$J$2)</f>
        <v>0</v>
      </c>
      <c r="I30" s="791"/>
      <c r="J30" s="790">
        <f>+J31</f>
        <v>0</v>
      </c>
      <c r="K30" s="792" t="e">
        <f>+J30/F30</f>
        <v>#DIV/0!</v>
      </c>
      <c r="L30" s="790">
        <f>F30-J30</f>
        <v>0</v>
      </c>
      <c r="M30" s="790">
        <f>+F30-J30-L30</f>
        <v>0</v>
      </c>
      <c r="N30" s="793"/>
      <c r="O30" s="794" t="str">
        <f>IF(ISERROR(VLOOKUP(B30,'Base de Datos'!$C$7:$N$315,8,0))=TRUE," ",(VLOOKUP(B30,'Base de Datos'!$C$7:$N$315,8,0)))</f>
        <v xml:space="preserve"> </v>
      </c>
      <c r="P30" s="795"/>
      <c r="Q30" s="794" t="str">
        <f>IF(ISERROR(VLOOKUP(B30,'Base de Datos'!$C$7:$N$315,9,0))=TRUE," ",(VLOOKUP(B30,'Base de Datos'!$C$7:$N$315,9,0)))</f>
        <v xml:space="preserve"> </v>
      </c>
      <c r="R30" s="794" t="str">
        <f>IF(ISERROR(VLOOKUP(B30,'Base de Datos'!$C$7:$N$315,10,0))=TRUE," ",(VLOOKUP(B30,'Base de Datos'!$C$7:$N$315,10,0)))</f>
        <v xml:space="preserve"> </v>
      </c>
      <c r="S30" s="795"/>
      <c r="T30" s="727"/>
      <c r="U30" s="639"/>
    </row>
    <row r="31" spans="2:21" s="603" customFormat="1" outlineLevel="1" x14ac:dyDescent="0.25">
      <c r="B31" s="598"/>
      <c r="C31" s="598"/>
      <c r="D31" s="598"/>
      <c r="E31" s="779"/>
      <c r="F31" s="599"/>
      <c r="G31" s="821"/>
      <c r="H31" s="821"/>
      <c r="I31" s="838" t="str">
        <f ca="1">IF(H31=Hoja1!$J$2," ",(IF(MONTH(G31)=MONTH(TODAY()),IF(DAY(G31)&gt;DAY(TODAY()),"Quedan "&amp;ABS(DAY(G31)-DAY(TODAY()))&amp;" Días","Hace "&amp;ABS(DAY(G31)-DAY(TODAY()))&amp;" Días"),"")))</f>
        <v>Hace 18 Días</v>
      </c>
      <c r="J31" s="585"/>
      <c r="K31" s="613"/>
      <c r="L31" s="599"/>
      <c r="M31" s="599"/>
      <c r="N31" s="688"/>
      <c r="O31" s="601"/>
      <c r="P31" s="602"/>
      <c r="Q31" s="601"/>
      <c r="R31" s="601"/>
      <c r="S31" s="720"/>
      <c r="T31" s="727"/>
      <c r="U31" s="784"/>
    </row>
    <row r="32" spans="2:21" s="603" customFormat="1" outlineLevel="1" x14ac:dyDescent="0.25">
      <c r="B32" s="598"/>
      <c r="C32" s="598"/>
      <c r="D32" s="598"/>
      <c r="E32" s="598"/>
      <c r="F32" s="599"/>
      <c r="G32" s="821"/>
      <c r="H32" s="821"/>
      <c r="I32" s="600"/>
      <c r="J32" s="599"/>
      <c r="K32" s="613"/>
      <c r="L32" s="599"/>
      <c r="M32" s="599"/>
      <c r="N32" s="688"/>
      <c r="O32" s="601"/>
      <c r="P32" s="602"/>
      <c r="Q32" s="601"/>
      <c r="R32" s="601"/>
      <c r="S32" s="720"/>
      <c r="T32" s="727"/>
      <c r="U32" s="784"/>
    </row>
    <row r="33" spans="2:21" x14ac:dyDescent="0.25">
      <c r="B33" s="1149" t="s">
        <v>1648</v>
      </c>
      <c r="C33" s="1149"/>
      <c r="D33" s="1149"/>
      <c r="E33" s="1149"/>
      <c r="F33" s="790"/>
      <c r="G33" s="796">
        <f>COUNT(G35:G37)</f>
        <v>2</v>
      </c>
      <c r="H33" s="796">
        <f>COUNTIF(H35:H37,Hoja1!$J$2)</f>
        <v>0</v>
      </c>
      <c r="I33" s="791"/>
      <c r="J33" s="790">
        <f>SUM(J35:J37)</f>
        <v>14400000</v>
      </c>
      <c r="K33" s="792" t="e">
        <f>J33/F33</f>
        <v>#DIV/0!</v>
      </c>
      <c r="L33" s="790">
        <f>SUM(L35:L37)</f>
        <v>66744000</v>
      </c>
      <c r="M33" s="790">
        <f>+F33-J33-L33</f>
        <v>-81144000</v>
      </c>
      <c r="N33" s="793"/>
      <c r="O33" s="794" t="str">
        <f>IF(ISERROR(VLOOKUP(B33,'Base de Datos'!$C$7:$N$315,8,0))=TRUE," ",(VLOOKUP(B33,'Base de Datos'!$C$7:$N$315,8,0)))</f>
        <v xml:space="preserve"> </v>
      </c>
      <c r="P33" s="795"/>
      <c r="Q33" s="794" t="str">
        <f>IF(ISERROR(VLOOKUP(B33,'Base de Datos'!$C$7:$N$315,9,0))=TRUE," ",(VLOOKUP(B33,'Base de Datos'!$C$7:$N$315,9,0)))</f>
        <v xml:space="preserve"> </v>
      </c>
      <c r="R33" s="794" t="str">
        <f>IF(ISERROR(VLOOKUP(B33,'Base de Datos'!$C$7:$N$315,10,0))=TRUE," ",(VLOOKUP(B33,'Base de Datos'!$C$7:$N$315,10,0)))</f>
        <v xml:space="preserve"> </v>
      </c>
      <c r="S33" s="795"/>
      <c r="T33" s="727"/>
      <c r="U33" s="639"/>
    </row>
    <row r="34" spans="2:21" ht="24" outlineLevel="1" x14ac:dyDescent="0.25">
      <c r="B34" s="632" t="s">
        <v>2348</v>
      </c>
      <c r="C34" s="632"/>
      <c r="D34" s="632" t="s">
        <v>912</v>
      </c>
      <c r="E34" s="632" t="s">
        <v>1825</v>
      </c>
      <c r="F34" s="781" t="s">
        <v>1849</v>
      </c>
      <c r="G34" s="817" t="s">
        <v>2350</v>
      </c>
      <c r="H34" s="817" t="s">
        <v>2354</v>
      </c>
      <c r="I34" s="539" t="s">
        <v>2355</v>
      </c>
      <c r="J34" s="632" t="s">
        <v>1848</v>
      </c>
      <c r="K34" s="617"/>
      <c r="L34" s="632" t="s">
        <v>1942</v>
      </c>
      <c r="M34" s="632" t="s">
        <v>1943</v>
      </c>
      <c r="N34" s="782" t="s">
        <v>1123</v>
      </c>
      <c r="O34" s="783" t="s">
        <v>1850</v>
      </c>
      <c r="P34" s="632" t="s">
        <v>1851</v>
      </c>
      <c r="Q34" s="632" t="s">
        <v>1852</v>
      </c>
      <c r="R34" s="632" t="s">
        <v>375</v>
      </c>
      <c r="S34" s="632" t="s">
        <v>1853</v>
      </c>
      <c r="T34" s="727"/>
      <c r="U34" s="639"/>
    </row>
    <row r="35" spans="2:21" ht="24" outlineLevel="1" x14ac:dyDescent="0.25">
      <c r="B35" s="557">
        <v>131</v>
      </c>
      <c r="C35" s="632" t="str">
        <f>$W$6&amp;B35</f>
        <v>2016131</v>
      </c>
      <c r="D35" s="538" t="str">
        <f>IF(ISERROR(VLOOKUP(C35,'Base de Datos'!$D$7:$F$4345,2,0))=TRUE,"",(VLOOKUP(C35,'Base de Datos'!$D$7:$F$4345,2,0)))</f>
        <v>160129-0-2016</v>
      </c>
      <c r="E35" s="619" t="s">
        <v>2296</v>
      </c>
      <c r="F35" s="559">
        <v>22248000</v>
      </c>
      <c r="G35" s="822">
        <v>42348</v>
      </c>
      <c r="H35" s="817"/>
      <c r="I35" s="838" t="str">
        <f ca="1">IF(H35=Hoja1!$J$2," ",(IF(MONTH(G35)=MONTH(TODAY()),IF(DAY(G35)&gt;DAY(TODAY()),"Quedan "&amp;ABS(DAY(G35)-DAY(TODAY()))&amp;" Días","Hace "&amp;ABS(DAY(G35)-DAY(TODAY()))&amp;" Días"),"")))</f>
        <v/>
      </c>
      <c r="J35" s="541">
        <f>IF(ISERROR(VLOOKUP(C35,'Base de Datos'!$D$7:$N$4345,6,0))=TRUE,"Sin Celebrar",(VLOOKUP(C35,'Base de Datos'!$D$7:$N$4345,6,0)))</f>
        <v>14400000</v>
      </c>
      <c r="K35" s="609"/>
      <c r="L35" s="541" t="str">
        <f>IF(J35=$W$7,F35, " ")</f>
        <v xml:space="preserve"> </v>
      </c>
      <c r="M35" s="541">
        <f>IF(J35&lt;F35,(F35-J35)," ")</f>
        <v>7848000</v>
      </c>
      <c r="N35" s="724" t="str">
        <f>IF(ISERROR(VLOOKUP(C35,'Base de Datos'!$D$7:$K$1048576,7,0))=TRUE," ",(VLOOKUP(C35,'Base de Datos'!$D$7:$K$1048576,7,0)))</f>
        <v>160129-0-2016</v>
      </c>
      <c r="O35" s="556">
        <f>IF(ISERROR(VLOOKUP(C35,'Base de Datos'!$D$7:$N$4330,9,0))=TRUE," ",(VLOOKUP(C35,'Base de Datos'!$D$7:$N$4330,9,0)))</f>
        <v>42531</v>
      </c>
      <c r="P35" s="618" t="e">
        <f>VLOOKUP(B35,#REF!,13,0)</f>
        <v>#REF!</v>
      </c>
      <c r="Q35" s="556">
        <f>IF(ISERROR(VLOOKUP(C35,'Base de Datos'!$D$7:$N$4330,10,0))=TRUE," ",(VLOOKUP(C35,'Base de Datos'!$D$7:$N$4330,10,0)))</f>
        <v>42535</v>
      </c>
      <c r="R35" s="556">
        <f>IF(ISERROR(VLOOKUP(C35,'Base de Datos'!$D$7:$N$4330,11,0))=TRUE," ",(VLOOKUP(C35,'Base de Datos'!$D$7:$N$4330,11,0)))</f>
        <v>42780</v>
      </c>
      <c r="S35" s="538" t="s">
        <v>2080</v>
      </c>
      <c r="T35" s="727"/>
      <c r="U35" s="639"/>
    </row>
    <row r="36" spans="2:21" ht="24" outlineLevel="1" x14ac:dyDescent="0.25">
      <c r="B36" s="557">
        <v>132</v>
      </c>
      <c r="C36" s="632" t="str">
        <f>$W$6&amp;B36</f>
        <v>2016132</v>
      </c>
      <c r="D36" s="538" t="str">
        <f>IF(ISERROR(VLOOKUP(C36,'Base de Datos'!$D$7:$F$4345,2,0))=TRUE,"",(VLOOKUP(C36,'Base de Datos'!$D$7:$F$4345,2,0)))</f>
        <v/>
      </c>
      <c r="E36" s="619" t="s">
        <v>2399</v>
      </c>
      <c r="F36" s="559">
        <v>66744000</v>
      </c>
      <c r="G36" s="822">
        <v>42339</v>
      </c>
      <c r="H36" s="817"/>
      <c r="I36" s="838" t="str">
        <f ca="1">IF(H36=Hoja1!$J$2," ",(IF(MONTH(G36)=MONTH(TODAY()),IF(DAY(G36)&gt;DAY(TODAY()),"Quedan "&amp;ABS(DAY(G36)-DAY(TODAY()))&amp;" Días","Hace "&amp;ABS(DAY(G36)-DAY(TODAY()))&amp;" Días"),"")))</f>
        <v/>
      </c>
      <c r="J36" s="541" t="str">
        <f>IF(ISERROR(VLOOKUP(C36,'Base de Datos'!$D$7:$N$4345,6,0))=TRUE,"Sin Celebrar",(VLOOKUP(C36,'Base de Datos'!$D$7:$N$4345,6,0)))</f>
        <v>Sin Celebrar</v>
      </c>
      <c r="K36" s="609"/>
      <c r="L36" s="541">
        <f>IF(J36=$W$7,F36, " ")</f>
        <v>66744000</v>
      </c>
      <c r="M36" s="541" t="str">
        <f>IF(J36&lt;F36,(F36-J36)," ")</f>
        <v xml:space="preserve"> </v>
      </c>
      <c r="N36" s="724" t="str">
        <f>IF(ISERROR(VLOOKUP(C36,'Base de Datos'!$D$7:$K$1048576,7,0))=TRUE," ",(VLOOKUP(C36,'Base de Datos'!$D$7:$K$1048576,7,0)))</f>
        <v xml:space="preserve"> </v>
      </c>
      <c r="O36" s="556" t="str">
        <f>IF(ISERROR(VLOOKUP(C36,'Base de Datos'!$D$7:$N$4330,9,0))=TRUE," ",(VLOOKUP(C36,'Base de Datos'!$D$7:$N$4330,9,0)))</f>
        <v xml:space="preserve"> </v>
      </c>
      <c r="P36" s="618" t="e">
        <f>VLOOKUP(B36,#REF!,13,0)</f>
        <v>#REF!</v>
      </c>
      <c r="Q36" s="556" t="str">
        <f>IF(ISERROR(VLOOKUP(C36,'Base de Datos'!$D$7:$N$4330,10,0))=TRUE," ",(VLOOKUP(C36,'Base de Datos'!$D$7:$N$4330,10,0)))</f>
        <v xml:space="preserve"> </v>
      </c>
      <c r="R36" s="556" t="str">
        <f>IF(ISERROR(VLOOKUP(C36,'Base de Datos'!$D$7:$N$4330,11,0))=TRUE," ",(VLOOKUP(C36,'Base de Datos'!$D$7:$N$4330,11,0)))</f>
        <v xml:space="preserve"> </v>
      </c>
      <c r="S36" s="538" t="s">
        <v>2080</v>
      </c>
      <c r="T36" s="727"/>
      <c r="U36" s="639"/>
    </row>
    <row r="37" spans="2:21" outlineLevel="1" x14ac:dyDescent="0.25">
      <c r="B37" s="557"/>
      <c r="C37" s="557"/>
      <c r="D37" s="558"/>
      <c r="E37" s="558" t="s">
        <v>1938</v>
      </c>
      <c r="F37" s="559"/>
      <c r="G37" s="822"/>
      <c r="H37" s="822"/>
      <c r="I37" s="560"/>
      <c r="J37" s="541"/>
      <c r="K37" s="609"/>
      <c r="L37" s="559"/>
      <c r="M37" s="559" t="str">
        <f>IF(J37&lt;F37,(F37-J37)," ")</f>
        <v xml:space="preserve"> </v>
      </c>
      <c r="N37" s="724" t="str">
        <f>IF(ISERROR(VLOOKUP(C37,'Base de Datos'!$D$7:$K$1048576,7,0))=TRUE," ",(VLOOKUP(C37,'Base de Datos'!$D$7:$K$1048576,7,0)))</f>
        <v xml:space="preserve"> </v>
      </c>
      <c r="O37" s="724" t="str">
        <f>IF(ISERROR(VLOOKUP(C37,'Base de Datos'!$D$7:$K$1048576,9,0))=TRUE," ",(VLOOKUP(C37,'Base de Datos'!$D$7:$K$1048576,9,0)))</f>
        <v xml:space="preserve"> </v>
      </c>
      <c r="P37" s="558"/>
      <c r="Q37" s="561"/>
      <c r="R37" s="561"/>
      <c r="S37" s="538"/>
      <c r="T37" s="727"/>
      <c r="U37" s="639"/>
    </row>
    <row r="38" spans="2:21" outlineLevel="1" x14ac:dyDescent="0.25">
      <c r="B38" s="653"/>
      <c r="C38" s="653"/>
      <c r="D38" s="653"/>
      <c r="E38" s="653"/>
      <c r="F38" s="541"/>
      <c r="G38" s="818"/>
      <c r="H38" s="818"/>
      <c r="I38" s="539"/>
      <c r="J38" s="541"/>
      <c r="K38" s="605"/>
      <c r="L38" s="541"/>
      <c r="M38" s="541"/>
      <c r="N38" s="683"/>
      <c r="O38" s="556"/>
      <c r="P38" s="538"/>
      <c r="Q38" s="556"/>
      <c r="R38" s="556"/>
      <c r="S38" s="538"/>
      <c r="T38" s="727"/>
      <c r="U38" s="639"/>
    </row>
    <row r="39" spans="2:21" x14ac:dyDescent="0.25">
      <c r="B39" s="1122" t="s">
        <v>1796</v>
      </c>
      <c r="C39" s="1122"/>
      <c r="D39" s="1122"/>
      <c r="E39" s="1122"/>
      <c r="F39" s="562"/>
      <c r="G39" s="830">
        <f>G40+G75+G185</f>
        <v>63</v>
      </c>
      <c r="H39" s="830">
        <f>H40+H75+H185</f>
        <v>1</v>
      </c>
      <c r="I39" s="638"/>
      <c r="J39" s="572">
        <f>J40+J75+J185</f>
        <v>3497293018</v>
      </c>
      <c r="K39" s="614" t="e">
        <f>J39/F39</f>
        <v>#DIV/0!</v>
      </c>
      <c r="L39" s="572">
        <f>L40+L75+L185</f>
        <v>2246956000</v>
      </c>
      <c r="M39" s="572">
        <f>M40+M75+M185</f>
        <v>-5744249018</v>
      </c>
      <c r="N39" s="690"/>
      <c r="O39" s="572"/>
      <c r="P39" s="579"/>
      <c r="Q39" s="578" t="str">
        <f>IF(ISERROR(VLOOKUP(B39,'Base de Datos'!$C$7:$N$315,9,0))=TRUE," ",(VLOOKUP(B39,'Base de Datos'!$C$7:$N$315,9,0)))</f>
        <v xml:space="preserve"> </v>
      </c>
      <c r="R39" s="578" t="str">
        <f>IF(ISERROR(VLOOKUP(B39,'Base de Datos'!$C$7:$N$315,10,0))=TRUE," ",(VLOOKUP(B39,'Base de Datos'!$C$7:$N$315,10,0)))</f>
        <v xml:space="preserve"> </v>
      </c>
      <c r="S39" s="574"/>
      <c r="T39" s="727"/>
      <c r="U39" s="639"/>
    </row>
    <row r="40" spans="2:21" x14ac:dyDescent="0.25">
      <c r="B40" s="1139" t="s">
        <v>1650</v>
      </c>
      <c r="C40" s="1139"/>
      <c r="D40" s="1139"/>
      <c r="E40" s="1139"/>
      <c r="F40" s="662"/>
      <c r="G40" s="788">
        <f>+G41+G61+G68</f>
        <v>22</v>
      </c>
      <c r="H40" s="788">
        <f>+H41+H61+H68</f>
        <v>0</v>
      </c>
      <c r="I40" s="787"/>
      <c r="J40" s="787">
        <f>+J41+J61+J68</f>
        <v>504098472</v>
      </c>
      <c r="K40" s="787"/>
      <c r="L40" s="787">
        <f>+L41+L61+L68</f>
        <v>712949000</v>
      </c>
      <c r="M40" s="787">
        <f>+M41+M61+M68</f>
        <v>-1217047472</v>
      </c>
      <c r="N40" s="788"/>
      <c r="O40" s="596" t="str">
        <f>IF(ISERROR(VLOOKUP(B40,'Base de Datos'!$C$7:$N$315,8,0))=TRUE," ",(VLOOKUP(B40,'Base de Datos'!$C$7:$N$315,8,0)))</f>
        <v xml:space="preserve"> </v>
      </c>
      <c r="P40" s="597"/>
      <c r="Q40" s="596" t="str">
        <f>IF(ISERROR(VLOOKUP(B40,'Base de Datos'!$C$7:$N$315,9,0))=TRUE," ",(VLOOKUP(B40,'Base de Datos'!$C$7:$N$315,9,0)))</f>
        <v xml:space="preserve"> </v>
      </c>
      <c r="R40" s="596" t="str">
        <f>IF(ISERROR(VLOOKUP(B40,'Base de Datos'!$C$7:$N$315,10,0))=TRUE," ",(VLOOKUP(B40,'Base de Datos'!$C$7:$N$315,10,0)))</f>
        <v xml:space="preserve"> </v>
      </c>
      <c r="S40" s="597"/>
      <c r="T40" s="727"/>
      <c r="U40" s="639"/>
    </row>
    <row r="41" spans="2:21" x14ac:dyDescent="0.25">
      <c r="B41" s="1151" t="s">
        <v>1651</v>
      </c>
      <c r="C41" s="1151"/>
      <c r="D41" s="1151"/>
      <c r="E41" s="1151"/>
      <c r="F41" s="790"/>
      <c r="G41" s="796">
        <f>COUNT(G43:G58)</f>
        <v>16</v>
      </c>
      <c r="H41" s="796">
        <f>COUNTIF(H43:H58,Hoja1!$J$2)</f>
        <v>0</v>
      </c>
      <c r="I41" s="791"/>
      <c r="J41" s="790">
        <f>SUM(J43:J59)</f>
        <v>365331472</v>
      </c>
      <c r="K41" s="792" t="e">
        <f>J41/F41</f>
        <v>#DIV/0!</v>
      </c>
      <c r="L41" s="790">
        <f>SUM(L47:L59)</f>
        <v>412030000</v>
      </c>
      <c r="M41" s="790">
        <f>+F41-J41-L41</f>
        <v>-777361472</v>
      </c>
      <c r="N41" s="793"/>
      <c r="O41" s="794" t="str">
        <f>IF(ISERROR(VLOOKUP(B41,'Base de Datos'!$C$7:$N$315,8,0))=TRUE," ",(VLOOKUP(B41,'Base de Datos'!$C$7:$N$315,8,0)))</f>
        <v xml:space="preserve"> </v>
      </c>
      <c r="P41" s="795"/>
      <c r="Q41" s="794" t="str">
        <f>IF(ISERROR(VLOOKUP(B41,'Base de Datos'!$C$7:$N$315,9,0))=TRUE," ",(VLOOKUP(B41,'Base de Datos'!$C$7:$N$315,9,0)))</f>
        <v xml:space="preserve"> </v>
      </c>
      <c r="R41" s="794" t="str">
        <f>IF(ISERROR(VLOOKUP(B41,'Base de Datos'!$C$7:$N$315,10,0))=TRUE," ",(VLOOKUP(B41,'Base de Datos'!$C$7:$N$315,10,0)))</f>
        <v xml:space="preserve"> </v>
      </c>
      <c r="S41" s="795"/>
      <c r="T41" s="727"/>
      <c r="U41" s="639"/>
    </row>
    <row r="42" spans="2:21" s="620" customFormat="1" ht="24" outlineLevel="1" x14ac:dyDescent="0.25">
      <c r="B42" s="632" t="s">
        <v>2348</v>
      </c>
      <c r="C42" s="632"/>
      <c r="D42" s="632" t="s">
        <v>912</v>
      </c>
      <c r="E42" s="632" t="s">
        <v>1825</v>
      </c>
      <c r="F42" s="781" t="s">
        <v>1849</v>
      </c>
      <c r="G42" s="817" t="s">
        <v>2350</v>
      </c>
      <c r="H42" s="817" t="s">
        <v>2354</v>
      </c>
      <c r="I42" s="539" t="s">
        <v>2355</v>
      </c>
      <c r="J42" s="632" t="s">
        <v>1848</v>
      </c>
      <c r="K42" s="617"/>
      <c r="L42" s="632" t="s">
        <v>1942</v>
      </c>
      <c r="M42" s="632" t="s">
        <v>1943</v>
      </c>
      <c r="N42" s="782" t="s">
        <v>1123</v>
      </c>
      <c r="O42" s="783" t="s">
        <v>1850</v>
      </c>
      <c r="P42" s="632" t="s">
        <v>1851</v>
      </c>
      <c r="Q42" s="632" t="s">
        <v>1852</v>
      </c>
      <c r="R42" s="632" t="s">
        <v>375</v>
      </c>
      <c r="S42" s="632" t="s">
        <v>1853</v>
      </c>
      <c r="T42" s="727"/>
      <c r="U42" s="784"/>
    </row>
    <row r="43" spans="2:21" s="620" customFormat="1" ht="24" outlineLevel="1" x14ac:dyDescent="0.25">
      <c r="B43" s="632">
        <v>94</v>
      </c>
      <c r="C43" s="632" t="str">
        <f t="shared" ref="C43:C58" si="5">$W$6&amp;B43</f>
        <v>201694</v>
      </c>
      <c r="D43" s="538" t="str">
        <f>IF(ISERROR(VLOOKUP(C43,'Base de Datos'!$D$7:$F$4345,2,0))=TRUE,"",(VLOOKUP(C43,'Base de Datos'!$D$7:$F$4345,2,0)))</f>
        <v/>
      </c>
      <c r="E43" s="845" t="s">
        <v>2297</v>
      </c>
      <c r="F43" s="781">
        <v>48000000</v>
      </c>
      <c r="G43" s="817">
        <v>42429</v>
      </c>
      <c r="H43" s="817"/>
      <c r="I43" s="838" t="str">
        <f ca="1">IF(H43=Hoja1!$J$2," ",(IF(MONTH(G43)=MONTH(TODAY()),IF(DAY(G43)&gt;DAY(TODAY()),"Quedan "&amp;ABS(DAY(G43)-DAY(TODAY()))&amp;" Días","Hace "&amp;ABS(DAY(G43)-DAY(TODAY()))&amp;" Días"),"")))</f>
        <v/>
      </c>
      <c r="J43" s="541" t="str">
        <f>IF(ISERROR(VLOOKUP(C43,'Base de Datos'!$D$7:$N$4345,6,0))=TRUE,"Sin Celebrar",(VLOOKUP(C43,'Base de Datos'!$D$7:$N$4345,6,0)))</f>
        <v>Sin Celebrar</v>
      </c>
      <c r="K43" s="617"/>
      <c r="L43" s="541">
        <f t="shared" ref="L43:L58" si="6">IF(J43=$W$7,F43, " ")</f>
        <v>48000000</v>
      </c>
      <c r="M43" s="541" t="str">
        <f t="shared" ref="M43:M59" si="7">IF(J43&lt;F43,(F43-J43)," ")</f>
        <v xml:space="preserve"> </v>
      </c>
      <c r="N43" s="724" t="str">
        <f>IF(ISERROR(VLOOKUP(C43,'Base de Datos'!$D$7:$K$1048576,7,0))=TRUE," ",(VLOOKUP(C43,'Base de Datos'!$D$7:$K$1048576,7,0)))</f>
        <v xml:space="preserve"> </v>
      </c>
      <c r="O43" s="556" t="str">
        <f>IF(ISERROR(VLOOKUP(C43,'Base de Datos'!$D$7:$N$4330,9,0))=TRUE," ",(VLOOKUP(C43,'Base de Datos'!$D$7:$N$4330,9,0)))</f>
        <v xml:space="preserve"> </v>
      </c>
      <c r="P43" s="618" t="e">
        <f>VLOOKUP(B43,#REF!,13,0)</f>
        <v>#REF!</v>
      </c>
      <c r="Q43" s="556" t="str">
        <f>IF(ISERROR(VLOOKUP(C43,'Base de Datos'!$D$7:$N$4330,10,0))=TRUE," ",(VLOOKUP(C43,'Base de Datos'!$D$7:$N$4330,10,0)))</f>
        <v xml:space="preserve"> </v>
      </c>
      <c r="R43" s="556" t="str">
        <f>IF(ISERROR(VLOOKUP(C43,'Base de Datos'!$D$7:$N$4330,11,0))=TRUE," ",(VLOOKUP(C43,'Base de Datos'!$D$7:$N$4330,11,0)))</f>
        <v xml:space="preserve"> </v>
      </c>
      <c r="S43" s="619" t="s">
        <v>1995</v>
      </c>
      <c r="T43" s="727"/>
      <c r="U43" s="784"/>
    </row>
    <row r="44" spans="2:21" s="620" customFormat="1" outlineLevel="1" x14ac:dyDescent="0.25">
      <c r="B44" s="632">
        <v>84</v>
      </c>
      <c r="C44" s="632"/>
      <c r="D44" s="538"/>
      <c r="E44" s="845" t="s">
        <v>2114</v>
      </c>
      <c r="F44" s="781">
        <v>10000000</v>
      </c>
      <c r="G44" s="817">
        <v>42580</v>
      </c>
      <c r="H44" s="817"/>
      <c r="I44" s="838" t="str">
        <f ca="1">IF(H44=Hoja1!$J$2," ",(IF(MONTH(G44)=MONTH(TODAY()),IF(DAY(G44)&gt;DAY(TODAY()),"Quedan "&amp;ABS(DAY(G44)-DAY(TODAY()))&amp;" Días","Hace "&amp;ABS(DAY(G44)-DAY(TODAY()))&amp;" Días"),"")))</f>
        <v/>
      </c>
      <c r="J44" s="541" t="str">
        <f>IF(ISERROR(VLOOKUP(C44,'Base de Datos'!$D$7:$N$4345,6,0))=TRUE,"Sin Celebrar",(VLOOKUP(C44,'Base de Datos'!$D$7:$N$4345,6,0)))</f>
        <v>Sin Celebrar</v>
      </c>
      <c r="K44" s="617"/>
      <c r="L44" s="541">
        <f>IF(J44=$W$7,F44, " ")</f>
        <v>10000000</v>
      </c>
      <c r="M44" s="541"/>
      <c r="N44" s="724"/>
      <c r="O44" s="556" t="str">
        <f>IF(ISERROR(VLOOKUP(C44,'Base de Datos'!$D$7:$N$4330,9,0))=TRUE," ",(VLOOKUP(C44,'Base de Datos'!$D$7:$N$4330,9,0)))</f>
        <v xml:space="preserve"> </v>
      </c>
      <c r="P44" s="618" t="e">
        <f>VLOOKUP(B44,#REF!,13,0)</f>
        <v>#REF!</v>
      </c>
      <c r="Q44" s="556"/>
      <c r="R44" s="556"/>
      <c r="S44" s="619"/>
      <c r="T44" s="727"/>
      <c r="U44" s="784"/>
    </row>
    <row r="45" spans="2:21" s="620" customFormat="1" outlineLevel="1" x14ac:dyDescent="0.25">
      <c r="B45" s="632">
        <v>85</v>
      </c>
      <c r="C45" s="632"/>
      <c r="D45" s="538"/>
      <c r="E45" s="845" t="s">
        <v>2400</v>
      </c>
      <c r="F45" s="781">
        <v>20000000</v>
      </c>
      <c r="G45" s="817">
        <v>42464</v>
      </c>
      <c r="H45" s="817"/>
      <c r="I45" s="838" t="str">
        <f ca="1">IF(H45=Hoja1!$J$2," ",(IF(MONTH(G45)=MONTH(TODAY()),IF(DAY(G45)&gt;DAY(TODAY()),"Quedan "&amp;ABS(DAY(G45)-DAY(TODAY()))&amp;" Días","Hace "&amp;ABS(DAY(G45)-DAY(TODAY()))&amp;" Días"),"")))</f>
        <v/>
      </c>
      <c r="J45" s="541" t="str">
        <f>IF(ISERROR(VLOOKUP(C45,'Base de Datos'!$D$7:$N$4345,6,0))=TRUE,"Sin Celebrar",(VLOOKUP(C45,'Base de Datos'!$D$7:$N$4345,6,0)))</f>
        <v>Sin Celebrar</v>
      </c>
      <c r="K45" s="617"/>
      <c r="L45" s="541">
        <f>IF(J45=$W$7,F45, " ")</f>
        <v>20000000</v>
      </c>
      <c r="M45" s="541"/>
      <c r="N45" s="724"/>
      <c r="O45" s="556" t="str">
        <f>IF(ISERROR(VLOOKUP(C45,'Base de Datos'!$D$7:$N$4330,9,0))=TRUE," ",(VLOOKUP(C45,'Base de Datos'!$D$7:$N$4330,9,0)))</f>
        <v xml:space="preserve"> </v>
      </c>
      <c r="P45" s="618" t="e">
        <f>VLOOKUP(B45,#REF!,13,0)</f>
        <v>#REF!</v>
      </c>
      <c r="Q45" s="556"/>
      <c r="R45" s="556"/>
      <c r="S45" s="619"/>
      <c r="T45" s="727"/>
      <c r="U45" s="784"/>
    </row>
    <row r="46" spans="2:21" s="620" customFormat="1" outlineLevel="1" x14ac:dyDescent="0.25">
      <c r="B46" s="632">
        <v>86</v>
      </c>
      <c r="C46" s="632"/>
      <c r="D46" s="538"/>
      <c r="E46" s="845" t="s">
        <v>2401</v>
      </c>
      <c r="F46" s="781">
        <v>65000000</v>
      </c>
      <c r="G46" s="817">
        <v>42523</v>
      </c>
      <c r="H46" s="817"/>
      <c r="I46" s="838" t="str">
        <f ca="1">IF(H46=Hoja1!$J$2," ",(IF(MONTH(G46)=MONTH(TODAY()),IF(DAY(G46)&gt;DAY(TODAY()),"Quedan "&amp;ABS(DAY(G46)-DAY(TODAY()))&amp;" Días","Hace "&amp;ABS(DAY(G46)-DAY(TODAY()))&amp;" Días"),"")))</f>
        <v/>
      </c>
      <c r="J46" s="541" t="str">
        <f>IF(ISERROR(VLOOKUP(C46,'Base de Datos'!$D$7:$N$4345,6,0))=TRUE,"Sin Celebrar",(VLOOKUP(C46,'Base de Datos'!$D$7:$N$4345,6,0)))</f>
        <v>Sin Celebrar</v>
      </c>
      <c r="K46" s="617"/>
      <c r="L46" s="541">
        <f>IF(J46=$W$7,F46, " ")</f>
        <v>65000000</v>
      </c>
      <c r="M46" s="541"/>
      <c r="N46" s="724"/>
      <c r="O46" s="556" t="str">
        <f>IF(ISERROR(VLOOKUP(C46,'Base de Datos'!$D$7:$N$4330,9,0))=TRUE," ",(VLOOKUP(C46,'Base de Datos'!$D$7:$N$4330,9,0)))</f>
        <v xml:space="preserve"> </v>
      </c>
      <c r="P46" s="618" t="e">
        <f>VLOOKUP(B46,#REF!,13,0)</f>
        <v>#REF!</v>
      </c>
      <c r="Q46" s="556"/>
      <c r="R46" s="556"/>
      <c r="S46" s="619"/>
      <c r="T46" s="727"/>
      <c r="U46" s="784"/>
    </row>
    <row r="47" spans="2:21" s="620" customFormat="1" ht="24" outlineLevel="1" x14ac:dyDescent="0.25">
      <c r="B47" s="632">
        <v>203</v>
      </c>
      <c r="C47" s="632" t="str">
        <f t="shared" si="5"/>
        <v>2016203</v>
      </c>
      <c r="D47" s="538" t="str">
        <f>IF(ISERROR(VLOOKUP(C47,'Base de Datos'!$D$7:$F$4345,2,0))=TRUE,"",(VLOOKUP(C47,'Base de Datos'!$D$7:$F$4345,2,0)))</f>
        <v>160269-0-2016</v>
      </c>
      <c r="E47" s="619" t="s">
        <v>2298</v>
      </c>
      <c r="F47" s="585">
        <v>350000000</v>
      </c>
      <c r="G47" s="817">
        <v>42434</v>
      </c>
      <c r="H47" s="817"/>
      <c r="I47" s="838" t="str">
        <f ca="1">IF(H47=Hoja1!$J$2," ",(IF(MONTH(G47)=MONTH(TODAY()),IF(DAY(G47)&gt;DAY(TODAY()),"Quedan "&amp;ABS(DAY(G47)-DAY(TODAY()))&amp;" Días","Hace "&amp;ABS(DAY(G47)-DAY(TODAY()))&amp;" Días"),"")))</f>
        <v/>
      </c>
      <c r="J47" s="541">
        <f>IF(ISERROR(VLOOKUP(C47,'Base de Datos'!$D$7:$N$4345,6,0))=TRUE,"Sin Celebrar",(VLOOKUP(C47,'Base de Datos'!$D$7:$N$4345,6,0)))</f>
        <v>103330468</v>
      </c>
      <c r="K47" s="617"/>
      <c r="L47" s="541" t="str">
        <f t="shared" si="6"/>
        <v xml:space="preserve"> </v>
      </c>
      <c r="M47" s="541">
        <f t="shared" si="7"/>
        <v>246669532</v>
      </c>
      <c r="N47" s="724" t="str">
        <f>IF(ISERROR(VLOOKUP(C47,'Base de Datos'!$D$7:$K$1048576,7,0))=TRUE," ",(VLOOKUP(C47,'Base de Datos'!$D$7:$K$1048576,7,0)))</f>
        <v>160269-0-2016</v>
      </c>
      <c r="O47" s="556">
        <f>IF(ISERROR(VLOOKUP(C47,'Base de Datos'!$D$7:$N$4330,9,0))=TRUE," ",(VLOOKUP(C47,'Base de Datos'!$D$7:$N$4330,9,0)))</f>
        <v>42685</v>
      </c>
      <c r="P47" s="618" t="e">
        <f>VLOOKUP(B47,#REF!,13,0)</f>
        <v>#REF!</v>
      </c>
      <c r="Q47" s="556">
        <f>IF(ISERROR(VLOOKUP(C47,'Base de Datos'!$D$7:$N$4330,10,0))=TRUE," ",(VLOOKUP(C47,'Base de Datos'!$D$7:$N$4330,10,0)))</f>
        <v>42689</v>
      </c>
      <c r="R47" s="556">
        <f>IF(ISERROR(VLOOKUP(C47,'Base de Datos'!$D$7:$N$4330,11,0))=TRUE," ",(VLOOKUP(C47,'Base de Datos'!$D$7:$N$4330,11,0)))</f>
        <v>42781</v>
      </c>
      <c r="S47" s="619" t="s">
        <v>1995</v>
      </c>
      <c r="T47" s="727"/>
      <c r="U47" s="784"/>
    </row>
    <row r="48" spans="2:21" s="620" customFormat="1" ht="24" outlineLevel="1" x14ac:dyDescent="0.25">
      <c r="B48" s="632">
        <v>204</v>
      </c>
      <c r="C48" s="632" t="str">
        <f t="shared" si="5"/>
        <v>2016204</v>
      </c>
      <c r="D48" s="538" t="str">
        <f>IF(ISERROR(VLOOKUP(C48,'Base de Datos'!$D$7:$F$4345,2,0))=TRUE,"",(VLOOKUP(C48,'Base de Datos'!$D$7:$F$4345,2,0)))</f>
        <v/>
      </c>
      <c r="E48" s="619" t="s">
        <v>1312</v>
      </c>
      <c r="F48" s="781">
        <v>10830000</v>
      </c>
      <c r="G48" s="817">
        <v>42410</v>
      </c>
      <c r="H48" s="817"/>
      <c r="I48" s="838" t="str">
        <f ca="1">IF(H48=Hoja1!$J$2," ",(IF(MONTH(G48)=MONTH(TODAY()),IF(DAY(G48)&gt;DAY(TODAY()),"Quedan "&amp;ABS(DAY(G48)-DAY(TODAY()))&amp;" Días","Hace "&amp;ABS(DAY(G48)-DAY(TODAY()))&amp;" Días"),"")))</f>
        <v/>
      </c>
      <c r="J48" s="541" t="str">
        <f>IF(ISERROR(VLOOKUP(C48,'Base de Datos'!$D$7:$N$4345,6,0))=TRUE,"Sin Celebrar",(VLOOKUP(C48,'Base de Datos'!$D$7:$N$4345,6,0)))</f>
        <v>Sin Celebrar</v>
      </c>
      <c r="K48" s="617"/>
      <c r="L48" s="541">
        <f t="shared" si="6"/>
        <v>10830000</v>
      </c>
      <c r="M48" s="541" t="str">
        <f t="shared" si="7"/>
        <v xml:space="preserve"> </v>
      </c>
      <c r="N48" s="724" t="str">
        <f>IF(ISERROR(VLOOKUP(C48,'Base de Datos'!$D$7:$K$1048576,7,0))=TRUE," ",(VLOOKUP(C48,'Base de Datos'!$D$7:$K$1048576,7,0)))</f>
        <v xml:space="preserve"> </v>
      </c>
      <c r="O48" s="556" t="str">
        <f>IF(ISERROR(VLOOKUP(C48,'Base de Datos'!$D$7:$N$4330,9,0))=TRUE," ",(VLOOKUP(C48,'Base de Datos'!$D$7:$N$4330,9,0)))</f>
        <v xml:space="preserve"> </v>
      </c>
      <c r="P48" s="618" t="e">
        <f>VLOOKUP(B48,#REF!,13,0)</f>
        <v>#REF!</v>
      </c>
      <c r="Q48" s="556" t="str">
        <f>IF(ISERROR(VLOOKUP(C48,'Base de Datos'!$D$7:$N$4330,10,0))=TRUE," ",(VLOOKUP(C48,'Base de Datos'!$D$7:$N$4330,10,0)))</f>
        <v xml:space="preserve"> </v>
      </c>
      <c r="R48" s="556" t="str">
        <f>IF(ISERROR(VLOOKUP(C48,'Base de Datos'!$D$7:$N$4330,11,0))=TRUE," ",(VLOOKUP(C48,'Base de Datos'!$D$7:$N$4330,11,0)))</f>
        <v xml:space="preserve"> </v>
      </c>
      <c r="S48" s="619" t="s">
        <v>1995</v>
      </c>
      <c r="T48" s="727"/>
      <c r="U48" s="784"/>
    </row>
    <row r="49" spans="2:21" s="620" customFormat="1" ht="24" outlineLevel="1" x14ac:dyDescent="0.25">
      <c r="B49" s="632">
        <v>87</v>
      </c>
      <c r="C49" s="632" t="str">
        <f t="shared" si="5"/>
        <v>201687</v>
      </c>
      <c r="D49" s="538" t="str">
        <f>IF(ISERROR(VLOOKUP(C49,'Base de Datos'!$D$7:$F$4345,2,0))=TRUE,"",(VLOOKUP(C49,'Base de Datos'!$D$7:$F$4345,2,0)))</f>
        <v/>
      </c>
      <c r="E49" s="619" t="s">
        <v>2299</v>
      </c>
      <c r="F49" s="585">
        <v>219700000</v>
      </c>
      <c r="G49" s="817">
        <v>42402</v>
      </c>
      <c r="H49" s="817"/>
      <c r="I49" s="838" t="str">
        <f ca="1">IF(H49=Hoja1!$J$2," ",(IF(MONTH(G49)=MONTH(TODAY()),IF(DAY(G49)&gt;DAY(TODAY()),"Quedan "&amp;ABS(DAY(G49)-DAY(TODAY()))&amp;" Días","Hace "&amp;ABS(DAY(G49)-DAY(TODAY()))&amp;" Días"),"")))</f>
        <v/>
      </c>
      <c r="J49" s="541" t="str">
        <f>IF(ISERROR(VLOOKUP(C49,'Base de Datos'!$D$7:$N$4345,6,0))=TRUE,"Sin Celebrar",(VLOOKUP(C49,'Base de Datos'!$D$7:$N$4345,6,0)))</f>
        <v>Sin Celebrar</v>
      </c>
      <c r="K49" s="617"/>
      <c r="L49" s="541">
        <f t="shared" si="6"/>
        <v>219700000</v>
      </c>
      <c r="M49" s="541" t="str">
        <f t="shared" si="7"/>
        <v xml:space="preserve"> </v>
      </c>
      <c r="N49" s="724" t="str">
        <f>IF(ISERROR(VLOOKUP(C49,'Base de Datos'!$D$7:$K$1048576,7,0))=TRUE," ",(VLOOKUP(C49,'Base de Datos'!$D$7:$K$1048576,7,0)))</f>
        <v xml:space="preserve"> </v>
      </c>
      <c r="O49" s="556" t="str">
        <f>IF(ISERROR(VLOOKUP(C49,'Base de Datos'!$D$7:$N$4330,9,0))=TRUE," ",(VLOOKUP(C49,'Base de Datos'!$D$7:$N$4330,9,0)))</f>
        <v xml:space="preserve"> </v>
      </c>
      <c r="P49" s="618" t="e">
        <f>VLOOKUP(B49,#REF!,13,0)</f>
        <v>#REF!</v>
      </c>
      <c r="Q49" s="556" t="str">
        <f>IF(ISERROR(VLOOKUP(C49,'Base de Datos'!$D$7:$N$4330,10,0))=TRUE," ",(VLOOKUP(C49,'Base de Datos'!$D$7:$N$4330,10,0)))</f>
        <v xml:space="preserve"> </v>
      </c>
      <c r="R49" s="556" t="str">
        <f>IF(ISERROR(VLOOKUP(C49,'Base de Datos'!$D$7:$N$4330,11,0))=TRUE," ",(VLOOKUP(C49,'Base de Datos'!$D$7:$N$4330,11,0)))</f>
        <v xml:space="preserve"> </v>
      </c>
      <c r="S49" s="619" t="s">
        <v>1995</v>
      </c>
      <c r="T49" s="727"/>
      <c r="U49" s="784"/>
    </row>
    <row r="50" spans="2:21" s="620" customFormat="1" ht="24" outlineLevel="1" x14ac:dyDescent="0.25">
      <c r="B50" s="632">
        <v>88</v>
      </c>
      <c r="C50" s="632" t="str">
        <f t="shared" si="5"/>
        <v>201688</v>
      </c>
      <c r="D50" s="538" t="str">
        <f>IF(ISERROR(VLOOKUP(C50,'Base de Datos'!$D$7:$F$4345,2,0))=TRUE,"",(VLOOKUP(C50,'Base de Datos'!$D$7:$F$4345,2,0)))</f>
        <v>160314-0-2016</v>
      </c>
      <c r="E50" s="619" t="s">
        <v>2300</v>
      </c>
      <c r="F50" s="585">
        <v>550000</v>
      </c>
      <c r="G50" s="817">
        <v>42402</v>
      </c>
      <c r="H50" s="817"/>
      <c r="I50" s="838" t="str">
        <f ca="1">IF(H50=Hoja1!$J$2," ",(IF(MONTH(G50)=MONTH(TODAY()),IF(DAY(G50)&gt;DAY(TODAY()),"Quedan "&amp;ABS(DAY(G50)-DAY(TODAY()))&amp;" Días","Hace "&amp;ABS(DAY(G50)-DAY(TODAY()))&amp;" Días"),"")))</f>
        <v/>
      </c>
      <c r="J50" s="541">
        <f>IF(ISERROR(VLOOKUP(C50,'Base de Datos'!$D$7:$N$4345,6,0))=TRUE,"Sin Celebrar",(VLOOKUP(C50,'Base de Datos'!$D$7:$N$4345,6,0)))</f>
        <v>495119</v>
      </c>
      <c r="K50" s="617"/>
      <c r="L50" s="541" t="str">
        <f t="shared" si="6"/>
        <v xml:space="preserve"> </v>
      </c>
      <c r="M50" s="541">
        <f t="shared" si="7"/>
        <v>54881</v>
      </c>
      <c r="N50" s="724" t="str">
        <f>IF(ISERROR(VLOOKUP(C50,'Base de Datos'!$D$7:$K$1048576,7,0))=TRUE," ",(VLOOKUP(C50,'Base de Datos'!$D$7:$K$1048576,7,0)))</f>
        <v>160314-0-2016</v>
      </c>
      <c r="O50" s="556">
        <f>IF(ISERROR(VLOOKUP(C50,'Base de Datos'!$D$7:$N$4330,9,0))=TRUE," ",(VLOOKUP(C50,'Base de Datos'!$D$7:$N$4330,9,0)))</f>
        <v>42731</v>
      </c>
      <c r="P50" s="618" t="e">
        <f>VLOOKUP(B50,#REF!,13,0)</f>
        <v>#REF!</v>
      </c>
      <c r="Q50" s="556">
        <f>IF(ISERROR(VLOOKUP(C50,'Base de Datos'!$D$7:$N$4330,10,0))=TRUE," ",(VLOOKUP(C50,'Base de Datos'!$D$7:$N$4330,10,0)))</f>
        <v>42745</v>
      </c>
      <c r="R50" s="556">
        <f>IF(ISERROR(VLOOKUP(C50,'Base de Datos'!$D$7:$N$4330,11,0))=TRUE," ",(VLOOKUP(C50,'Base de Datos'!$D$7:$N$4330,11,0)))</f>
        <v>43110</v>
      </c>
      <c r="S50" s="619" t="s">
        <v>1995</v>
      </c>
      <c r="T50" s="727"/>
      <c r="U50" s="784"/>
    </row>
    <row r="51" spans="2:21" s="620" customFormat="1" ht="24" outlineLevel="1" x14ac:dyDescent="0.25">
      <c r="B51" s="632">
        <v>89</v>
      </c>
      <c r="C51" s="632" t="str">
        <f t="shared" si="5"/>
        <v>201689</v>
      </c>
      <c r="D51" s="538" t="str">
        <f>IF(ISERROR(VLOOKUP(C51,'Base de Datos'!$D$7:$F$4345,2,0))=TRUE,"",(VLOOKUP(C51,'Base de Datos'!$D$7:$F$4345,2,0)))</f>
        <v>160301-0-2016</v>
      </c>
      <c r="E51" s="619" t="s">
        <v>2301</v>
      </c>
      <c r="F51" s="585">
        <v>12250000</v>
      </c>
      <c r="G51" s="817">
        <v>42402</v>
      </c>
      <c r="H51" s="817"/>
      <c r="I51" s="838" t="str">
        <f ca="1">IF(H51=Hoja1!$J$2," ",(IF(MONTH(G51)=MONTH(TODAY()),IF(DAY(G51)&gt;DAY(TODAY()),"Quedan "&amp;ABS(DAY(G51)-DAY(TODAY()))&amp;" Días","Hace "&amp;ABS(DAY(G51)-DAY(TODAY()))&amp;" Días"),"")))</f>
        <v/>
      </c>
      <c r="J51" s="541">
        <f>IF(ISERROR(VLOOKUP(C51,'Base de Datos'!$D$7:$N$4345,6,0))=TRUE,"Sin Celebrar",(VLOOKUP(C51,'Base de Datos'!$D$7:$N$4345,6,0)))</f>
        <v>12250000</v>
      </c>
      <c r="K51" s="617"/>
      <c r="L51" s="541" t="str">
        <f t="shared" si="6"/>
        <v xml:space="preserve"> </v>
      </c>
      <c r="M51" s="541" t="str">
        <f t="shared" si="7"/>
        <v xml:space="preserve"> </v>
      </c>
      <c r="N51" s="724" t="str">
        <f>IF(ISERROR(VLOOKUP(C51,'Base de Datos'!$D$7:$K$1048576,7,0))=TRUE," ",(VLOOKUP(C51,'Base de Datos'!$D$7:$K$1048576,7,0)))</f>
        <v>SDH-SMINC -50-2016</v>
      </c>
      <c r="O51" s="556">
        <f>IF(ISERROR(VLOOKUP(C51,'Base de Datos'!$D$7:$N$4330,9,0))=TRUE," ",(VLOOKUP(C51,'Base de Datos'!$D$7:$N$4330,9,0)))</f>
        <v>42724</v>
      </c>
      <c r="P51" s="618" t="e">
        <f>VLOOKUP(B51,#REF!,13,0)</f>
        <v>#REF!</v>
      </c>
      <c r="Q51" s="556">
        <f>IF(ISERROR(VLOOKUP(C51,'Base de Datos'!$D$7:$N$4330,10,0))=TRUE," ",(VLOOKUP(C51,'Base de Datos'!$D$7:$N$4330,10,0)))</f>
        <v>42732</v>
      </c>
      <c r="R51" s="556">
        <f>IF(ISERROR(VLOOKUP(C51,'Base de Datos'!$D$7:$N$4330,11,0))=TRUE," ",(VLOOKUP(C51,'Base de Datos'!$D$7:$N$4330,11,0)))</f>
        <v>42883</v>
      </c>
      <c r="S51" s="619" t="s">
        <v>1995</v>
      </c>
      <c r="T51" s="727"/>
      <c r="U51" s="784"/>
    </row>
    <row r="52" spans="2:21" s="620" customFormat="1" ht="24" outlineLevel="1" x14ac:dyDescent="0.25">
      <c r="B52" s="632">
        <v>90</v>
      </c>
      <c r="C52" s="632" t="str">
        <f t="shared" si="5"/>
        <v>201690</v>
      </c>
      <c r="D52" s="538"/>
      <c r="E52" s="619" t="s">
        <v>2402</v>
      </c>
      <c r="F52" s="585">
        <v>12000000</v>
      </c>
      <c r="G52" s="817">
        <v>42447</v>
      </c>
      <c r="H52" s="817"/>
      <c r="I52" s="838" t="str">
        <f ca="1">IF(H52=Hoja1!$J$2," ",(IF(MONTH(G52)=MONTH(TODAY()),IF(DAY(G52)&gt;DAY(TODAY()),"Quedan "&amp;ABS(DAY(G52)-DAY(TODAY()))&amp;" Días","Hace "&amp;ABS(DAY(G52)-DAY(TODAY()))&amp;" Días"),"")))</f>
        <v/>
      </c>
      <c r="J52" s="541">
        <f>IF(ISERROR(VLOOKUP(C52,'Base de Datos'!$D$7:$N$4345,6,0))=TRUE,"Sin Celebrar",(VLOOKUP(C52,'Base de Datos'!$D$7:$N$4345,6,0)))</f>
        <v>12000000</v>
      </c>
      <c r="K52" s="617"/>
      <c r="L52" s="541" t="str">
        <f>IF(J52=$W$7,F52, " ")</f>
        <v xml:space="preserve"> </v>
      </c>
      <c r="M52" s="541"/>
      <c r="N52" s="724"/>
      <c r="O52" s="556">
        <f>IF(ISERROR(VLOOKUP(C52,'Base de Datos'!$D$7:$N$4330,9,0))=TRUE," ",(VLOOKUP(C52,'Base de Datos'!$D$7:$N$4330,9,0)))</f>
        <v>42578</v>
      </c>
      <c r="P52" s="618" t="e">
        <f>VLOOKUP(B52,#REF!,13,0)</f>
        <v>#REF!</v>
      </c>
      <c r="Q52" s="556"/>
      <c r="R52" s="556"/>
      <c r="S52" s="619"/>
      <c r="T52" s="727"/>
      <c r="U52" s="784"/>
    </row>
    <row r="53" spans="2:21" s="620" customFormat="1" ht="24" outlineLevel="1" x14ac:dyDescent="0.25">
      <c r="B53" s="632">
        <v>91</v>
      </c>
      <c r="C53" s="632" t="str">
        <f t="shared" si="5"/>
        <v>201691</v>
      </c>
      <c r="D53" s="538" t="str">
        <f>IF(ISERROR(VLOOKUP(C53,'Base de Datos'!$D$7:$F$4345,2,0))=TRUE,"",(VLOOKUP(C53,'Base de Datos'!$D$7:$F$4345,2,0)))</f>
        <v>160243-0-2016</v>
      </c>
      <c r="E53" s="845" t="s">
        <v>2302</v>
      </c>
      <c r="F53" s="585">
        <v>88000000</v>
      </c>
      <c r="G53" s="817">
        <v>42461</v>
      </c>
      <c r="H53" s="817"/>
      <c r="I53" s="838" t="str">
        <f ca="1">IF(H53=Hoja1!$J$2," ",(IF(MONTH(G53)=MONTH(TODAY()),IF(DAY(G53)&gt;DAY(TODAY()),"Quedan "&amp;ABS(DAY(G53)-DAY(TODAY()))&amp;" Días","Hace "&amp;ABS(DAY(G53)-DAY(TODAY()))&amp;" Días"),"")))</f>
        <v/>
      </c>
      <c r="J53" s="541">
        <f>IF(ISERROR(VLOOKUP(C53,'Base de Datos'!$D$7:$N$4345,6,0))=TRUE,"Sin Celebrar",(VLOOKUP(C53,'Base de Datos'!$D$7:$N$4345,6,0)))</f>
        <v>46980000</v>
      </c>
      <c r="K53" s="617"/>
      <c r="L53" s="541" t="str">
        <f t="shared" si="6"/>
        <v xml:space="preserve"> </v>
      </c>
      <c r="M53" s="541">
        <f t="shared" si="7"/>
        <v>41020000</v>
      </c>
      <c r="N53" s="724" t="str">
        <f>IF(ISERROR(VLOOKUP(C53,'Base de Datos'!$D$7:$K$1048576,7,0))=TRUE," ",(VLOOKUP(C53,'Base de Datos'!$D$7:$K$1048576,7,0)))</f>
        <v>SDH-SMINC-37-2016</v>
      </c>
      <c r="O53" s="556">
        <f>IF(ISERROR(VLOOKUP(C53,'Base de Datos'!$D$7:$N$4330,9,0))=TRUE," ",(VLOOKUP(C53,'Base de Datos'!$D$7:$N$4330,9,0)))</f>
        <v>42643</v>
      </c>
      <c r="P53" s="618" t="e">
        <f>VLOOKUP(B53,#REF!,13,0)</f>
        <v>#REF!</v>
      </c>
      <c r="Q53" s="556">
        <f>IF(ISERROR(VLOOKUP(C53,'Base de Datos'!$D$7:$N$4330,10,0))=TRUE," ",(VLOOKUP(C53,'Base de Datos'!$D$7:$N$4330,10,0)))</f>
        <v>42664</v>
      </c>
      <c r="R53" s="556">
        <f>IF(ISERROR(VLOOKUP(C53,'Base de Datos'!$D$7:$N$4330,11,0))=TRUE," ",(VLOOKUP(C53,'Base de Datos'!$D$7:$N$4330,11,0)))</f>
        <v>42815</v>
      </c>
      <c r="S53" s="619" t="s">
        <v>1995</v>
      </c>
      <c r="T53" s="727"/>
      <c r="U53" s="784"/>
    </row>
    <row r="54" spans="2:21" s="620" customFormat="1" ht="24" outlineLevel="1" x14ac:dyDescent="0.25">
      <c r="B54" s="632">
        <v>92</v>
      </c>
      <c r="C54" s="632" t="str">
        <f t="shared" si="5"/>
        <v>201692</v>
      </c>
      <c r="D54" s="538"/>
      <c r="E54" s="845" t="s">
        <v>1576</v>
      </c>
      <c r="F54" s="585">
        <v>173000000</v>
      </c>
      <c r="G54" s="817">
        <v>42401</v>
      </c>
      <c r="H54" s="817"/>
      <c r="I54" s="838" t="str">
        <f ca="1">IF(H54=Hoja1!$J$2," ",(IF(MONTH(G54)=MONTH(TODAY()),IF(DAY(G54)&gt;DAY(TODAY()),"Quedan "&amp;ABS(DAY(G54)-DAY(TODAY()))&amp;" Días","Hace "&amp;ABS(DAY(G54)-DAY(TODAY()))&amp;" Días"),"")))</f>
        <v/>
      </c>
      <c r="J54" s="541">
        <f>IF(ISERROR(VLOOKUP(C54,'Base de Datos'!$D$7:$N$4345,6,0))=TRUE,"Sin Celebrar",(VLOOKUP(C54,'Base de Datos'!$D$7:$N$4345,6,0)))</f>
        <v>173000000</v>
      </c>
      <c r="K54" s="617"/>
      <c r="L54" s="541" t="str">
        <f>IF(J54=$W$7,F54, " ")</f>
        <v xml:space="preserve"> </v>
      </c>
      <c r="M54" s="541"/>
      <c r="N54" s="724"/>
      <c r="O54" s="556">
        <f>IF(ISERROR(VLOOKUP(C54,'Base de Datos'!$D$7:$N$4330,9,0))=TRUE," ",(VLOOKUP(C54,'Base de Datos'!$D$7:$N$4330,9,0)))</f>
        <v>42668</v>
      </c>
      <c r="P54" s="618" t="e">
        <f>VLOOKUP(B54,#REF!,13,0)</f>
        <v>#REF!</v>
      </c>
      <c r="Q54" s="556"/>
      <c r="R54" s="556"/>
      <c r="S54" s="619"/>
      <c r="T54" s="727"/>
      <c r="U54" s="784"/>
    </row>
    <row r="55" spans="2:21" s="620" customFormat="1" ht="24" outlineLevel="1" x14ac:dyDescent="0.25">
      <c r="B55" s="632">
        <v>200</v>
      </c>
      <c r="C55" s="632" t="str">
        <f t="shared" si="5"/>
        <v>2016200</v>
      </c>
      <c r="D55" s="538"/>
      <c r="E55" s="845" t="s">
        <v>2403</v>
      </c>
      <c r="F55" s="585">
        <v>89000000</v>
      </c>
      <c r="G55" s="817">
        <v>42475</v>
      </c>
      <c r="H55" s="817"/>
      <c r="I55" s="838" t="str">
        <f ca="1">IF(H55=Hoja1!$J$2," ",(IF(MONTH(G55)=MONTH(TODAY()),IF(DAY(G55)&gt;DAY(TODAY()),"Quedan "&amp;ABS(DAY(G55)-DAY(TODAY()))&amp;" Días","Hace "&amp;ABS(DAY(G55)-DAY(TODAY()))&amp;" Días"),"")))</f>
        <v/>
      </c>
      <c r="J55" s="541" t="str">
        <f>IF(ISERROR(VLOOKUP(C55,'Base de Datos'!$D$7:$N$4345,6,0))=TRUE,"Sin Celebrar",(VLOOKUP(C55,'Base de Datos'!$D$7:$N$4345,6,0)))</f>
        <v>Sin Celebrar</v>
      </c>
      <c r="K55" s="617"/>
      <c r="L55" s="541">
        <f>IF(J55=$W$7,F55, " ")</f>
        <v>89000000</v>
      </c>
      <c r="M55" s="541"/>
      <c r="N55" s="724"/>
      <c r="O55" s="556" t="str">
        <f>IF(ISERROR(VLOOKUP(C55,'Base de Datos'!$D$7:$N$4330,9,0))=TRUE," ",(VLOOKUP(C55,'Base de Datos'!$D$7:$N$4330,9,0)))</f>
        <v xml:space="preserve"> </v>
      </c>
      <c r="P55" s="618" t="e">
        <f>VLOOKUP(B55,#REF!,13,0)</f>
        <v>#REF!</v>
      </c>
      <c r="Q55" s="556"/>
      <c r="R55" s="556"/>
      <c r="S55" s="619"/>
      <c r="T55" s="727"/>
      <c r="U55" s="784"/>
    </row>
    <row r="56" spans="2:21" s="620" customFormat="1" ht="24" outlineLevel="1" x14ac:dyDescent="0.25">
      <c r="B56" s="632">
        <v>201</v>
      </c>
      <c r="C56" s="632" t="str">
        <f t="shared" si="5"/>
        <v>2016201</v>
      </c>
      <c r="D56" s="538"/>
      <c r="E56" s="845" t="s">
        <v>2404</v>
      </c>
      <c r="F56" s="585">
        <v>41200000</v>
      </c>
      <c r="G56" s="817">
        <v>42430</v>
      </c>
      <c r="H56" s="817"/>
      <c r="I56" s="838" t="str">
        <f ca="1">IF(H56=Hoja1!$J$2," ",(IF(MONTH(G56)=MONTH(TODAY()),IF(DAY(G56)&gt;DAY(TODAY()),"Quedan "&amp;ABS(DAY(G56)-DAY(TODAY()))&amp;" Días","Hace "&amp;ABS(DAY(G56)-DAY(TODAY()))&amp;" Días"),"")))</f>
        <v/>
      </c>
      <c r="J56" s="541">
        <f>IF(ISERROR(VLOOKUP(C56,'Base de Datos'!$D$7:$N$4345,6,0))=TRUE,"Sin Celebrar",(VLOOKUP(C56,'Base de Datos'!$D$7:$N$4345,6,0)))</f>
        <v>17275885</v>
      </c>
      <c r="K56" s="617"/>
      <c r="L56" s="541" t="str">
        <f>IF(J56=$W$7,F56, " ")</f>
        <v xml:space="preserve"> </v>
      </c>
      <c r="M56" s="541"/>
      <c r="N56" s="724"/>
      <c r="O56" s="556">
        <f>IF(ISERROR(VLOOKUP(C56,'Base de Datos'!$D$7:$N$4330,9,0))=TRUE," ",(VLOOKUP(C56,'Base de Datos'!$D$7:$N$4330,9,0)))</f>
        <v>42647</v>
      </c>
      <c r="P56" s="618" t="e">
        <f>VLOOKUP(B56,#REF!,13,0)</f>
        <v>#REF!</v>
      </c>
      <c r="Q56" s="556"/>
      <c r="R56" s="556"/>
      <c r="S56" s="619"/>
      <c r="T56" s="727"/>
      <c r="U56" s="784"/>
    </row>
    <row r="57" spans="2:21" s="620" customFormat="1" ht="24" outlineLevel="1" x14ac:dyDescent="0.25">
      <c r="B57" s="632">
        <v>202</v>
      </c>
      <c r="C57" s="632" t="str">
        <f t="shared" si="5"/>
        <v>2016202</v>
      </c>
      <c r="D57" s="538"/>
      <c r="E57" s="845" t="s">
        <v>2405</v>
      </c>
      <c r="F57" s="585">
        <v>77500000</v>
      </c>
      <c r="G57" s="817">
        <v>42663</v>
      </c>
      <c r="H57" s="817"/>
      <c r="I57" s="838" t="str">
        <f ca="1">IF(H57=Hoja1!$J$2," ",(IF(MONTH(G57)=MONTH(TODAY()),IF(DAY(G57)&gt;DAY(TODAY()),"Quedan "&amp;ABS(DAY(G57)-DAY(TODAY()))&amp;" Días","Hace "&amp;ABS(DAY(G57)-DAY(TODAY()))&amp;" Días"),"")))</f>
        <v/>
      </c>
      <c r="J57" s="541" t="str">
        <f>IF(ISERROR(VLOOKUP(C57,'Base de Datos'!$D$7:$N$4345,6,0))=TRUE,"Sin Celebrar",(VLOOKUP(C57,'Base de Datos'!$D$7:$N$4345,6,0)))</f>
        <v>Sin Celebrar</v>
      </c>
      <c r="K57" s="617"/>
      <c r="L57" s="541">
        <f>IF(J57=$W$7,F57, " ")</f>
        <v>77500000</v>
      </c>
      <c r="M57" s="541"/>
      <c r="N57" s="724"/>
      <c r="O57" s="556" t="str">
        <f>IF(ISERROR(VLOOKUP(C57,'Base de Datos'!$D$7:$N$4330,9,0))=TRUE," ",(VLOOKUP(C57,'Base de Datos'!$D$7:$N$4330,9,0)))</f>
        <v xml:space="preserve"> </v>
      </c>
      <c r="P57" s="618" t="e">
        <f>VLOOKUP(B57,#REF!,13,0)</f>
        <v>#REF!</v>
      </c>
      <c r="Q57" s="556"/>
      <c r="R57" s="556"/>
      <c r="S57" s="619"/>
      <c r="T57" s="727"/>
      <c r="U57" s="784"/>
    </row>
    <row r="58" spans="2:21" s="620" customFormat="1" ht="24" outlineLevel="1" x14ac:dyDescent="0.25">
      <c r="B58" s="632">
        <v>93</v>
      </c>
      <c r="C58" s="632" t="str">
        <f t="shared" si="5"/>
        <v>201693</v>
      </c>
      <c r="D58" s="538" t="str">
        <f>IF(ISERROR(VLOOKUP(C58,'Base de Datos'!$D$7:$F$4345,2,0))=TRUE,"",(VLOOKUP(C58,'Base de Datos'!$D$7:$F$4345,2,0)))</f>
        <v/>
      </c>
      <c r="E58" s="845" t="s">
        <v>1468</v>
      </c>
      <c r="F58" s="585">
        <v>15000000</v>
      </c>
      <c r="G58" s="817">
        <v>42653</v>
      </c>
      <c r="H58" s="817"/>
      <c r="I58" s="838" t="str">
        <f ca="1">IF(H58=Hoja1!$J$2," ",(IF(MONTH(G58)=MONTH(TODAY()),IF(DAY(G58)&gt;DAY(TODAY()),"Quedan "&amp;ABS(DAY(G58)-DAY(TODAY()))&amp;" Días","Hace "&amp;ABS(DAY(G58)-DAY(TODAY()))&amp;" Días"),"")))</f>
        <v/>
      </c>
      <c r="J58" s="541" t="str">
        <f>IF(ISERROR(VLOOKUP(C58,'Base de Datos'!$D$7:$N$4345,6,0))=TRUE,"Sin Celebrar",(VLOOKUP(C58,'Base de Datos'!$D$7:$N$4345,6,0)))</f>
        <v>Sin Celebrar</v>
      </c>
      <c r="K58" s="617"/>
      <c r="L58" s="541">
        <f t="shared" si="6"/>
        <v>15000000</v>
      </c>
      <c r="M58" s="541" t="str">
        <f t="shared" si="7"/>
        <v xml:space="preserve"> </v>
      </c>
      <c r="N58" s="724" t="str">
        <f>IF(ISERROR(VLOOKUP(C58,'Base de Datos'!$D$7:$K$1048576,7,0))=TRUE," ",(VLOOKUP(C58,'Base de Datos'!$D$7:$K$1048576,7,0)))</f>
        <v xml:space="preserve"> </v>
      </c>
      <c r="O58" s="556" t="str">
        <f>IF(ISERROR(VLOOKUP(C58,'Base de Datos'!$D$7:$N$4330,9,0))=TRUE," ",(VLOOKUP(C58,'Base de Datos'!$D$7:$N$4330,9,0)))</f>
        <v xml:space="preserve"> </v>
      </c>
      <c r="P58" s="618" t="e">
        <f>VLOOKUP(B58,#REF!,13,0)</f>
        <v>#REF!</v>
      </c>
      <c r="Q58" s="556" t="str">
        <f>IF(ISERROR(VLOOKUP(C58,'Base de Datos'!$D$7:$N$4330,10,0))=TRUE," ",(VLOOKUP(C58,'Base de Datos'!$D$7:$N$4330,10,0)))</f>
        <v xml:space="preserve"> </v>
      </c>
      <c r="R58" s="556" t="str">
        <f>IF(ISERROR(VLOOKUP(C58,'Base de Datos'!$D$7:$N$4330,11,0))=TRUE," ",(VLOOKUP(C58,'Base de Datos'!$D$7:$N$4330,11,0)))</f>
        <v xml:space="preserve"> </v>
      </c>
      <c r="S58" s="619" t="s">
        <v>1995</v>
      </c>
      <c r="T58" s="727"/>
      <c r="U58" s="784"/>
    </row>
    <row r="59" spans="2:21" s="620" customFormat="1" outlineLevel="1" x14ac:dyDescent="0.25">
      <c r="B59" s="711"/>
      <c r="C59" s="711"/>
      <c r="D59" s="712"/>
      <c r="E59" s="712" t="s">
        <v>1938</v>
      </c>
      <c r="F59" s="815"/>
      <c r="G59" s="823"/>
      <c r="H59" s="823"/>
      <c r="I59" s="560"/>
      <c r="J59" s="585"/>
      <c r="K59" s="714"/>
      <c r="L59" s="585"/>
      <c r="M59" s="585" t="str">
        <f t="shared" si="7"/>
        <v xml:space="preserve"> </v>
      </c>
      <c r="N59" s="785" t="str">
        <f>IF(ISERROR(VLOOKUP(B59,'Base de Datos'!$C$7:$K$1048576,7,0))=TRUE," ",(VLOOKUP(B59,'Base de Datos'!$C$7:$K$1048576,7,0)))</f>
        <v xml:space="preserve"> </v>
      </c>
      <c r="O59" s="618" t="str">
        <f>IF(ISERROR(VLOOKUP(B59,'Base de Datos'!$C$7:$N$4330,9,0))=TRUE," ",(VLOOKUP(B59,'Base de Datos'!$C$7:$N$4330,9,0)))</f>
        <v xml:space="preserve"> </v>
      </c>
      <c r="P59" s="618"/>
      <c r="Q59" s="715" t="str">
        <f>IF(ISERROR(VLOOKUP(B59,'Base de Datos'!$C$7:$N$315,10,0))=TRUE," ",(VLOOKUP(B59,'Base de Datos'!$C$7:$N$315,10,0)))</f>
        <v xml:space="preserve"> </v>
      </c>
      <c r="R59" s="715" t="str">
        <f>IF(ISERROR(VLOOKUP(B59,'Base de Datos'!$C$7:$N$315,11,0))=TRUE," ",(VLOOKUP(B59,'Base de Datos'!$C$7:$N$315,11,0)))</f>
        <v xml:space="preserve"> </v>
      </c>
      <c r="S59" s="619"/>
      <c r="T59" s="727"/>
      <c r="U59" s="784"/>
    </row>
    <row r="60" spans="2:21" s="620" customFormat="1" outlineLevel="1" x14ac:dyDescent="0.25">
      <c r="B60" s="1153"/>
      <c r="C60" s="1153"/>
      <c r="D60" s="1153"/>
      <c r="E60" s="1153"/>
      <c r="F60" s="585"/>
      <c r="G60" s="817"/>
      <c r="H60" s="817"/>
      <c r="I60" s="539"/>
      <c r="J60" s="585"/>
      <c r="K60" s="617"/>
      <c r="L60" s="585"/>
      <c r="M60" s="585"/>
      <c r="N60" s="695"/>
      <c r="O60" s="618"/>
      <c r="P60" s="619"/>
      <c r="Q60" s="618"/>
      <c r="R60" s="618"/>
      <c r="S60" s="619"/>
      <c r="T60" s="727"/>
      <c r="U60" s="784"/>
    </row>
    <row r="61" spans="2:21" x14ac:dyDescent="0.25">
      <c r="B61" s="1152" t="s">
        <v>1652</v>
      </c>
      <c r="C61" s="1152"/>
      <c r="D61" s="1152"/>
      <c r="E61" s="1152"/>
      <c r="F61" s="797"/>
      <c r="G61" s="796">
        <f>COUNT(G63:G65)</f>
        <v>3</v>
      </c>
      <c r="H61" s="796">
        <f>COUNTIF(H63:H66,Hoja1!$J$2)</f>
        <v>0</v>
      </c>
      <c r="I61" s="798"/>
      <c r="J61" s="797">
        <f>SUM(J63:J66)</f>
        <v>0</v>
      </c>
      <c r="K61" s="799" t="e">
        <f>J61/F61</f>
        <v>#DIV/0!</v>
      </c>
      <c r="L61" s="797">
        <f>SUM(L63:L66)</f>
        <v>300919000</v>
      </c>
      <c r="M61" s="797">
        <f>+F61-J61-L61</f>
        <v>-300919000</v>
      </c>
      <c r="N61" s="801"/>
      <c r="O61" s="802" t="str">
        <f>IF(ISERROR(VLOOKUP(B61,'Base de Datos'!$C$7:$N$315,8,0))=TRUE," ",(VLOOKUP(B61,'Base de Datos'!$C$7:$N$315,8,0)))</f>
        <v xml:space="preserve"> </v>
      </c>
      <c r="P61" s="803"/>
      <c r="Q61" s="802" t="str">
        <f>IF(ISERROR(VLOOKUP(B61,'Base de Datos'!$C$7:$N$315,9,0))=TRUE," ",(VLOOKUP(B61,'Base de Datos'!$C$7:$N$315,9,0)))</f>
        <v xml:space="preserve"> </v>
      </c>
      <c r="R61" s="802" t="str">
        <f>IF(ISERROR(VLOOKUP(B61,'Base de Datos'!$C$7:$N$315,10,0))=TRUE," ",(VLOOKUP(B61,'Base de Datos'!$C$7:$N$315,10,0)))</f>
        <v xml:space="preserve"> </v>
      </c>
      <c r="S61" s="795"/>
      <c r="T61" s="727"/>
      <c r="U61" s="639"/>
    </row>
    <row r="62" spans="2:21" s="620" customFormat="1" ht="24" outlineLevel="1" x14ac:dyDescent="0.25">
      <c r="B62" s="632" t="s">
        <v>2348</v>
      </c>
      <c r="C62" s="632"/>
      <c r="D62" s="632" t="s">
        <v>912</v>
      </c>
      <c r="E62" s="632" t="s">
        <v>1825</v>
      </c>
      <c r="F62" s="781" t="s">
        <v>1849</v>
      </c>
      <c r="G62" s="817" t="s">
        <v>2350</v>
      </c>
      <c r="H62" s="817" t="s">
        <v>2354</v>
      </c>
      <c r="I62" s="539" t="s">
        <v>2355</v>
      </c>
      <c r="J62" s="632" t="s">
        <v>1848</v>
      </c>
      <c r="K62" s="617"/>
      <c r="L62" s="632" t="s">
        <v>1942</v>
      </c>
      <c r="M62" s="632" t="s">
        <v>1943</v>
      </c>
      <c r="N62" s="782" t="s">
        <v>1123</v>
      </c>
      <c r="O62" s="783" t="s">
        <v>1850</v>
      </c>
      <c r="P62" s="632" t="s">
        <v>1851</v>
      </c>
      <c r="Q62" s="632" t="s">
        <v>1852</v>
      </c>
      <c r="R62" s="632" t="s">
        <v>375</v>
      </c>
      <c r="S62" s="632" t="s">
        <v>1853</v>
      </c>
      <c r="T62" s="727"/>
      <c r="U62" s="784"/>
    </row>
    <row r="63" spans="2:21" s="620" customFormat="1" ht="24" outlineLevel="1" x14ac:dyDescent="0.25">
      <c r="B63" s="632">
        <v>196</v>
      </c>
      <c r="C63" s="632" t="str">
        <f>$W$6&amp;B63</f>
        <v>2016196</v>
      </c>
      <c r="D63" s="538" t="str">
        <f>IF(ISERROR(VLOOKUP(C63,'Base de Datos'!$D$7:$F$4345,2,0))=TRUE,"",(VLOOKUP(C63,'Base de Datos'!$D$7:$F$4345,2,0)))</f>
        <v/>
      </c>
      <c r="E63" s="619" t="s">
        <v>2406</v>
      </c>
      <c r="F63" s="585">
        <v>11000000</v>
      </c>
      <c r="G63" s="817">
        <v>42583</v>
      </c>
      <c r="H63" s="817"/>
      <c r="I63" s="838" t="str">
        <f ca="1">IF(H63=Hoja1!$J$2," ",(IF(MONTH(G63)=MONTH(TODAY()),IF(DAY(G63)&gt;DAY(TODAY()),"Quedan "&amp;ABS(DAY(G63)-DAY(TODAY()))&amp;" Días","Hace "&amp;ABS(DAY(G63)-DAY(TODAY()))&amp;" Días"),"")))</f>
        <v/>
      </c>
      <c r="J63" s="541" t="str">
        <f>IF(ISERROR(VLOOKUP(C63,'Base de Datos'!$D$7:$N$4345,6,0))=TRUE,"Sin Celebrar",(VLOOKUP(C63,'Base de Datos'!$D$7:$N$4345,6,0)))</f>
        <v>Sin Celebrar</v>
      </c>
      <c r="K63" s="617"/>
      <c r="L63" s="541">
        <f>IF(J63=$W$7,F63, " ")</f>
        <v>11000000</v>
      </c>
      <c r="M63" s="541" t="str">
        <f>IF(J63&lt;F63,(F63-J63)," ")</f>
        <v xml:space="preserve"> </v>
      </c>
      <c r="N63" s="724" t="str">
        <f>IF(ISERROR(VLOOKUP(C63,'Base de Datos'!$D$7:$K$1048576,7,0))=TRUE," ",(VLOOKUP(C63,'Base de Datos'!$D$7:$K$1048576,7,0)))</f>
        <v xml:space="preserve"> </v>
      </c>
      <c r="O63" s="556" t="str">
        <f>IF(ISERROR(VLOOKUP(C63,'Base de Datos'!$D$7:$N$4330,9,0))=TRUE," ",(VLOOKUP(C63,'Base de Datos'!$D$7:$N$4330,9,0)))</f>
        <v xml:space="preserve"> </v>
      </c>
      <c r="P63" s="618" t="e">
        <f>VLOOKUP(B63,#REF!,13,0)</f>
        <v>#REF!</v>
      </c>
      <c r="Q63" s="556" t="str">
        <f>IF(ISERROR(VLOOKUP(C63,'Base de Datos'!$D$7:$N$4330,10,0))=TRUE," ",(VLOOKUP(C63,'Base de Datos'!$D$7:$N$4330,10,0)))</f>
        <v xml:space="preserve"> </v>
      </c>
      <c r="R63" s="556" t="str">
        <f>IF(ISERROR(VLOOKUP(C63,'Base de Datos'!$D$7:$N$4330,11,0))=TRUE," ",(VLOOKUP(C63,'Base de Datos'!$D$7:$N$4330,11,0)))</f>
        <v xml:space="preserve"> </v>
      </c>
      <c r="S63" s="619" t="s">
        <v>2356</v>
      </c>
      <c r="T63" s="727"/>
      <c r="U63" s="784"/>
    </row>
    <row r="64" spans="2:21" s="620" customFormat="1" ht="24" outlineLevel="1" x14ac:dyDescent="0.25">
      <c r="B64" s="632">
        <v>197</v>
      </c>
      <c r="C64" s="632" t="str">
        <f>$W$6&amp;B64</f>
        <v>2016197</v>
      </c>
      <c r="D64" s="538" t="str">
        <f>IF(ISERROR(VLOOKUP(C64,'Base de Datos'!$D$7:$F$4345,2,0))=TRUE,"",(VLOOKUP(C64,'Base de Datos'!$D$7:$F$4345,2,0)))</f>
        <v/>
      </c>
      <c r="E64" s="619" t="s">
        <v>2303</v>
      </c>
      <c r="F64" s="585">
        <v>2319000</v>
      </c>
      <c r="G64" s="817">
        <v>42583</v>
      </c>
      <c r="H64" s="817"/>
      <c r="I64" s="838" t="str">
        <f ca="1">IF(H64=Hoja1!$J$2," ",(IF(MONTH(G64)=MONTH(TODAY()),IF(DAY(G64)&gt;DAY(TODAY()),"Quedan "&amp;ABS(DAY(G64)-DAY(TODAY()))&amp;" Días","Hace "&amp;ABS(DAY(G64)-DAY(TODAY()))&amp;" Días"),"")))</f>
        <v/>
      </c>
      <c r="J64" s="541" t="str">
        <f>IF(ISERROR(VLOOKUP(C64,'Base de Datos'!$D$7:$N$4345,6,0))=TRUE,"Sin Celebrar",(VLOOKUP(C64,'Base de Datos'!$D$7:$N$4345,6,0)))</f>
        <v>Sin Celebrar</v>
      </c>
      <c r="K64" s="617"/>
      <c r="L64" s="541">
        <f>IF(J64=$W$7,F64, " ")</f>
        <v>2319000</v>
      </c>
      <c r="M64" s="541" t="str">
        <f>IF(J64&lt;F64,(F64-J64)," ")</f>
        <v xml:space="preserve"> </v>
      </c>
      <c r="N64" s="724" t="str">
        <f>IF(ISERROR(VLOOKUP(C64,'Base de Datos'!$D$7:$K$1048576,7,0))=TRUE," ",(VLOOKUP(C64,'Base de Datos'!$D$7:$K$1048576,7,0)))</f>
        <v xml:space="preserve"> </v>
      </c>
      <c r="O64" s="556" t="str">
        <f>IF(ISERROR(VLOOKUP(C64,'Base de Datos'!$D$7:$N$4330,9,0))=TRUE," ",(VLOOKUP(C64,'Base de Datos'!$D$7:$N$4330,9,0)))</f>
        <v xml:space="preserve"> </v>
      </c>
      <c r="P64" s="618" t="e">
        <f>VLOOKUP(B64,#REF!,13,0)</f>
        <v>#REF!</v>
      </c>
      <c r="Q64" s="556" t="str">
        <f>IF(ISERROR(VLOOKUP(C64,'Base de Datos'!$D$7:$N$4330,10,0))=TRUE," ",(VLOOKUP(C64,'Base de Datos'!$D$7:$N$4330,10,0)))</f>
        <v xml:space="preserve"> </v>
      </c>
      <c r="R64" s="556" t="str">
        <f>IF(ISERROR(VLOOKUP(C64,'Base de Datos'!$D$7:$N$4330,11,0))=TRUE," ",(VLOOKUP(C64,'Base de Datos'!$D$7:$N$4330,11,0)))</f>
        <v xml:space="preserve"> </v>
      </c>
      <c r="S64" s="619" t="s">
        <v>2357</v>
      </c>
      <c r="T64" s="727"/>
      <c r="U64" s="784"/>
    </row>
    <row r="65" spans="2:21" s="620" customFormat="1" ht="24" outlineLevel="1" x14ac:dyDescent="0.25">
      <c r="B65" s="711">
        <v>195</v>
      </c>
      <c r="C65" s="632" t="str">
        <f>$W$6&amp;B65</f>
        <v>2016195</v>
      </c>
      <c r="D65" s="538" t="str">
        <f>IF(ISERROR(VLOOKUP(C65,'Base de Datos'!$D$7:$F$4345,2,0))=TRUE,"",(VLOOKUP(C65,'Base de Datos'!$D$7:$F$4345,2,0)))</f>
        <v/>
      </c>
      <c r="E65" s="619" t="s">
        <v>2304</v>
      </c>
      <c r="F65" s="713">
        <v>287600000</v>
      </c>
      <c r="G65" s="820">
        <v>42371</v>
      </c>
      <c r="H65" s="817"/>
      <c r="I65" s="838" t="str">
        <f ca="1">IF(H65=Hoja1!$J$2," ",(IF(MONTH(G65)=MONTH(TODAY()),IF(DAY(G65)&gt;DAY(TODAY()),"Quedan "&amp;ABS(DAY(G65)-DAY(TODAY()))&amp;" Días","Hace "&amp;ABS(DAY(G65)-DAY(TODAY()))&amp;" Días"),"")))</f>
        <v>Hace 16 Días</v>
      </c>
      <c r="J65" s="541" t="str">
        <f>IF(ISERROR(VLOOKUP(C65,'Base de Datos'!$D$7:$N$4345,6,0))=TRUE,"Sin Celebrar",(VLOOKUP(C65,'Base de Datos'!$D$7:$N$4345,6,0)))</f>
        <v>Sin Celebrar</v>
      </c>
      <c r="K65" s="714"/>
      <c r="L65" s="541">
        <f>IF(J65=$W$7,F65, " ")</f>
        <v>287600000</v>
      </c>
      <c r="M65" s="541" t="str">
        <f>IF(J65&lt;F65,(F65-J65)," ")</f>
        <v xml:space="preserve"> </v>
      </c>
      <c r="N65" s="724" t="str">
        <f>IF(ISERROR(VLOOKUP(C65,'Base de Datos'!$D$7:$K$1048576,7,0))=TRUE," ",(VLOOKUP(C65,'Base de Datos'!$D$7:$K$1048576,7,0)))</f>
        <v xml:space="preserve"> </v>
      </c>
      <c r="O65" s="556" t="str">
        <f>IF(ISERROR(VLOOKUP(C65,'Base de Datos'!$D$7:$N$4330,9,0))=TRUE," ",(VLOOKUP(C65,'Base de Datos'!$D$7:$N$4330,9,0)))</f>
        <v xml:space="preserve"> </v>
      </c>
      <c r="P65" s="618" t="e">
        <f>VLOOKUP(B65,#REF!,13,0)</f>
        <v>#REF!</v>
      </c>
      <c r="Q65" s="556" t="str">
        <f>IF(ISERROR(VLOOKUP(C65,'Base de Datos'!$D$7:$N$4330,10,0))=TRUE," ",(VLOOKUP(C65,'Base de Datos'!$D$7:$N$4330,10,0)))</f>
        <v xml:space="preserve"> </v>
      </c>
      <c r="R65" s="556" t="str">
        <f>IF(ISERROR(VLOOKUP(C65,'Base de Datos'!$D$7:$N$4330,11,0))=TRUE," ",(VLOOKUP(C65,'Base de Datos'!$D$7:$N$4330,11,0)))</f>
        <v xml:space="preserve"> </v>
      </c>
      <c r="S65" s="619" t="s">
        <v>1511</v>
      </c>
      <c r="T65" s="727"/>
      <c r="U65" s="784"/>
    </row>
    <row r="66" spans="2:21" s="620" customFormat="1" outlineLevel="1" x14ac:dyDescent="0.25">
      <c r="B66" s="816"/>
      <c r="C66" s="816"/>
      <c r="D66" s="816"/>
      <c r="E66" s="619" t="s">
        <v>1941</v>
      </c>
      <c r="F66" s="585"/>
      <c r="G66" s="817"/>
      <c r="H66" s="817"/>
      <c r="I66" s="652"/>
      <c r="J66" s="713"/>
      <c r="K66" s="617"/>
      <c r="L66" s="713"/>
      <c r="M66" s="713" t="str">
        <f>IF(J66&lt;F66,(F66-J66)," ")</f>
        <v xml:space="preserve"> </v>
      </c>
      <c r="N66" s="814"/>
      <c r="O66" s="618" t="str">
        <f>IF(ISERROR(VLOOKUP(B66,'Base de Datos'!$C$7:$N$315,9,0))=TRUE," ",(VLOOKUP(B66,'Base de Datos'!$C$7:$N$315,9,0)))</f>
        <v xml:space="preserve"> </v>
      </c>
      <c r="P66" s="619"/>
      <c r="Q66" s="715" t="str">
        <f>IF(ISERROR(VLOOKUP(B66,'Base de Datos'!$C$7:$N$315,10,0))=TRUE," ",(VLOOKUP(B66,'Base de Datos'!$C$7:$N$315,10,0)))</f>
        <v xml:space="preserve"> </v>
      </c>
      <c r="R66" s="715" t="str">
        <f>IF(ISERROR(VLOOKUP(B66,'Base de Datos'!$C$7:$N$315,11,0))=TRUE," ",(VLOOKUP(B66,'Base de Datos'!$C$7:$N$315,11,0)))</f>
        <v xml:space="preserve"> </v>
      </c>
      <c r="S66" s="650"/>
      <c r="T66" s="727"/>
      <c r="U66" s="784"/>
    </row>
    <row r="67" spans="2:21" s="620" customFormat="1" outlineLevel="1" x14ac:dyDescent="0.25">
      <c r="B67" s="816"/>
      <c r="C67" s="816"/>
      <c r="D67" s="816"/>
      <c r="E67" s="816"/>
      <c r="F67" s="585"/>
      <c r="G67" s="817"/>
      <c r="H67" s="817"/>
      <c r="I67" s="652"/>
      <c r="J67" s="585"/>
      <c r="K67" s="617"/>
      <c r="L67" s="585"/>
      <c r="M67" s="585"/>
      <c r="N67" s="695"/>
      <c r="O67" s="618"/>
      <c r="P67" s="619"/>
      <c r="Q67" s="618"/>
      <c r="R67" s="618"/>
      <c r="S67" s="619"/>
      <c r="T67" s="727"/>
      <c r="U67" s="784"/>
    </row>
    <row r="68" spans="2:21" x14ac:dyDescent="0.25">
      <c r="B68" s="1152" t="s">
        <v>1653</v>
      </c>
      <c r="C68" s="1152"/>
      <c r="D68" s="1152"/>
      <c r="E68" s="1152"/>
      <c r="F68" s="797"/>
      <c r="G68" s="796">
        <f>COUNT(G70:G72)</f>
        <v>3</v>
      </c>
      <c r="H68" s="796">
        <f>COUNTIF(H70:H73,Hoja1!$J$2)</f>
        <v>0</v>
      </c>
      <c r="I68" s="798"/>
      <c r="J68" s="797">
        <f>SUM(J70:J73)</f>
        <v>138767000</v>
      </c>
      <c r="K68" s="799" t="e">
        <f>J68/F68</f>
        <v>#DIV/0!</v>
      </c>
      <c r="L68" s="797">
        <f>SUM(L70:L73)</f>
        <v>0</v>
      </c>
      <c r="M68" s="797">
        <f>+F68-J68-L68</f>
        <v>-138767000</v>
      </c>
      <c r="N68" s="801"/>
      <c r="O68" s="802" t="str">
        <f>IF(ISERROR(VLOOKUP(B68,'Base de Datos'!$C$7:$N$315,8,0))=TRUE," ",(VLOOKUP(B68,'Base de Datos'!$C$7:$N$315,8,0)))</f>
        <v xml:space="preserve"> </v>
      </c>
      <c r="P68" s="803"/>
      <c r="Q68" s="802" t="str">
        <f>IF(ISERROR(VLOOKUP(B68,'Base de Datos'!$C$7:$N$315,9,0))=TRUE," ",(VLOOKUP(B68,'Base de Datos'!$C$7:$N$315,9,0)))</f>
        <v xml:space="preserve"> </v>
      </c>
      <c r="R68" s="802" t="str">
        <f>IF(ISERROR(VLOOKUP(B68,'Base de Datos'!$C$7:$N$315,10,0))=TRUE," ",(VLOOKUP(B68,'Base de Datos'!$C$7:$N$315,10,0)))</f>
        <v xml:space="preserve"> </v>
      </c>
      <c r="S68" s="795"/>
      <c r="T68" s="727"/>
      <c r="U68" s="639"/>
    </row>
    <row r="69" spans="2:21" ht="24" outlineLevel="1" x14ac:dyDescent="0.25">
      <c r="B69" s="632" t="s">
        <v>2348</v>
      </c>
      <c r="C69" s="632"/>
      <c r="D69" s="632" t="s">
        <v>912</v>
      </c>
      <c r="E69" s="632" t="s">
        <v>1825</v>
      </c>
      <c r="F69" s="781" t="s">
        <v>1849</v>
      </c>
      <c r="G69" s="817" t="s">
        <v>2350</v>
      </c>
      <c r="H69" s="817" t="s">
        <v>2354</v>
      </c>
      <c r="I69" s="539" t="s">
        <v>2355</v>
      </c>
      <c r="J69" s="632" t="s">
        <v>1848</v>
      </c>
      <c r="K69" s="617"/>
      <c r="L69" s="632" t="s">
        <v>1942</v>
      </c>
      <c r="M69" s="632" t="s">
        <v>1943</v>
      </c>
      <c r="N69" s="782" t="s">
        <v>1123</v>
      </c>
      <c r="O69" s="783" t="s">
        <v>1850</v>
      </c>
      <c r="P69" s="632" t="s">
        <v>1851</v>
      </c>
      <c r="Q69" s="632" t="s">
        <v>1852</v>
      </c>
      <c r="R69" s="632" t="s">
        <v>375</v>
      </c>
      <c r="S69" s="632" t="s">
        <v>1853</v>
      </c>
      <c r="T69" s="727"/>
      <c r="U69" s="639"/>
    </row>
    <row r="70" spans="2:21" ht="24" outlineLevel="1" x14ac:dyDescent="0.25">
      <c r="B70" s="542">
        <v>208</v>
      </c>
      <c r="C70" s="632" t="str">
        <f>$W$6&amp;B70</f>
        <v>2016208</v>
      </c>
      <c r="D70" s="538" t="str">
        <f>IF(ISERROR(VLOOKUP(C70,'Base de Datos'!$D$7:$F$4345,2,0))=TRUE,"",(VLOOKUP(C70,'Base de Datos'!$D$7:$F$4345,2,0)))</f>
        <v>160225-0-2016</v>
      </c>
      <c r="E70" s="619" t="s">
        <v>2305</v>
      </c>
      <c r="F70" s="541">
        <v>71482000</v>
      </c>
      <c r="G70" s="818">
        <v>42401</v>
      </c>
      <c r="H70" s="817"/>
      <c r="I70" s="838" t="str">
        <f ca="1">IF(H70=Hoja1!$J$2," ",(IF(MONTH(G70)=MONTH(TODAY()),IF(DAY(G70)&gt;DAY(TODAY()),"Quedan "&amp;ABS(DAY(G70)-DAY(TODAY()))&amp;" Días","Hace "&amp;ABS(DAY(G70)-DAY(TODAY()))&amp;" Días"),"")))</f>
        <v/>
      </c>
      <c r="J70" s="541">
        <f>IF(ISERROR(VLOOKUP(C70,'Base de Datos'!$D$7:$N$4345,6,0))=TRUE,"Sin Celebrar",(VLOOKUP(C70,'Base de Datos'!$D$7:$N$4345,6,0)))</f>
        <v>71482000</v>
      </c>
      <c r="K70" s="605"/>
      <c r="L70" s="541" t="str">
        <f>IF(J70=$W$7,F70, " ")</f>
        <v xml:space="preserve"> </v>
      </c>
      <c r="M70" s="541" t="str">
        <f>IF(J70&lt;F70,(F70-J70)," ")</f>
        <v xml:space="preserve"> </v>
      </c>
      <c r="N70" s="724" t="str">
        <f>IF(ISERROR(VLOOKUP(C70,'Base de Datos'!$D$7:$K$1048576,7,0))=TRUE," ",(VLOOKUP(C70,'Base de Datos'!$D$7:$K$1048576,7,0)))</f>
        <v>SDH-SIE-11-2016</v>
      </c>
      <c r="O70" s="556">
        <f>IF(ISERROR(VLOOKUP(C70,'Base de Datos'!$D$7:$N$4330,9,0))=TRUE," ",(VLOOKUP(C70,'Base de Datos'!$D$7:$N$4330,9,0)))</f>
        <v>42629</v>
      </c>
      <c r="P70" s="618" t="e">
        <f>VLOOKUP(B70,#REF!,13,0)</f>
        <v>#REF!</v>
      </c>
      <c r="Q70" s="556">
        <f>IF(ISERROR(VLOOKUP(C70,'Base de Datos'!$D$7:$N$4330,10,0))=TRUE," ",(VLOOKUP(C70,'Base de Datos'!$D$7:$N$4330,10,0)))</f>
        <v>42646</v>
      </c>
      <c r="R70" s="556">
        <f>IF(ISERROR(VLOOKUP(C70,'Base de Datos'!$D$7:$N$4330,11,0))=TRUE," ",(VLOOKUP(C70,'Base de Datos'!$D$7:$N$4330,11,0)))</f>
        <v>42858</v>
      </c>
      <c r="S70" s="619" t="s">
        <v>1511</v>
      </c>
      <c r="T70" s="727"/>
      <c r="U70" s="639"/>
    </row>
    <row r="71" spans="2:21" ht="24" outlineLevel="1" x14ac:dyDescent="0.25">
      <c r="B71" s="542">
        <v>207</v>
      </c>
      <c r="C71" s="632" t="str">
        <f>$W$6&amp;B71</f>
        <v>2016207</v>
      </c>
      <c r="D71" s="538" t="str">
        <f>IF(ISERROR(VLOOKUP(C71,'Base de Datos'!$D$7:$F$4345,2,0))=TRUE,"",(VLOOKUP(C71,'Base de Datos'!$D$7:$F$4345,2,0)))</f>
        <v>160307-0-2016</v>
      </c>
      <c r="E71" s="619" t="s">
        <v>1139</v>
      </c>
      <c r="F71" s="541">
        <v>136990000</v>
      </c>
      <c r="G71" s="818">
        <v>42374</v>
      </c>
      <c r="H71" s="817"/>
      <c r="I71" s="838" t="str">
        <f ca="1">IF(H71=Hoja1!$J$2," ",(IF(MONTH(G71)=MONTH(TODAY()),IF(DAY(G71)&gt;DAY(TODAY()),"Quedan "&amp;ABS(DAY(G71)-DAY(TODAY()))&amp;" Días","Hace "&amp;ABS(DAY(G71)-DAY(TODAY()))&amp;" Días"),"")))</f>
        <v>Hace 13 Días</v>
      </c>
      <c r="J71" s="541">
        <f>IF(ISERROR(VLOOKUP(C71,'Base de Datos'!$D$7:$N$4345,6,0))=TRUE,"Sin Celebrar",(VLOOKUP(C71,'Base de Datos'!$D$7:$N$4345,6,0)))</f>
        <v>64285000</v>
      </c>
      <c r="K71" s="605"/>
      <c r="L71" s="541" t="str">
        <f>IF(J71=$W$7,F71, " ")</f>
        <v xml:space="preserve"> </v>
      </c>
      <c r="M71" s="541">
        <f>IF(J71&lt;F71,(F71-J71)," ")</f>
        <v>72705000</v>
      </c>
      <c r="N71" s="724" t="str">
        <f>IF(ISERROR(VLOOKUP(C71,'Base de Datos'!$D$7:$K$1048576,7,0))=TRUE," ",(VLOOKUP(C71,'Base de Datos'!$D$7:$K$1048576,7,0)))</f>
        <v>SDH-SMINC-48-2016</v>
      </c>
      <c r="O71" s="556">
        <f>IF(ISERROR(VLOOKUP(C71,'Base de Datos'!$D$7:$N$4330,9,0))=TRUE," ",(VLOOKUP(C71,'Base de Datos'!$D$7:$N$4330,9,0)))</f>
        <v>42726</v>
      </c>
      <c r="P71" s="618" t="e">
        <f>VLOOKUP(B71,#REF!,13,0)</f>
        <v>#REF!</v>
      </c>
      <c r="Q71" s="556">
        <f>IF(ISERROR(VLOOKUP(C71,'Base de Datos'!$D$7:$N$4330,10,0))=TRUE," ",(VLOOKUP(C71,'Base de Datos'!$D$7:$N$4330,10,0)))</f>
        <v>42730</v>
      </c>
      <c r="R71" s="556">
        <f>IF(ISERROR(VLOOKUP(C71,'Base de Datos'!$D$7:$N$4330,11,0))=TRUE," ",(VLOOKUP(C71,'Base de Datos'!$D$7:$N$4330,11,0)))</f>
        <v>42797</v>
      </c>
      <c r="S71" s="538" t="s">
        <v>2080</v>
      </c>
      <c r="T71" s="727"/>
      <c r="U71" s="639"/>
    </row>
    <row r="72" spans="2:21" ht="24" outlineLevel="1" x14ac:dyDescent="0.25">
      <c r="B72" s="542">
        <v>209</v>
      </c>
      <c r="C72" s="632" t="str">
        <f>$W$6&amp;B72</f>
        <v>2016209</v>
      </c>
      <c r="D72" s="538" t="str">
        <f>IF(ISERROR(VLOOKUP(C72,'Base de Datos'!$D$7:$F$4345,2,0))=TRUE,"",(VLOOKUP(C72,'Base de Datos'!$D$7:$F$4345,2,0)))</f>
        <v>160284-0-2016</v>
      </c>
      <c r="E72" s="619" t="s">
        <v>2306</v>
      </c>
      <c r="F72" s="541">
        <v>5150400</v>
      </c>
      <c r="G72" s="818">
        <v>42491</v>
      </c>
      <c r="H72" s="817"/>
      <c r="I72" s="838" t="str">
        <f ca="1">IF(H72=Hoja1!$J$2," ",(IF(MONTH(G72)=MONTH(TODAY()),IF(DAY(G72)&gt;DAY(TODAY()),"Quedan "&amp;ABS(DAY(G72)-DAY(TODAY()))&amp;" Días","Hace "&amp;ABS(DAY(G72)-DAY(TODAY()))&amp;" Días"),"")))</f>
        <v/>
      </c>
      <c r="J72" s="541">
        <f>IF(ISERROR(VLOOKUP(C72,'Base de Datos'!$D$7:$N$4345,6,0))=TRUE,"Sin Celebrar",(VLOOKUP(C72,'Base de Datos'!$D$7:$N$4345,6,0)))</f>
        <v>3000000</v>
      </c>
      <c r="K72" s="605"/>
      <c r="L72" s="541" t="str">
        <f>IF(J72=$W$7,F72, " ")</f>
        <v xml:space="preserve"> </v>
      </c>
      <c r="M72" s="541">
        <f>IF(J72&lt;F72,(F72-J72)," ")</f>
        <v>2150400</v>
      </c>
      <c r="N72" s="724" t="str">
        <f>IF(ISERROR(VLOOKUP(C72,'Base de Datos'!$D$7:$K$1048576,7,0))=TRUE," ",(VLOOKUP(C72,'Base de Datos'!$D$7:$K$1048576,7,0)))</f>
        <v>SDH-SMINC-44-2016</v>
      </c>
      <c r="O72" s="556">
        <f>IF(ISERROR(VLOOKUP(C72,'Base de Datos'!$D$7:$N$4330,9,0))=TRUE," ",(VLOOKUP(C72,'Base de Datos'!$D$7:$N$4330,9,0)))</f>
        <v>42703</v>
      </c>
      <c r="P72" s="618" t="e">
        <f>VLOOKUP(B72,#REF!,13,0)</f>
        <v>#REF!</v>
      </c>
      <c r="Q72" s="556">
        <f>IF(ISERROR(VLOOKUP(C72,'Base de Datos'!$D$7:$N$4330,10,0))=TRUE," ",(VLOOKUP(C72,'Base de Datos'!$D$7:$N$4330,10,0)))</f>
        <v>42726</v>
      </c>
      <c r="R72" s="556">
        <f>IF(ISERROR(VLOOKUP(C72,'Base de Datos'!$D$7:$N$4330,11,0))=TRUE," ",(VLOOKUP(C72,'Base de Datos'!$D$7:$N$4330,11,0)))</f>
        <v>42847</v>
      </c>
      <c r="S72" s="619" t="s">
        <v>2357</v>
      </c>
      <c r="T72" s="727"/>
      <c r="U72" s="639"/>
    </row>
    <row r="73" spans="2:21" outlineLevel="1" x14ac:dyDescent="0.25">
      <c r="B73" s="653"/>
      <c r="C73" s="653"/>
      <c r="D73" s="653"/>
      <c r="E73" s="538" t="s">
        <v>1938</v>
      </c>
      <c r="F73" s="541"/>
      <c r="G73" s="818"/>
      <c r="H73" s="818"/>
      <c r="I73" s="539"/>
      <c r="J73" s="541"/>
      <c r="K73" s="605"/>
      <c r="L73" s="559"/>
      <c r="M73" s="559" t="str">
        <f>IF(J73&lt;F73,(F73-J73)," ")</f>
        <v xml:space="preserve"> </v>
      </c>
      <c r="N73" s="684"/>
      <c r="O73" s="556" t="str">
        <f>IF(ISERROR(VLOOKUP(B73,'Base de Datos'!$C$7:$N$315,9,0))=TRUE," ",(VLOOKUP(B73,'Base de Datos'!$C$7:$N$315,9,0)))</f>
        <v xml:space="preserve"> </v>
      </c>
      <c r="P73" s="538"/>
      <c r="Q73" s="561" t="str">
        <f>IF(ISERROR(VLOOKUP(B73,'Base de Datos'!$C$7:$N$315,10,0))=TRUE," ",(VLOOKUP(B73,'Base de Datos'!$C$7:$N$315,10,0)))</f>
        <v xml:space="preserve"> </v>
      </c>
      <c r="R73" s="561" t="str">
        <f>IF(ISERROR(VLOOKUP(B73,'Base de Datos'!$C$7:$N$315,11,0))=TRUE," ",(VLOOKUP(B73,'Base de Datos'!$C$7:$N$315,11,0)))</f>
        <v xml:space="preserve"> </v>
      </c>
      <c r="S73" s="538"/>
      <c r="T73" s="727"/>
      <c r="U73" s="639"/>
    </row>
    <row r="74" spans="2:21" outlineLevel="1" x14ac:dyDescent="0.25">
      <c r="B74" s="653"/>
      <c r="C74" s="653"/>
      <c r="D74" s="653"/>
      <c r="E74" s="653"/>
      <c r="F74" s="541"/>
      <c r="G74" s="818"/>
      <c r="H74" s="818"/>
      <c r="I74" s="539"/>
      <c r="J74" s="541"/>
      <c r="K74" s="605"/>
      <c r="L74" s="541"/>
      <c r="M74" s="541"/>
      <c r="N74" s="683"/>
      <c r="O74" s="556"/>
      <c r="P74" s="538"/>
      <c r="Q74" s="556"/>
      <c r="R74" s="556"/>
      <c r="S74" s="538"/>
      <c r="T74" s="727"/>
      <c r="U74" s="639"/>
    </row>
    <row r="75" spans="2:21" x14ac:dyDescent="0.25">
      <c r="B75" s="1129" t="s">
        <v>1654</v>
      </c>
      <c r="C75" s="1129"/>
      <c r="D75" s="1129"/>
      <c r="E75" s="1129"/>
      <c r="F75" s="786"/>
      <c r="G75" s="831">
        <f>+G76+G84+G97+G117+G132+G149+G154+G160+G166+G174+G179</f>
        <v>41</v>
      </c>
      <c r="H75" s="831">
        <f>+H76+H84+H97+H117+H132+H149+H154+H160+H166+H174+H179</f>
        <v>1</v>
      </c>
      <c r="I75" s="593"/>
      <c r="J75" s="592">
        <f>+J76+J84+J97+J117+J132+J149+J154+J160+J166+J174+J179</f>
        <v>2993194546</v>
      </c>
      <c r="K75" s="608" t="e">
        <f>J75/F75</f>
        <v>#DIV/0!</v>
      </c>
      <c r="L75" s="592">
        <f>+L76+L84+L97+L117+L132+L149+L154+L160+L166+L174+L179</f>
        <v>1534007000</v>
      </c>
      <c r="M75" s="592">
        <f>+M76+M84+M97+M117+M132+M149+M154+M160+M166+M174+M179</f>
        <v>-4527201546</v>
      </c>
      <c r="N75" s="687"/>
      <c r="O75" s="592"/>
      <c r="P75" s="595"/>
      <c r="Q75" s="594" t="str">
        <f>IF(ISERROR(VLOOKUP(B75,'Base de Datos'!$C$7:$N$315,9,0))=TRUE," ",(VLOOKUP(B75,'Base de Datos'!$C$7:$N$315,9,0)))</f>
        <v xml:space="preserve"> </v>
      </c>
      <c r="R75" s="594" t="str">
        <f>IF(ISERROR(VLOOKUP(B75,'Base de Datos'!$C$7:$N$315,10,0))=TRUE," ",(VLOOKUP(B75,'Base de Datos'!$C$7:$N$315,10,0)))</f>
        <v xml:space="preserve"> </v>
      </c>
      <c r="S75" s="597"/>
      <c r="T75" s="727"/>
      <c r="U75" s="639"/>
    </row>
    <row r="76" spans="2:21" x14ac:dyDescent="0.25">
      <c r="B76" s="1149" t="s">
        <v>1655</v>
      </c>
      <c r="C76" s="1149"/>
      <c r="D76" s="1149"/>
      <c r="E76" s="1149"/>
      <c r="F76" s="790"/>
      <c r="G76" s="796">
        <f>COUNT(G78:G80)</f>
        <v>3</v>
      </c>
      <c r="H76" s="796">
        <f>COUNTIF(H78:H82,Hoja1!$J$2)</f>
        <v>0</v>
      </c>
      <c r="I76" s="791"/>
      <c r="J76" s="790">
        <f>SUM(J78:J82)</f>
        <v>45937000</v>
      </c>
      <c r="K76" s="792" t="e">
        <f>J76/F76</f>
        <v>#DIV/0!</v>
      </c>
      <c r="L76" s="790">
        <f>SUM(L78:L82)</f>
        <v>156200000</v>
      </c>
      <c r="M76" s="790">
        <f>+F76-J76-L76</f>
        <v>-202137000</v>
      </c>
      <c r="N76" s="793"/>
      <c r="O76" s="794" t="str">
        <f>IF(ISERROR(VLOOKUP(B76,'Base de Datos'!$C$7:$N$315,8,0))=TRUE," ",(VLOOKUP(B76,'Base de Datos'!$C$7:$N$315,8,0)))</f>
        <v xml:space="preserve"> </v>
      </c>
      <c r="P76" s="795"/>
      <c r="Q76" s="794" t="str">
        <f>IF(ISERROR(VLOOKUP(B76,'Base de Datos'!$C$7:$N$315,9,0))=TRUE," ",(VLOOKUP(B76,'Base de Datos'!$C$7:$N$315,9,0)))</f>
        <v xml:space="preserve"> </v>
      </c>
      <c r="R76" s="794" t="str">
        <f>IF(ISERROR(VLOOKUP(B76,'Base de Datos'!$C$7:$N$315,10,0))=TRUE," ",(VLOOKUP(B76,'Base de Datos'!$C$7:$N$315,10,0)))</f>
        <v xml:space="preserve"> </v>
      </c>
      <c r="S76" s="795"/>
      <c r="T76" s="727"/>
      <c r="U76" s="639"/>
    </row>
    <row r="77" spans="2:21" s="620" customFormat="1" ht="24" outlineLevel="1" x14ac:dyDescent="0.25">
      <c r="B77" s="632" t="s">
        <v>2348</v>
      </c>
      <c r="C77" s="632"/>
      <c r="D77" s="632" t="s">
        <v>912</v>
      </c>
      <c r="E77" s="632" t="s">
        <v>1825</v>
      </c>
      <c r="F77" s="781" t="s">
        <v>1849</v>
      </c>
      <c r="G77" s="817" t="s">
        <v>2350</v>
      </c>
      <c r="H77" s="817" t="s">
        <v>2354</v>
      </c>
      <c r="I77" s="539" t="s">
        <v>2355</v>
      </c>
      <c r="J77" s="632" t="s">
        <v>1848</v>
      </c>
      <c r="K77" s="617"/>
      <c r="L77" s="632" t="s">
        <v>1942</v>
      </c>
      <c r="M77" s="632" t="s">
        <v>1943</v>
      </c>
      <c r="N77" s="782" t="s">
        <v>1123</v>
      </c>
      <c r="O77" s="783" t="s">
        <v>1850</v>
      </c>
      <c r="P77" s="632" t="s">
        <v>1851</v>
      </c>
      <c r="Q77" s="632" t="s">
        <v>1852</v>
      </c>
      <c r="R77" s="632" t="s">
        <v>375</v>
      </c>
      <c r="S77" s="632" t="s">
        <v>1853</v>
      </c>
      <c r="T77" s="727"/>
      <c r="U77" s="784"/>
    </row>
    <row r="78" spans="2:21" s="620" customFormat="1" ht="24" outlineLevel="1" x14ac:dyDescent="0.25">
      <c r="B78" s="632">
        <v>210</v>
      </c>
      <c r="C78" s="632" t="str">
        <f>$W$6&amp;B78</f>
        <v>2016210</v>
      </c>
      <c r="D78" s="538" t="str">
        <f>IF(ISERROR(VLOOKUP(C78,'Base de Datos'!$D$7:$F$4345,2,0))=TRUE,"",(VLOOKUP(C78,'Base de Datos'!$D$7:$F$4345,2,0)))</f>
        <v>160105-0-2016</v>
      </c>
      <c r="E78" s="619" t="s">
        <v>2307</v>
      </c>
      <c r="F78" s="585">
        <v>34504000</v>
      </c>
      <c r="G78" s="817">
        <v>42384</v>
      </c>
      <c r="H78" s="817"/>
      <c r="I78" s="838" t="str">
        <f ca="1">IF(H78=Hoja1!$J$2," ",(IF(MONTH(G78)=MONTH(TODAY()),IF(DAY(G78)&gt;DAY(TODAY()),"Quedan "&amp;ABS(DAY(G78)-DAY(TODAY()))&amp;" Días","Hace "&amp;ABS(DAY(G78)-DAY(TODAY()))&amp;" Días"),"")))</f>
        <v>Hace 3 Días</v>
      </c>
      <c r="J78" s="541">
        <f>IF(ISERROR(VLOOKUP(C78,'Base de Datos'!$D$7:$N$4345,6,0))=TRUE,"Sin Celebrar",(VLOOKUP(C78,'Base de Datos'!$D$7:$N$4345,6,0)))</f>
        <v>33009000</v>
      </c>
      <c r="K78" s="617"/>
      <c r="L78" s="541" t="str">
        <f>IF(J78=$W$7,F78, " ")</f>
        <v xml:space="preserve"> </v>
      </c>
      <c r="M78" s="541">
        <f>IF(J78&lt;F78,(F78-J78)," ")</f>
        <v>1495000</v>
      </c>
      <c r="N78" s="724" t="str">
        <f>IF(ISERROR(VLOOKUP(C78,'Base de Datos'!$D$7:$K$1048576,7,0))=TRUE," ",(VLOOKUP(C78,'Base de Datos'!$D$7:$K$1048576,7,0)))</f>
        <v>SDH-SIE-02-2016</v>
      </c>
      <c r="O78" s="556">
        <f>IF(ISERROR(VLOOKUP(C78,'Base de Datos'!$D$7:$N$4330,9,0))=TRUE," ",(VLOOKUP(C78,'Base de Datos'!$D$7:$N$4330,9,0)))</f>
        <v>42508</v>
      </c>
      <c r="P78" s="618" t="e">
        <f>VLOOKUP(B78,#REF!,13,0)</f>
        <v>#REF!</v>
      </c>
      <c r="Q78" s="556">
        <f>IF(ISERROR(VLOOKUP(C78,'Base de Datos'!$D$7:$N$4330,10,0))=TRUE," ",(VLOOKUP(C78,'Base de Datos'!$D$7:$N$4330,10,0)))</f>
        <v>42513</v>
      </c>
      <c r="R78" s="556">
        <f>IF(ISERROR(VLOOKUP(C78,'Base de Datos'!$D$7:$N$4330,11,0))=TRUE," ",(VLOOKUP(C78,'Base de Datos'!$D$7:$N$4330,11,0)))</f>
        <v>42878</v>
      </c>
      <c r="S78" s="619" t="s">
        <v>1511</v>
      </c>
      <c r="T78" s="727"/>
      <c r="U78" s="784"/>
    </row>
    <row r="79" spans="2:21" s="620" customFormat="1" ht="24" outlineLevel="1" x14ac:dyDescent="0.25">
      <c r="B79" s="632">
        <v>133</v>
      </c>
      <c r="C79" s="632" t="str">
        <f>$W$6&amp;B79</f>
        <v>2016133</v>
      </c>
      <c r="D79" s="538" t="str">
        <f>IF(ISERROR(VLOOKUP(C79,'Base de Datos'!$D$7:$F$4345,2,0))=TRUE,"",(VLOOKUP(C79,'Base de Datos'!$D$7:$F$4345,2,0)))</f>
        <v/>
      </c>
      <c r="E79" s="845" t="s">
        <v>2308</v>
      </c>
      <c r="F79" s="585">
        <v>1700000</v>
      </c>
      <c r="G79" s="817">
        <v>42491</v>
      </c>
      <c r="H79" s="817"/>
      <c r="I79" s="838" t="str">
        <f ca="1">IF(H79=Hoja1!$J$2," ",(IF(MONTH(G79)=MONTH(TODAY()),IF(DAY(G79)&gt;DAY(TODAY()),"Quedan "&amp;ABS(DAY(G79)-DAY(TODAY()))&amp;" Días","Hace "&amp;ABS(DAY(G79)-DAY(TODAY()))&amp;" Días"),"")))</f>
        <v/>
      </c>
      <c r="J79" s="541" t="str">
        <f>IF(ISERROR(VLOOKUP(C79,'Base de Datos'!$D$7:$N$4345,6,0))=TRUE,"Sin Celebrar",(VLOOKUP(C79,'Base de Datos'!$D$7:$N$4345,6,0)))</f>
        <v>Sin Celebrar</v>
      </c>
      <c r="K79" s="617"/>
      <c r="L79" s="541">
        <f>IF(J79=$W$7,F79, " ")</f>
        <v>1700000</v>
      </c>
      <c r="M79" s="541" t="str">
        <f>IF(J79&lt;F79,(F79-J79)," ")</f>
        <v xml:space="preserve"> </v>
      </c>
      <c r="N79" s="724" t="str">
        <f>IF(ISERROR(VLOOKUP(C79,'Base de Datos'!$D$7:$K$1048576,7,0))=TRUE," ",(VLOOKUP(C79,'Base de Datos'!$D$7:$K$1048576,7,0)))</f>
        <v xml:space="preserve"> </v>
      </c>
      <c r="O79" s="556" t="str">
        <f>IF(ISERROR(VLOOKUP(C79,'Base de Datos'!$D$7:$N$4330,9,0))=TRUE," ",(VLOOKUP(C79,'Base de Datos'!$D$7:$N$4330,9,0)))</f>
        <v xml:space="preserve"> </v>
      </c>
      <c r="P79" s="618" t="e">
        <f>VLOOKUP(B79,#REF!,13,0)</f>
        <v>#REF!</v>
      </c>
      <c r="Q79" s="556" t="str">
        <f>IF(ISERROR(VLOOKUP(C79,'Base de Datos'!$D$7:$N$4330,10,0))=TRUE," ",(VLOOKUP(C79,'Base de Datos'!$D$7:$N$4330,10,0)))</f>
        <v xml:space="preserve"> </v>
      </c>
      <c r="R79" s="556" t="str">
        <f>IF(ISERROR(VLOOKUP(C79,'Base de Datos'!$D$7:$N$4330,11,0))=TRUE," ",(VLOOKUP(C79,'Base de Datos'!$D$7:$N$4330,11,0)))</f>
        <v xml:space="preserve"> </v>
      </c>
      <c r="S79" s="619" t="s">
        <v>981</v>
      </c>
      <c r="T79" s="727"/>
      <c r="U79" s="784"/>
    </row>
    <row r="80" spans="2:21" s="620" customFormat="1" ht="24" outlineLevel="1" x14ac:dyDescent="0.25">
      <c r="B80" s="632">
        <v>211</v>
      </c>
      <c r="C80" s="632" t="str">
        <f>$W$6&amp;B80</f>
        <v>2016211</v>
      </c>
      <c r="D80" s="538" t="str">
        <f>IF(ISERROR(VLOOKUP(C80,'Base de Datos'!$D$7:$F$4345,2,0))=TRUE,"",(VLOOKUP(C80,'Base de Datos'!$D$7:$F$4345,2,0)))</f>
        <v>160165-0-2016</v>
      </c>
      <c r="E80" s="619" t="s">
        <v>2309</v>
      </c>
      <c r="F80" s="585">
        <v>11328000</v>
      </c>
      <c r="G80" s="817">
        <v>42430</v>
      </c>
      <c r="H80" s="817"/>
      <c r="I80" s="838" t="str">
        <f ca="1">IF(H80=Hoja1!$J$2," ",(IF(MONTH(G80)=MONTH(TODAY()),IF(DAY(G80)&gt;DAY(TODAY()),"Quedan "&amp;ABS(DAY(G80)-DAY(TODAY()))&amp;" Días","Hace "&amp;ABS(DAY(G80)-DAY(TODAY()))&amp;" Días"),"")))</f>
        <v/>
      </c>
      <c r="J80" s="541">
        <f>IF(ISERROR(VLOOKUP(C80,'Base de Datos'!$D$7:$N$4345,6,0))=TRUE,"Sin Celebrar",(VLOOKUP(C80,'Base de Datos'!$D$7:$N$4345,6,0)))</f>
        <v>12928000</v>
      </c>
      <c r="K80" s="617"/>
      <c r="L80" s="541" t="str">
        <f>IF(J80=$W$7,F80, " ")</f>
        <v xml:space="preserve"> </v>
      </c>
      <c r="M80" s="541" t="str">
        <f>IF(J80&lt;F80,(F80-J80)," ")</f>
        <v xml:space="preserve"> </v>
      </c>
      <c r="N80" s="724" t="str">
        <f>IF(ISERROR(VLOOKUP(C80,'Base de Datos'!$D$7:$K$1048576,7,0))=TRUE," ",(VLOOKUP(C80,'Base de Datos'!$D$7:$K$1048576,7,0)))</f>
        <v>SDH-SMINC-20-2016</v>
      </c>
      <c r="O80" s="556">
        <f>IF(ISERROR(VLOOKUP(C80,'Base de Datos'!$D$7:$N$4330,9,0))=TRUE," ",(VLOOKUP(C80,'Base de Datos'!$D$7:$N$4330,9,0)))</f>
        <v>42559</v>
      </c>
      <c r="P80" s="618" t="e">
        <f>VLOOKUP(B80,#REF!,13,0)</f>
        <v>#REF!</v>
      </c>
      <c r="Q80" s="556">
        <f>IF(ISERROR(VLOOKUP(C80,'Base de Datos'!$D$7:$N$4330,10,0))=TRUE," ",(VLOOKUP(C80,'Base de Datos'!$D$7:$N$4330,10,0)))</f>
        <v>42578</v>
      </c>
      <c r="R80" s="556">
        <f>IF(ISERROR(VLOOKUP(C80,'Base de Datos'!$D$7:$N$4330,11,0))=TRUE," ",(VLOOKUP(C80,'Base de Datos'!$D$7:$N$4330,11,0)))</f>
        <v>42793</v>
      </c>
      <c r="S80" s="619" t="s">
        <v>981</v>
      </c>
      <c r="T80" s="727"/>
      <c r="U80" s="784"/>
    </row>
    <row r="81" spans="2:21" s="620" customFormat="1" outlineLevel="1" x14ac:dyDescent="0.25">
      <c r="B81" s="632">
        <v>213</v>
      </c>
      <c r="C81" s="632"/>
      <c r="D81" s="538"/>
      <c r="E81" s="619" t="s">
        <v>2407</v>
      </c>
      <c r="F81" s="585">
        <v>154500000</v>
      </c>
      <c r="G81" s="817">
        <v>42406</v>
      </c>
      <c r="H81" s="817"/>
      <c r="I81" s="838" t="str">
        <f ca="1">IF(H81=Hoja1!$J$2," ",(IF(MONTH(G81)=MONTH(TODAY()),IF(DAY(G81)&gt;DAY(TODAY()),"Quedan "&amp;ABS(DAY(G81)-DAY(TODAY()))&amp;" Días","Hace "&amp;ABS(DAY(G81)-DAY(TODAY()))&amp;" Días"),"")))</f>
        <v/>
      </c>
      <c r="J81" s="541" t="str">
        <f>IF(ISERROR(VLOOKUP(C81,'Base de Datos'!$D$7:$N$4345,6,0))=TRUE,"Sin Celebrar",(VLOOKUP(C81,'Base de Datos'!$D$7:$N$4345,6,0)))</f>
        <v>Sin Celebrar</v>
      </c>
      <c r="K81" s="617"/>
      <c r="L81" s="541">
        <f>IF(J81=$W$7,F81, " ")</f>
        <v>154500000</v>
      </c>
      <c r="M81" s="541" t="str">
        <f>IF(J81&lt;F81,(F81-J81)," ")</f>
        <v xml:space="preserve"> </v>
      </c>
      <c r="N81" s="724" t="str">
        <f>IF(ISERROR(VLOOKUP(C81,'Base de Datos'!$D$7:$K$1048576,7,0))=TRUE," ",(VLOOKUP(C81,'Base de Datos'!$D$7:$K$1048576,7,0)))</f>
        <v xml:space="preserve"> </v>
      </c>
      <c r="O81" s="556" t="str">
        <f>IF(ISERROR(VLOOKUP(C81,'Base de Datos'!$D$7:$N$4330,9,0))=TRUE," ",(VLOOKUP(C81,'Base de Datos'!$D$7:$N$4330,9,0)))</f>
        <v xml:space="preserve"> </v>
      </c>
      <c r="P81" s="618" t="e">
        <f>VLOOKUP(B81,#REF!,13,0)</f>
        <v>#REF!</v>
      </c>
      <c r="Q81" s="556" t="str">
        <f>IF(ISERROR(VLOOKUP(C81,'Base de Datos'!$D$7:$N$4330,10,0))=TRUE," ",(VLOOKUP(C81,'Base de Datos'!$D$7:$N$4330,10,0)))</f>
        <v xml:space="preserve"> </v>
      </c>
      <c r="R81" s="556" t="str">
        <f>IF(ISERROR(VLOOKUP(C81,'Base de Datos'!$D$7:$N$4330,11,0))=TRUE," ",(VLOOKUP(C81,'Base de Datos'!$D$7:$N$4330,11,0)))</f>
        <v xml:space="preserve"> </v>
      </c>
      <c r="S81" s="619" t="s">
        <v>981</v>
      </c>
      <c r="T81" s="727"/>
      <c r="U81" s="784"/>
    </row>
    <row r="82" spans="2:21" s="620" customFormat="1" outlineLevel="1" x14ac:dyDescent="0.25">
      <c r="B82" s="619"/>
      <c r="C82" s="619"/>
      <c r="D82" s="619"/>
      <c r="E82" s="619" t="s">
        <v>1938</v>
      </c>
      <c r="F82" s="585"/>
      <c r="G82" s="817"/>
      <c r="H82" s="817"/>
      <c r="I82" s="539"/>
      <c r="J82" s="585"/>
      <c r="K82" s="617"/>
      <c r="L82" s="713"/>
      <c r="M82" s="713" t="str">
        <f>IF(J82&lt;F82,(F82-J82)," ")</f>
        <v xml:space="preserve"> </v>
      </c>
      <c r="N82" s="814"/>
      <c r="O82" s="618" t="str">
        <f>IF(ISERROR(VLOOKUP(B82,'Base de Datos'!$C$7:$N$315,9,0))=TRUE," ",(VLOOKUP(B82,'Base de Datos'!$C$7:$N$315,9,0)))</f>
        <v xml:space="preserve"> </v>
      </c>
      <c r="P82" s="619"/>
      <c r="Q82" s="715" t="str">
        <f>IF(ISERROR(VLOOKUP(B82,'Base de Datos'!$C$7:$N$315,10,0))=TRUE," ",(VLOOKUP(B82,'Base de Datos'!$C$7:$N$315,10,0)))</f>
        <v xml:space="preserve"> </v>
      </c>
      <c r="R82" s="715" t="str">
        <f>IF(ISERROR(VLOOKUP(B82,'Base de Datos'!$C$7:$N$315,11,0))=TRUE," ",(VLOOKUP(B82,'Base de Datos'!$C$7:$N$315,11,0)))</f>
        <v xml:space="preserve"> </v>
      </c>
      <c r="S82" s="619"/>
      <c r="T82" s="727"/>
      <c r="U82" s="784"/>
    </row>
    <row r="83" spans="2:21" s="620" customFormat="1" outlineLevel="1" x14ac:dyDescent="0.25">
      <c r="B83" s="619"/>
      <c r="C83" s="619"/>
      <c r="D83" s="619"/>
      <c r="E83" s="619"/>
      <c r="F83" s="585"/>
      <c r="G83" s="817"/>
      <c r="H83" s="817"/>
      <c r="I83" s="539"/>
      <c r="J83" s="585"/>
      <c r="K83" s="617"/>
      <c r="L83" s="585"/>
      <c r="M83" s="585"/>
      <c r="N83" s="695"/>
      <c r="O83" s="618"/>
      <c r="P83" s="619"/>
      <c r="Q83" s="618"/>
      <c r="R83" s="618"/>
      <c r="S83" s="619"/>
      <c r="T83" s="727"/>
      <c r="U83" s="784"/>
    </row>
    <row r="84" spans="2:21" x14ac:dyDescent="0.25">
      <c r="B84" s="1150" t="s">
        <v>1656</v>
      </c>
      <c r="C84" s="1150"/>
      <c r="D84" s="1150"/>
      <c r="E84" s="1150"/>
      <c r="F84" s="797"/>
      <c r="G84" s="796">
        <f>COUNT(G86:G94)</f>
        <v>9</v>
      </c>
      <c r="H84" s="796">
        <f>COUNTIF(H86:H94,Hoja1!$J$2)</f>
        <v>1</v>
      </c>
      <c r="I84" s="798"/>
      <c r="J84" s="797">
        <f>SUM(J86:J95)</f>
        <v>40456141</v>
      </c>
      <c r="K84" s="799" t="e">
        <f>J84/F84</f>
        <v>#DIV/0!</v>
      </c>
      <c r="L84" s="797">
        <f>SUM(L86:L95)</f>
        <v>4300000</v>
      </c>
      <c r="M84" s="797">
        <f>+F84-J84-L84</f>
        <v>-44756141</v>
      </c>
      <c r="N84" s="801"/>
      <c r="O84" s="802" t="str">
        <f>IF(ISERROR(VLOOKUP(B84,'Base de Datos'!$C$7:$N$315,8,0))=TRUE," ",(VLOOKUP(B84,'Base de Datos'!$C$7:$N$315,8,0)))</f>
        <v xml:space="preserve"> </v>
      </c>
      <c r="P84" s="803"/>
      <c r="Q84" s="802" t="str">
        <f>IF(ISERROR(VLOOKUP(B84,'Base de Datos'!$C$7:$N$315,9,0))=TRUE," ",(VLOOKUP(B84,'Base de Datos'!$C$7:$N$315,9,0)))</f>
        <v xml:space="preserve"> </v>
      </c>
      <c r="R84" s="802" t="str">
        <f>IF(ISERROR(VLOOKUP(B84,'Base de Datos'!$C$7:$N$315,10,0))=TRUE," ",(VLOOKUP(B84,'Base de Datos'!$C$7:$N$315,10,0)))</f>
        <v xml:space="preserve"> </v>
      </c>
      <c r="S84" s="795"/>
      <c r="T84" s="727"/>
      <c r="U84" s="639"/>
    </row>
    <row r="85" spans="2:21" s="620" customFormat="1" ht="24" outlineLevel="1" x14ac:dyDescent="0.25">
      <c r="B85" s="632" t="s">
        <v>2348</v>
      </c>
      <c r="C85" s="632"/>
      <c r="D85" s="632" t="s">
        <v>912</v>
      </c>
      <c r="E85" s="632" t="s">
        <v>1825</v>
      </c>
      <c r="F85" s="781" t="s">
        <v>1849</v>
      </c>
      <c r="G85" s="817" t="s">
        <v>2350</v>
      </c>
      <c r="H85" s="817" t="s">
        <v>2354</v>
      </c>
      <c r="I85" s="539" t="s">
        <v>2355</v>
      </c>
      <c r="J85" s="632" t="s">
        <v>1848</v>
      </c>
      <c r="K85" s="617"/>
      <c r="L85" s="632" t="s">
        <v>1942</v>
      </c>
      <c r="M85" s="632" t="s">
        <v>1943</v>
      </c>
      <c r="N85" s="782" t="s">
        <v>1123</v>
      </c>
      <c r="O85" s="783" t="s">
        <v>1850</v>
      </c>
      <c r="P85" s="632" t="s">
        <v>1851</v>
      </c>
      <c r="Q85" s="632" t="s">
        <v>1852</v>
      </c>
      <c r="R85" s="632" t="s">
        <v>375</v>
      </c>
      <c r="S85" s="632" t="s">
        <v>1853</v>
      </c>
      <c r="T85" s="727"/>
      <c r="U85" s="784"/>
    </row>
    <row r="86" spans="2:21" s="620" customFormat="1" ht="24" outlineLevel="1" x14ac:dyDescent="0.25">
      <c r="B86" s="632">
        <v>137</v>
      </c>
      <c r="C86" s="632" t="str">
        <f t="shared" ref="C86:C94" si="8">$W$6&amp;B86</f>
        <v>2016137</v>
      </c>
      <c r="D86" s="538" t="str">
        <f>IF(ISERROR(VLOOKUP(C86,'Base de Datos'!$D$7:$F$4345,2,0))=TRUE,"",(VLOOKUP(C86,'Base de Datos'!$D$7:$F$4345,2,0)))</f>
        <v/>
      </c>
      <c r="E86" s="619" t="s">
        <v>2310</v>
      </c>
      <c r="F86" s="585">
        <v>4300000</v>
      </c>
      <c r="G86" s="817">
        <v>42415</v>
      </c>
      <c r="H86" s="817"/>
      <c r="I86" s="838" t="str">
        <f ca="1">IF(H86=Hoja1!$J$2," ",(IF(MONTH(G86)=MONTH(TODAY()),IF(DAY(G86)&gt;DAY(TODAY()),"Quedan "&amp;ABS(DAY(G86)-DAY(TODAY()))&amp;" Días","Hace "&amp;ABS(DAY(G86)-DAY(TODAY()))&amp;" Días"),"")))</f>
        <v/>
      </c>
      <c r="J86" s="541" t="str">
        <f>IF(ISERROR(VLOOKUP(C86,'Base de Datos'!$D$7:$N$4345,6,0))=TRUE,"Sin Celebrar",(VLOOKUP(C86,'Base de Datos'!$D$7:$N$4345,6,0)))</f>
        <v>Sin Celebrar</v>
      </c>
      <c r="K86" s="617"/>
      <c r="L86" s="541">
        <f t="shared" ref="L86:L94" si="9">IF(J86=$W$7,F86, " ")</f>
        <v>4300000</v>
      </c>
      <c r="M86" s="541" t="str">
        <f t="shared" ref="M86:M95" si="10">IF(J86&lt;F86,(F86-J86)," ")</f>
        <v xml:space="preserve"> </v>
      </c>
      <c r="N86" s="724" t="str">
        <f>IF(ISERROR(VLOOKUP(C86,'Base de Datos'!$D$7:$K$1048576,7,0))=TRUE," ",(VLOOKUP(C86,'Base de Datos'!$D$7:$K$1048576,7,0)))</f>
        <v xml:space="preserve"> </v>
      </c>
      <c r="O86" s="556" t="str">
        <f>IF(ISERROR(VLOOKUP(C86,'Base de Datos'!$D$7:$N$4330,9,0))=TRUE," ",(VLOOKUP(C86,'Base de Datos'!$D$7:$N$4330,9,0)))</f>
        <v xml:space="preserve"> </v>
      </c>
      <c r="P86" s="618" t="e">
        <f>VLOOKUP(B86,#REF!,13,0)</f>
        <v>#REF!</v>
      </c>
      <c r="Q86" s="556" t="str">
        <f>IF(ISERROR(VLOOKUP(C86,'Base de Datos'!$D$7:$N$4330,10,0))=TRUE," ",(VLOOKUP(C86,'Base de Datos'!$D$7:$N$4330,10,0)))</f>
        <v xml:space="preserve"> </v>
      </c>
      <c r="R86" s="556" t="str">
        <f>IF(ISERROR(VLOOKUP(C86,'Base de Datos'!$D$7:$N$4330,11,0))=TRUE," ",(VLOOKUP(C86,'Base de Datos'!$D$7:$N$4330,11,0)))</f>
        <v xml:space="preserve"> </v>
      </c>
      <c r="S86" s="619" t="s">
        <v>1511</v>
      </c>
      <c r="T86" s="727"/>
      <c r="U86" s="784"/>
    </row>
    <row r="87" spans="2:21" s="620" customFormat="1" ht="24" outlineLevel="1" x14ac:dyDescent="0.25">
      <c r="B87" s="632">
        <v>138</v>
      </c>
      <c r="C87" s="632" t="str">
        <f t="shared" si="8"/>
        <v>2016138</v>
      </c>
      <c r="D87" s="538" t="str">
        <f>IF(ISERROR(VLOOKUP(C87,'Base de Datos'!$D$7:$F$4345,2,0))=TRUE,"",(VLOOKUP(C87,'Base de Datos'!$D$7:$F$4345,2,0)))</f>
        <v>160245-0-2016</v>
      </c>
      <c r="E87" s="619" t="s">
        <v>2311</v>
      </c>
      <c r="F87" s="585">
        <v>810600</v>
      </c>
      <c r="G87" s="817">
        <v>42592</v>
      </c>
      <c r="H87" s="817"/>
      <c r="I87" s="838" t="str">
        <f ca="1">IF(H87=Hoja1!$J$2," ",(IF(MONTH(G87)=MONTH(TODAY()),IF(DAY(G87)&gt;DAY(TODAY()),"Quedan "&amp;ABS(DAY(G87)-DAY(TODAY()))&amp;" Días","Hace "&amp;ABS(DAY(G87)-DAY(TODAY()))&amp;" Días"),"")))</f>
        <v/>
      </c>
      <c r="J87" s="541">
        <f>IF(ISERROR(VLOOKUP(C87,'Base de Datos'!$D$7:$N$4345,6,0))=TRUE,"Sin Celebrar",(VLOOKUP(C87,'Base de Datos'!$D$7:$N$4345,6,0)))</f>
        <v>817587</v>
      </c>
      <c r="K87" s="617"/>
      <c r="L87" s="541" t="str">
        <f t="shared" si="9"/>
        <v xml:space="preserve"> </v>
      </c>
      <c r="M87" s="541" t="str">
        <f t="shared" si="10"/>
        <v xml:space="preserve"> </v>
      </c>
      <c r="N87" s="724" t="str">
        <f>IF(ISERROR(VLOOKUP(C87,'Base de Datos'!$D$7:$K$1048576,7,0))=TRUE," ",(VLOOKUP(C87,'Base de Datos'!$D$7:$K$1048576,7,0)))</f>
        <v>160245-0-2016</v>
      </c>
      <c r="O87" s="556">
        <f>IF(ISERROR(VLOOKUP(C87,'Base de Datos'!$D$7:$N$4330,9,0))=TRUE," ",(VLOOKUP(C87,'Base de Datos'!$D$7:$N$4330,9,0)))</f>
        <v>42643</v>
      </c>
      <c r="P87" s="618" t="e">
        <f>VLOOKUP(B87,#REF!,13,0)</f>
        <v>#REF!</v>
      </c>
      <c r="Q87" s="556">
        <f>IF(ISERROR(VLOOKUP(C87,'Base de Datos'!$D$7:$N$4330,10,0))=TRUE," ",(VLOOKUP(C87,'Base de Datos'!$D$7:$N$4330,10,0)))</f>
        <v>42703</v>
      </c>
      <c r="R87" s="556">
        <f>IF(ISERROR(VLOOKUP(C87,'Base de Datos'!$D$7:$N$4330,11,0))=TRUE," ",(VLOOKUP(C87,'Base de Datos'!$D$7:$N$4330,11,0)))</f>
        <v>43068</v>
      </c>
      <c r="S87" s="619" t="s">
        <v>1511</v>
      </c>
      <c r="T87" s="727"/>
      <c r="U87" s="784"/>
    </row>
    <row r="88" spans="2:21" s="620" customFormat="1" ht="24" outlineLevel="1" x14ac:dyDescent="0.25">
      <c r="B88" s="632">
        <v>141</v>
      </c>
      <c r="C88" s="632" t="str">
        <f t="shared" si="8"/>
        <v>2016141</v>
      </c>
      <c r="D88" s="538" t="str">
        <f>IF(ISERROR(VLOOKUP(C88,'Base de Datos'!$D$7:$F$4345,2,0))=TRUE,"",(VLOOKUP(C88,'Base de Datos'!$D$7:$F$4345,2,0)))</f>
        <v>160213-0-2016</v>
      </c>
      <c r="E88" s="619" t="s">
        <v>2312</v>
      </c>
      <c r="F88" s="585">
        <v>857000</v>
      </c>
      <c r="G88" s="817">
        <v>42614</v>
      </c>
      <c r="H88" s="817"/>
      <c r="I88" s="838" t="str">
        <f ca="1">IF(H88=Hoja1!$J$2," ",(IF(MONTH(G88)=MONTH(TODAY()),IF(DAY(G88)&gt;DAY(TODAY()),"Quedan "&amp;ABS(DAY(G88)-DAY(TODAY()))&amp;" Días","Hace "&amp;ABS(DAY(G88)-DAY(TODAY()))&amp;" Días"),"")))</f>
        <v/>
      </c>
      <c r="J88" s="541">
        <f>IF(ISERROR(VLOOKUP(C88,'Base de Datos'!$D$7:$N$4345,6,0))=TRUE,"Sin Celebrar",(VLOOKUP(C88,'Base de Datos'!$D$7:$N$4345,6,0)))</f>
        <v>825000</v>
      </c>
      <c r="K88" s="617"/>
      <c r="L88" s="541" t="str">
        <f t="shared" si="9"/>
        <v xml:space="preserve"> </v>
      </c>
      <c r="M88" s="541">
        <f t="shared" si="10"/>
        <v>32000</v>
      </c>
      <c r="N88" s="724" t="str">
        <f>IF(ISERROR(VLOOKUP(C88,'Base de Datos'!$D$7:$K$1048576,7,0))=TRUE," ",(VLOOKUP(C88,'Base de Datos'!$D$7:$K$1048576,7,0)))</f>
        <v>160213-0-2016</v>
      </c>
      <c r="O88" s="556">
        <f>IF(ISERROR(VLOOKUP(C88,'Base de Datos'!$D$7:$N$4330,9,0))=TRUE," ",(VLOOKUP(C88,'Base de Datos'!$D$7:$N$4330,9,0)))</f>
        <v>42619</v>
      </c>
      <c r="P88" s="618" t="e">
        <f>VLOOKUP(B88,#REF!,13,0)</f>
        <v>#REF!</v>
      </c>
      <c r="Q88" s="556">
        <f>IF(ISERROR(VLOOKUP(C88,'Base de Datos'!$D$7:$N$4330,10,0))=TRUE," ",(VLOOKUP(C88,'Base de Datos'!$D$7:$N$4330,10,0)))</f>
        <v>42646</v>
      </c>
      <c r="R88" s="556">
        <f>IF(ISERROR(VLOOKUP(C88,'Base de Datos'!$D$7:$N$4330,11,0))=TRUE," ",(VLOOKUP(C88,'Base de Datos'!$D$7:$N$4330,11,0)))</f>
        <v>43011</v>
      </c>
      <c r="S88" s="619" t="s">
        <v>2358</v>
      </c>
      <c r="T88" s="727"/>
      <c r="U88" s="784"/>
    </row>
    <row r="89" spans="2:21" s="620" customFormat="1" ht="24" outlineLevel="1" x14ac:dyDescent="0.25">
      <c r="B89" s="632">
        <v>214</v>
      </c>
      <c r="C89" s="632" t="str">
        <f t="shared" si="8"/>
        <v>2016214</v>
      </c>
      <c r="D89" s="538" t="str">
        <f>IF(ISERROR(VLOOKUP(C89,'Base de Datos'!$D$7:$F$4345,2,0))=TRUE,"",(VLOOKUP(C89,'Base de Datos'!$D$7:$F$4345,2,0)))</f>
        <v>160188-0-2016</v>
      </c>
      <c r="E89" s="619" t="s">
        <v>2313</v>
      </c>
      <c r="F89" s="585">
        <v>39240600</v>
      </c>
      <c r="G89" s="817">
        <v>42374</v>
      </c>
      <c r="H89" s="817"/>
      <c r="I89" s="838" t="str">
        <f ca="1">IF(H89=Hoja1!$J$2," ",(IF(MONTH(G89)=MONTH(TODAY()),IF(DAY(G89)&gt;DAY(TODAY()),"Quedan "&amp;ABS(DAY(G89)-DAY(TODAY()))&amp;" Días","Hace "&amp;ABS(DAY(G89)-DAY(TODAY()))&amp;" Días"),"")))</f>
        <v>Hace 13 Días</v>
      </c>
      <c r="J89" s="541">
        <f>IF(ISERROR(VLOOKUP(C89,'Base de Datos'!$D$7:$N$4345,6,0))=TRUE,"Sin Celebrar",(VLOOKUP(C89,'Base de Datos'!$D$7:$N$4345,6,0)))</f>
        <v>26540000</v>
      </c>
      <c r="K89" s="617"/>
      <c r="L89" s="541" t="str">
        <f t="shared" si="9"/>
        <v xml:space="preserve"> </v>
      </c>
      <c r="M89" s="541">
        <f t="shared" si="10"/>
        <v>12700600</v>
      </c>
      <c r="N89" s="724" t="str">
        <f>IF(ISERROR(VLOOKUP(C89,'Base de Datos'!$D$7:$K$1048576,7,0))=TRUE," ",(VLOOKUP(C89,'Base de Datos'!$D$7:$K$1048576,7,0)))</f>
        <v>SDH-SIE-10-2016</v>
      </c>
      <c r="O89" s="556">
        <f>IF(ISERROR(VLOOKUP(C89,'Base de Datos'!$D$7:$N$4330,9,0))=TRUE," ",(VLOOKUP(C89,'Base de Datos'!$D$7:$N$4330,9,0)))</f>
        <v>42580</v>
      </c>
      <c r="P89" s="618" t="e">
        <f>VLOOKUP(B89,#REF!,13,0)</f>
        <v>#REF!</v>
      </c>
      <c r="Q89" s="556">
        <f>IF(ISERROR(VLOOKUP(C89,'Base de Datos'!$D$7:$N$4330,10,0))=TRUE," ",(VLOOKUP(C89,'Base de Datos'!$D$7:$N$4330,10,0)))</f>
        <v>42583</v>
      </c>
      <c r="R89" s="556">
        <f>IF(ISERROR(VLOOKUP(C89,'Base de Datos'!$D$7:$N$4330,11,0))=TRUE," ",(VLOOKUP(C89,'Base de Datos'!$D$7:$N$4330,11,0)))</f>
        <v>42767</v>
      </c>
      <c r="S89" s="619" t="s">
        <v>981</v>
      </c>
      <c r="T89" s="727"/>
      <c r="U89" s="784"/>
    </row>
    <row r="90" spans="2:21" s="620" customFormat="1" ht="24" outlineLevel="1" x14ac:dyDescent="0.25">
      <c r="B90" s="632">
        <v>134</v>
      </c>
      <c r="C90" s="632" t="str">
        <f t="shared" si="8"/>
        <v>2016134</v>
      </c>
      <c r="D90" s="538" t="str">
        <f>IF(ISERROR(VLOOKUP(C90,'Base de Datos'!$D$7:$F$4345,2,0))=TRUE,"",(VLOOKUP(C90,'Base de Datos'!$D$7:$F$4345,2,0)))</f>
        <v>160199-0-2016</v>
      </c>
      <c r="E90" s="619" t="s">
        <v>2314</v>
      </c>
      <c r="F90" s="585">
        <v>927600</v>
      </c>
      <c r="G90" s="817">
        <v>42522</v>
      </c>
      <c r="H90" s="817"/>
      <c r="I90" s="838" t="str">
        <f ca="1">IF(H90=Hoja1!$J$2," ",(IF(MONTH(G90)=MONTH(TODAY()),IF(DAY(G90)&gt;DAY(TODAY()),"Quedan "&amp;ABS(DAY(G90)-DAY(TODAY()))&amp;" Días","Hace "&amp;ABS(DAY(G90)-DAY(TODAY()))&amp;" Días"),"")))</f>
        <v/>
      </c>
      <c r="J90" s="541">
        <f>IF(ISERROR(VLOOKUP(C90,'Base de Datos'!$D$7:$N$4345,6,0))=TRUE,"Sin Celebrar",(VLOOKUP(C90,'Base de Datos'!$D$7:$N$4345,6,0)))</f>
        <v>1132400</v>
      </c>
      <c r="K90" s="617"/>
      <c r="L90" s="541" t="str">
        <f t="shared" si="9"/>
        <v xml:space="preserve"> </v>
      </c>
      <c r="M90" s="541" t="str">
        <f t="shared" si="10"/>
        <v xml:space="preserve"> </v>
      </c>
      <c r="N90" s="724" t="str">
        <f>IF(ISERROR(VLOOKUP(C90,'Base de Datos'!$D$7:$K$1048576,7,0))=TRUE," ",(VLOOKUP(C90,'Base de Datos'!$D$7:$K$1048576,7,0)))</f>
        <v>SDH-SMINC-30-2016</v>
      </c>
      <c r="O90" s="556">
        <f>IF(ISERROR(VLOOKUP(C90,'Base de Datos'!$D$7:$N$4330,9,0))=TRUE," ",(VLOOKUP(C90,'Base de Datos'!$D$7:$N$4330,9,0)))</f>
        <v>42591</v>
      </c>
      <c r="P90" s="618" t="e">
        <f>VLOOKUP(B90,#REF!,13,0)</f>
        <v>#REF!</v>
      </c>
      <c r="Q90" s="556">
        <f>IF(ISERROR(VLOOKUP(C90,'Base de Datos'!$D$7:$N$4330,10,0))=TRUE," ",(VLOOKUP(C90,'Base de Datos'!$D$7:$N$4330,10,0)))</f>
        <v>42604</v>
      </c>
      <c r="R90" s="556">
        <f>IF(ISERROR(VLOOKUP(C90,'Base de Datos'!$D$7:$N$4330,11,0))=TRUE," ",(VLOOKUP(C90,'Base de Datos'!$D$7:$N$4330,11,0)))</f>
        <v>42969</v>
      </c>
      <c r="S90" s="619" t="s">
        <v>1511</v>
      </c>
      <c r="T90" s="727"/>
      <c r="U90" s="784"/>
    </row>
    <row r="91" spans="2:21" s="620" customFormat="1" ht="24" outlineLevel="1" x14ac:dyDescent="0.25">
      <c r="B91" s="632">
        <v>135</v>
      </c>
      <c r="C91" s="632" t="str">
        <f t="shared" si="8"/>
        <v>2016135</v>
      </c>
      <c r="D91" s="538" t="str">
        <f>IF(ISERROR(VLOOKUP(C91,'Base de Datos'!$D$7:$F$4345,2,0))=TRUE,"",(VLOOKUP(C91,'Base de Datos'!$D$7:$F$4345,2,0)))</f>
        <v>160022-0-2016</v>
      </c>
      <c r="E91" s="538" t="str">
        <f>IF(ISERROR(VLOOKUP(C91,'Base de Datos'!$D$7:$F$4345,3,0))=TRUE,"",(VLOOKUP(C91,'Base de Datos'!$D$7:$F$4345,3,0)))</f>
        <v>CASA EDITORIAL EL TIEMPO SA</v>
      </c>
      <c r="F91" s="585">
        <v>1280000</v>
      </c>
      <c r="G91" s="817">
        <v>42410</v>
      </c>
      <c r="H91" s="817" t="s">
        <v>390</v>
      </c>
      <c r="I91" s="838" t="str">
        <f ca="1">IF(H91=Hoja1!$J$2," ",(IF(MONTH(G91)=MONTH(TODAY()),IF(DAY(G91)&gt;DAY(TODAY()),"Quedan "&amp;ABS(DAY(G91)-DAY(TODAY()))&amp;" Días","Hace "&amp;ABS(DAY(G91)-DAY(TODAY()))&amp;" Días"),"")))</f>
        <v xml:space="preserve"> </v>
      </c>
      <c r="J91" s="541">
        <f>IF(ISERROR(VLOOKUP(C91,'Base de Datos'!$D$7:$N$4345,6,0))=TRUE,"Sin Celebrar",(VLOOKUP(C91,'Base de Datos'!$D$7:$N$4345,6,0)))</f>
        <v>1226994</v>
      </c>
      <c r="K91" s="617"/>
      <c r="L91" s="541" t="str">
        <f t="shared" si="9"/>
        <v xml:space="preserve"> </v>
      </c>
      <c r="M91" s="541">
        <f t="shared" si="10"/>
        <v>53006</v>
      </c>
      <c r="N91" s="724" t="str">
        <f>IF(ISERROR(VLOOKUP(C91,'Base de Datos'!$D$7:$K$1048576,7,0))=TRUE," ",(VLOOKUP(C91,'Base de Datos'!$D$7:$K$1048576,7,0)))</f>
        <v>160022-0-2016</v>
      </c>
      <c r="O91" s="556">
        <f>IF(ISERROR(VLOOKUP(C91,'Base de Datos'!$D$7:$N$4330,9,0))=TRUE," ",(VLOOKUP(C91,'Base de Datos'!$D$7:$N$4330,9,0)))</f>
        <v>42429</v>
      </c>
      <c r="P91" s="849" t="e">
        <f>VLOOKUP(B91,#REF!,13,0)</f>
        <v>#REF!</v>
      </c>
      <c r="Q91" s="556">
        <f>IF(ISERROR(VLOOKUP(C91,'Base de Datos'!$D$7:$N$4330,10,0))=TRUE," ",(VLOOKUP(C91,'Base de Datos'!$D$7:$N$4330,10,0)))</f>
        <v>42451</v>
      </c>
      <c r="R91" s="556">
        <f>IF(ISERROR(VLOOKUP(C91,'Base de Datos'!$D$7:$N$4330,11,0))=TRUE," ",(VLOOKUP(C91,'Base de Datos'!$D$7:$N$4330,11,0)))</f>
        <v>42816</v>
      </c>
      <c r="S91" s="619" t="s">
        <v>1511</v>
      </c>
      <c r="T91" s="727"/>
      <c r="U91" s="784"/>
    </row>
    <row r="92" spans="2:21" s="620" customFormat="1" ht="24" outlineLevel="1" x14ac:dyDescent="0.25">
      <c r="B92" s="632">
        <v>136</v>
      </c>
      <c r="C92" s="632" t="str">
        <f t="shared" si="8"/>
        <v>2016136</v>
      </c>
      <c r="D92" s="538" t="str">
        <f>IF(ISERROR(VLOOKUP(C92,'Base de Datos'!$D$7:$F$4345,2,0))=TRUE,"",(VLOOKUP(C92,'Base de Datos'!$D$7:$F$4345,2,0)))</f>
        <v>160048-0-2016</v>
      </c>
      <c r="E92" s="619" t="s">
        <v>2315</v>
      </c>
      <c r="F92" s="585">
        <v>8034000</v>
      </c>
      <c r="G92" s="817">
        <v>42475</v>
      </c>
      <c r="H92" s="817"/>
      <c r="I92" s="838" t="str">
        <f ca="1">IF(H92=Hoja1!$J$2," ",(IF(MONTH(G92)=MONTH(TODAY()),IF(DAY(G92)&gt;DAY(TODAY()),"Quedan "&amp;ABS(DAY(G92)-DAY(TODAY()))&amp;" Días","Hace "&amp;ABS(DAY(G92)-DAY(TODAY()))&amp;" Días"),"")))</f>
        <v/>
      </c>
      <c r="J92" s="541">
        <f>IF(ISERROR(VLOOKUP(C92,'Base de Datos'!$D$7:$N$4345,6,0))=TRUE,"Sin Celebrar",(VLOOKUP(C92,'Base de Datos'!$D$7:$N$4345,6,0)))</f>
        <v>8010000</v>
      </c>
      <c r="K92" s="617"/>
      <c r="L92" s="541" t="str">
        <f t="shared" si="9"/>
        <v xml:space="preserve"> </v>
      </c>
      <c r="M92" s="541">
        <f t="shared" si="10"/>
        <v>24000</v>
      </c>
      <c r="N92" s="724" t="str">
        <f>IF(ISERROR(VLOOKUP(C92,'Base de Datos'!$D$7:$K$1048576,7,0))=TRUE," ",(VLOOKUP(C92,'Base de Datos'!$D$7:$K$1048576,7,0)))</f>
        <v>160048-0-2016</v>
      </c>
      <c r="O92" s="556">
        <f>IF(ISERROR(VLOOKUP(C92,'Base de Datos'!$D$7:$N$4330,9,0))=TRUE," ",(VLOOKUP(C92,'Base de Datos'!$D$7:$N$4330,9,0)))</f>
        <v>42508</v>
      </c>
      <c r="P92" s="618" t="e">
        <f>VLOOKUP(B92,#REF!,13,0)</f>
        <v>#REF!</v>
      </c>
      <c r="Q92" s="556">
        <f>IF(ISERROR(VLOOKUP(C92,'Base de Datos'!$D$7:$N$4330,10,0))=TRUE," ",(VLOOKUP(C92,'Base de Datos'!$D$7:$N$4330,10,0)))</f>
        <v>42513</v>
      </c>
      <c r="R92" s="556">
        <f>IF(ISERROR(VLOOKUP(C92,'Base de Datos'!$D$7:$N$4330,11,0))=TRUE," ",(VLOOKUP(C92,'Base de Datos'!$D$7:$N$4330,11,0)))</f>
        <v>42878</v>
      </c>
      <c r="S92" s="619" t="s">
        <v>1511</v>
      </c>
      <c r="T92" s="727"/>
      <c r="U92" s="784"/>
    </row>
    <row r="93" spans="2:21" s="620" customFormat="1" ht="24" outlineLevel="1" x14ac:dyDescent="0.25">
      <c r="B93" s="632">
        <v>139</v>
      </c>
      <c r="C93" s="632" t="str">
        <f t="shared" si="8"/>
        <v>2016139</v>
      </c>
      <c r="D93" s="538" t="str">
        <f>IF(ISERROR(VLOOKUP(C93,'Base de Datos'!$D$7:$F$4345,2,0))=TRUE,"",(VLOOKUP(C93,'Base de Datos'!$D$7:$F$4345,2,0)))</f>
        <v>160234-0-2016</v>
      </c>
      <c r="E93" s="619" t="s">
        <v>2316</v>
      </c>
      <c r="F93" s="585">
        <v>994200</v>
      </c>
      <c r="G93" s="817">
        <v>42566</v>
      </c>
      <c r="H93" s="817"/>
      <c r="I93" s="838" t="str">
        <f ca="1">IF(H93=Hoja1!$J$2," ",(IF(MONTH(G93)=MONTH(TODAY()),IF(DAY(G93)&gt;DAY(TODAY()),"Quedan "&amp;ABS(DAY(G93)-DAY(TODAY()))&amp;" Días","Hace "&amp;ABS(DAY(G93)-DAY(TODAY()))&amp;" Días"),"")))</f>
        <v/>
      </c>
      <c r="J93" s="541">
        <f>IF(ISERROR(VLOOKUP(C93,'Base de Datos'!$D$7:$N$4345,6,0))=TRUE,"Sin Celebrar",(VLOOKUP(C93,'Base de Datos'!$D$7:$N$4345,6,0)))</f>
        <v>974160</v>
      </c>
      <c r="K93" s="617"/>
      <c r="L93" s="541" t="str">
        <f t="shared" si="9"/>
        <v xml:space="preserve"> </v>
      </c>
      <c r="M93" s="541">
        <f t="shared" si="10"/>
        <v>20040</v>
      </c>
      <c r="N93" s="724" t="str">
        <f>IF(ISERROR(VLOOKUP(C93,'Base de Datos'!$D$7:$K$1048576,7,0))=TRUE," ",(VLOOKUP(C93,'Base de Datos'!$D$7:$K$1048576,7,0)))</f>
        <v>160234-0-2016</v>
      </c>
      <c r="O93" s="556">
        <f>IF(ISERROR(VLOOKUP(C93,'Base de Datos'!$D$7:$N$4330,9,0))=TRUE," ",(VLOOKUP(C93,'Base de Datos'!$D$7:$N$4330,9,0)))</f>
        <v>42636</v>
      </c>
      <c r="P93" s="618" t="e">
        <f>VLOOKUP(B93,#REF!,13,0)</f>
        <v>#REF!</v>
      </c>
      <c r="Q93" s="556">
        <f>IF(ISERROR(VLOOKUP(C93,'Base de Datos'!$D$7:$N$4330,10,0))=TRUE," ",(VLOOKUP(C93,'Base de Datos'!$D$7:$N$4330,10,0)))</f>
        <v>42643</v>
      </c>
      <c r="R93" s="556">
        <f>IF(ISERROR(VLOOKUP(C93,'Base de Datos'!$D$7:$N$4330,11,0))=TRUE," ",(VLOOKUP(C93,'Base de Datos'!$D$7:$N$4330,11,0)))</f>
        <v>43008</v>
      </c>
      <c r="S93" s="619" t="s">
        <v>1511</v>
      </c>
      <c r="T93" s="727"/>
      <c r="U93" s="784"/>
    </row>
    <row r="94" spans="2:21" s="620" customFormat="1" ht="24" outlineLevel="1" x14ac:dyDescent="0.25">
      <c r="B94" s="632">
        <v>140</v>
      </c>
      <c r="C94" s="632" t="str">
        <f t="shared" si="8"/>
        <v>2016140</v>
      </c>
      <c r="D94" s="538" t="str">
        <f>IF(ISERROR(VLOOKUP(C94,'Base de Datos'!$D$7:$F$4345,2,0))=TRUE,"",(VLOOKUP(C94,'Base de Datos'!$D$7:$F$4345,2,0)))</f>
        <v>160238-0-2016</v>
      </c>
      <c r="E94" s="619" t="s">
        <v>2317</v>
      </c>
      <c r="F94" s="585">
        <v>908000</v>
      </c>
      <c r="G94" s="817">
        <v>42597</v>
      </c>
      <c r="H94" s="817"/>
      <c r="I94" s="838" t="str">
        <f ca="1">IF(H94=Hoja1!$J$2," ",(IF(MONTH(G94)=MONTH(TODAY()),IF(DAY(G94)&gt;DAY(TODAY()),"Quedan "&amp;ABS(DAY(G94)-DAY(TODAY()))&amp;" Días","Hace "&amp;ABS(DAY(G94)-DAY(TODAY()))&amp;" Días"),"")))</f>
        <v/>
      </c>
      <c r="J94" s="541">
        <f>IF(ISERROR(VLOOKUP(C94,'Base de Datos'!$D$7:$N$4345,6,0))=TRUE,"Sin Celebrar",(VLOOKUP(C94,'Base de Datos'!$D$7:$N$4345,6,0)))</f>
        <v>930000</v>
      </c>
      <c r="K94" s="617"/>
      <c r="L94" s="541" t="str">
        <f t="shared" si="9"/>
        <v xml:space="preserve"> </v>
      </c>
      <c r="M94" s="541" t="str">
        <f t="shared" si="10"/>
        <v xml:space="preserve"> </v>
      </c>
      <c r="N94" s="724" t="str">
        <f>IF(ISERROR(VLOOKUP(C94,'Base de Datos'!$D$7:$K$1048576,7,0))=TRUE," ",(VLOOKUP(C94,'Base de Datos'!$D$7:$K$1048576,7,0)))</f>
        <v>160238-0-2016</v>
      </c>
      <c r="O94" s="556">
        <f>IF(ISERROR(VLOOKUP(C94,'Base de Datos'!$D$7:$N$4330,9,0))=TRUE," ",(VLOOKUP(C94,'Base de Datos'!$D$7:$N$4330,9,0)))</f>
        <v>42640</v>
      </c>
      <c r="P94" s="618" t="e">
        <f>VLOOKUP(B94,#REF!,13,0)</f>
        <v>#REF!</v>
      </c>
      <c r="Q94" s="556">
        <f>IF(ISERROR(VLOOKUP(C94,'Base de Datos'!$D$7:$N$4330,10,0))=TRUE," ",(VLOOKUP(C94,'Base de Datos'!$D$7:$N$4330,10,0)))</f>
        <v>42647</v>
      </c>
      <c r="R94" s="556">
        <f>IF(ISERROR(VLOOKUP(C94,'Base de Datos'!$D$7:$N$4330,11,0))=TRUE," ",(VLOOKUP(C94,'Base de Datos'!$D$7:$N$4330,11,0)))</f>
        <v>43012</v>
      </c>
      <c r="S94" s="619" t="s">
        <v>1511</v>
      </c>
      <c r="T94" s="727"/>
      <c r="U94" s="784"/>
    </row>
    <row r="95" spans="2:21" s="620" customFormat="1" outlineLevel="1" x14ac:dyDescent="0.25">
      <c r="B95" s="619"/>
      <c r="C95" s="619"/>
      <c r="D95" s="619"/>
      <c r="E95" s="619" t="s">
        <v>1938</v>
      </c>
      <c r="F95" s="585"/>
      <c r="G95" s="817"/>
      <c r="H95" s="817"/>
      <c r="I95" s="539"/>
      <c r="J95" s="585"/>
      <c r="K95" s="617"/>
      <c r="L95" s="585"/>
      <c r="M95" s="713" t="str">
        <f t="shared" si="10"/>
        <v xml:space="preserve"> </v>
      </c>
      <c r="N95" s="814"/>
      <c r="O95" s="618" t="str">
        <f>IF(ISERROR(VLOOKUP(B95,'Base de Datos'!$C$7:$N$4330,9,0))=TRUE," ",(VLOOKUP(B95,'Base de Datos'!$C$7:$N$4330,9,0)))</f>
        <v xml:space="preserve"> </v>
      </c>
      <c r="P95" s="619"/>
      <c r="Q95" s="715" t="str">
        <f>IF(ISERROR(VLOOKUP(B95,'Base de Datos'!$C$7:$N$4330,10,0))=TRUE," ",(VLOOKUP(B95,'Base de Datos'!$C$7:$N$4330,10,0)))</f>
        <v xml:space="preserve"> </v>
      </c>
      <c r="R95" s="715" t="str">
        <f>IF(ISERROR(VLOOKUP(B95,'Base de Datos'!$C$7:$N$4330,11,0))=TRUE," ",(VLOOKUP(B95,'Base de Datos'!$C$7:$N$4330,11,0)))</f>
        <v xml:space="preserve"> </v>
      </c>
      <c r="S95" s="619"/>
      <c r="T95" s="727"/>
      <c r="U95" s="784"/>
    </row>
    <row r="96" spans="2:21" s="620" customFormat="1" outlineLevel="1" x14ac:dyDescent="0.25">
      <c r="B96" s="619"/>
      <c r="C96" s="619"/>
      <c r="D96" s="619"/>
      <c r="E96" s="619"/>
      <c r="F96" s="585"/>
      <c r="G96" s="817"/>
      <c r="H96" s="817"/>
      <c r="I96" s="539"/>
      <c r="J96" s="585"/>
      <c r="K96" s="617"/>
      <c r="L96" s="585"/>
      <c r="M96" s="585"/>
      <c r="N96" s="695"/>
      <c r="O96" s="618"/>
      <c r="P96" s="619"/>
      <c r="Q96" s="618"/>
      <c r="R96" s="618"/>
      <c r="S96" s="619"/>
      <c r="T96" s="727"/>
      <c r="U96" s="784"/>
    </row>
    <row r="97" spans="2:21" x14ac:dyDescent="0.25">
      <c r="B97" s="1150" t="s">
        <v>1657</v>
      </c>
      <c r="C97" s="1150"/>
      <c r="D97" s="1150"/>
      <c r="E97" s="1150"/>
      <c r="F97" s="805"/>
      <c r="G97" s="832">
        <f>+G98</f>
        <v>15</v>
      </c>
      <c r="H97" s="832">
        <f>+H98</f>
        <v>0</v>
      </c>
      <c r="I97" s="798"/>
      <c r="J97" s="797">
        <f>+J98</f>
        <v>859052500</v>
      </c>
      <c r="K97" s="799" t="e">
        <f>J97/F97</f>
        <v>#DIV/0!</v>
      </c>
      <c r="L97" s="797">
        <f>+L98</f>
        <v>51076000</v>
      </c>
      <c r="M97" s="797">
        <f>+M98</f>
        <v>-910128500</v>
      </c>
      <c r="N97" s="801"/>
      <c r="O97" s="802" t="str">
        <f>IF(ISERROR(VLOOKUP(B97,'Base de Datos'!$C$7:$N$315,8,0))=TRUE," ",(VLOOKUP(B97,'Base de Datos'!$C$7:$N$315,8,0)))</f>
        <v xml:space="preserve"> </v>
      </c>
      <c r="P97" s="803"/>
      <c r="Q97" s="802" t="str">
        <f>IF(ISERROR(VLOOKUP(B97,'Base de Datos'!$C$7:$N$315,9,0))=TRUE," ",(VLOOKUP(B97,'Base de Datos'!$C$7:$N$315,9,0)))</f>
        <v xml:space="preserve"> </v>
      </c>
      <c r="R97" s="802" t="str">
        <f>IF(ISERROR(VLOOKUP(B97,'Base de Datos'!$C$7:$N$315,10,0))=TRUE," ",(VLOOKUP(B97,'Base de Datos'!$C$7:$N$315,10,0)))</f>
        <v xml:space="preserve"> </v>
      </c>
      <c r="S97" s="795"/>
      <c r="T97" s="727"/>
      <c r="U97" s="639"/>
    </row>
    <row r="98" spans="2:21" x14ac:dyDescent="0.25">
      <c r="B98" s="1151" t="s">
        <v>1658</v>
      </c>
      <c r="C98" s="1151"/>
      <c r="D98" s="1151"/>
      <c r="E98" s="1151"/>
      <c r="F98" s="790"/>
      <c r="G98" s="796">
        <f>COUNT(G100:G114)</f>
        <v>15</v>
      </c>
      <c r="H98" s="796">
        <f>COUNTIF(H100:H114,Hoja1!$J$2)</f>
        <v>0</v>
      </c>
      <c r="I98" s="791"/>
      <c r="J98" s="790">
        <f>SUM(J100:J115)</f>
        <v>859052500</v>
      </c>
      <c r="K98" s="792" t="e">
        <f>J98/F98</f>
        <v>#DIV/0!</v>
      </c>
      <c r="L98" s="790">
        <f>SUM(L100:L115)</f>
        <v>51076000</v>
      </c>
      <c r="M98" s="790">
        <f>+F98-J98-L98</f>
        <v>-910128500</v>
      </c>
      <c r="N98" s="793"/>
      <c r="O98" s="794" t="str">
        <f>IF(ISERROR(VLOOKUP(B98,'Base de Datos'!$C$7:$N$315,8,0))=TRUE," ",(VLOOKUP(B98,'Base de Datos'!$C$7:$N$315,8,0)))</f>
        <v xml:space="preserve"> </v>
      </c>
      <c r="P98" s="795"/>
      <c r="Q98" s="794" t="str">
        <f>IF(ISERROR(VLOOKUP(B98,'Base de Datos'!$C$7:$N$315,9,0))=TRUE," ",(VLOOKUP(B98,'Base de Datos'!$C$7:$N$315,9,0)))</f>
        <v xml:space="preserve"> </v>
      </c>
      <c r="R98" s="794" t="str">
        <f>IF(ISERROR(VLOOKUP(B98,'Base de Datos'!$C$7:$N$315,10,0))=TRUE," ",(VLOOKUP(B98,'Base de Datos'!$C$7:$N$315,10,0)))</f>
        <v xml:space="preserve"> </v>
      </c>
      <c r="S98" s="795"/>
      <c r="T98" s="727"/>
      <c r="U98" s="639"/>
    </row>
    <row r="99" spans="2:21" s="620" customFormat="1" ht="24" outlineLevel="1" x14ac:dyDescent="0.25">
      <c r="B99" s="632" t="s">
        <v>2348</v>
      </c>
      <c r="C99" s="632"/>
      <c r="D99" s="632" t="s">
        <v>912</v>
      </c>
      <c r="E99" s="632" t="s">
        <v>1825</v>
      </c>
      <c r="F99" s="781" t="s">
        <v>1849</v>
      </c>
      <c r="G99" s="817" t="s">
        <v>2350</v>
      </c>
      <c r="H99" s="817" t="s">
        <v>2354</v>
      </c>
      <c r="I99" s="539" t="s">
        <v>2355</v>
      </c>
      <c r="J99" s="632" t="s">
        <v>1848</v>
      </c>
      <c r="K99" s="617"/>
      <c r="L99" s="632" t="s">
        <v>1942</v>
      </c>
      <c r="M99" s="632" t="s">
        <v>1943</v>
      </c>
      <c r="N99" s="782" t="s">
        <v>1123</v>
      </c>
      <c r="O99" s="783" t="s">
        <v>1850</v>
      </c>
      <c r="P99" s="632" t="s">
        <v>1851</v>
      </c>
      <c r="Q99" s="632" t="s">
        <v>1852</v>
      </c>
      <c r="R99" s="632" t="s">
        <v>375</v>
      </c>
      <c r="S99" s="632" t="s">
        <v>1853</v>
      </c>
      <c r="T99" s="727"/>
      <c r="U99" s="784"/>
    </row>
    <row r="100" spans="2:21" s="620" customFormat="1" ht="24" outlineLevel="1" x14ac:dyDescent="0.25">
      <c r="B100" s="632">
        <v>215</v>
      </c>
      <c r="C100" s="632" t="str">
        <f t="shared" ref="C100:C114" si="11">$W$6&amp;B100</f>
        <v>2016215</v>
      </c>
      <c r="D100" s="538" t="str">
        <f>IF(ISERROR(VLOOKUP(C100,'Base de Datos'!$D$7:$F$4345,2,0))=TRUE,"",(VLOOKUP(C100,'Base de Datos'!$D$7:$F$4345,2,0)))</f>
        <v/>
      </c>
      <c r="E100" s="619" t="s">
        <v>2318</v>
      </c>
      <c r="F100" s="585">
        <v>9442000</v>
      </c>
      <c r="G100" s="817">
        <v>42405</v>
      </c>
      <c r="H100" s="817"/>
      <c r="I100" s="838" t="str">
        <f ca="1">IF(H100=Hoja1!$J$2," ",(IF(MONTH(G100)=MONTH(TODAY()),IF(DAY(G100)&gt;DAY(TODAY()),"Quedan "&amp;ABS(DAY(G100)-DAY(TODAY()))&amp;" Días","Hace "&amp;ABS(DAY(G100)-DAY(TODAY()))&amp;" Días"),"")))</f>
        <v/>
      </c>
      <c r="J100" s="541" t="str">
        <f>IF(ISERROR(VLOOKUP(C100,'Base de Datos'!$D$7:$N$4345,6,0))=TRUE,"Sin Celebrar",(VLOOKUP(C100,'Base de Datos'!$D$7:$N$4345,6,0)))</f>
        <v>Sin Celebrar</v>
      </c>
      <c r="K100" s="617"/>
      <c r="L100" s="541">
        <f t="shared" ref="L100:L114" si="12">IF(J100=$W$7,F100, " ")</f>
        <v>9442000</v>
      </c>
      <c r="M100" s="541" t="str">
        <f t="shared" ref="M100:M115" si="13">IF(J100&lt;F100,(F100-J100)," ")</f>
        <v xml:space="preserve"> </v>
      </c>
      <c r="N100" s="724" t="str">
        <f>IF(ISERROR(VLOOKUP(C100,'Base de Datos'!$D$7:$K$1048576,7,0))=TRUE," ",(VLOOKUP(C100,'Base de Datos'!$D$7:$K$1048576,7,0)))</f>
        <v xml:space="preserve"> </v>
      </c>
      <c r="O100" s="556" t="str">
        <f>IF(ISERROR(VLOOKUP(C100,'Base de Datos'!$D$7:$N$4330,9,0))=TRUE," ",(VLOOKUP(C100,'Base de Datos'!$D$7:$N$4330,9,0)))</f>
        <v xml:space="preserve"> </v>
      </c>
      <c r="P100" s="618" t="e">
        <f>VLOOKUP(B100,#REF!,13,0)</f>
        <v>#REF!</v>
      </c>
      <c r="Q100" s="556" t="str">
        <f>IF(ISERROR(VLOOKUP(C100,'Base de Datos'!$D$7:$N$4330,10,0))=TRUE," ",(VLOOKUP(C100,'Base de Datos'!$D$7:$N$4330,10,0)))</f>
        <v xml:space="preserve"> </v>
      </c>
      <c r="R100" s="556" t="str">
        <f>IF(ISERROR(VLOOKUP(C100,'Base de Datos'!$D$7:$N$4330,11,0))=TRUE," ",(VLOOKUP(C100,'Base de Datos'!$D$7:$N$4330,11,0)))</f>
        <v xml:space="preserve"> </v>
      </c>
      <c r="S100" s="619" t="s">
        <v>2357</v>
      </c>
      <c r="T100" s="727"/>
      <c r="U100" s="784"/>
    </row>
    <row r="101" spans="2:21" s="620" customFormat="1" ht="24" outlineLevel="1" x14ac:dyDescent="0.25">
      <c r="B101" s="632">
        <v>198</v>
      </c>
      <c r="C101" s="632" t="str">
        <f t="shared" si="11"/>
        <v>2016198</v>
      </c>
      <c r="D101" s="538" t="str">
        <f>IF(ISERROR(VLOOKUP(C101,'Base de Datos'!$D$7:$F$4345,2,0))=TRUE,"",(VLOOKUP(C101,'Base de Datos'!$D$7:$F$4345,2,0)))</f>
        <v>160161-0-2016</v>
      </c>
      <c r="E101" s="619" t="s">
        <v>2408</v>
      </c>
      <c r="F101" s="585">
        <v>485820000</v>
      </c>
      <c r="G101" s="817">
        <v>42370</v>
      </c>
      <c r="H101" s="817"/>
      <c r="I101" s="838" t="str">
        <f ca="1">IF(H101=Hoja1!$J$2," ",(IF(MONTH(G101)=MONTH(TODAY()),IF(DAY(G101)&gt;DAY(TODAY()),"Quedan "&amp;ABS(DAY(G101)-DAY(TODAY()))&amp;" Días","Hace "&amp;ABS(DAY(G101)-DAY(TODAY()))&amp;" Días"),"")))</f>
        <v>Hace 17 Días</v>
      </c>
      <c r="J101" s="541">
        <f>IF(ISERROR(VLOOKUP(C101,'Base de Datos'!$D$7:$N$4345,6,0))=TRUE,"Sin Celebrar",(VLOOKUP(C101,'Base de Datos'!$D$7:$N$4345,6,0)))</f>
        <v>485820000</v>
      </c>
      <c r="K101" s="617"/>
      <c r="L101" s="541" t="str">
        <f t="shared" si="12"/>
        <v xml:space="preserve"> </v>
      </c>
      <c r="M101" s="541" t="str">
        <f t="shared" si="13"/>
        <v xml:space="preserve"> </v>
      </c>
      <c r="N101" s="724" t="str">
        <f>IF(ISERROR(VLOOKUP(C101,'Base de Datos'!$D$7:$K$1048576,7,0))=TRUE," ",(VLOOKUP(C101,'Base de Datos'!$D$7:$K$1048576,7,0)))</f>
        <v>SDH-LP-02-2016</v>
      </c>
      <c r="O101" s="556">
        <f>IF(ISERROR(VLOOKUP(C101,'Base de Datos'!$D$7:$N$4330,9,0))=TRUE," ",(VLOOKUP(C101,'Base de Datos'!$D$7:$N$4330,9,0)))</f>
        <v>42558</v>
      </c>
      <c r="P101" s="618" t="e">
        <f>VLOOKUP(B101,#REF!,13,0)</f>
        <v>#REF!</v>
      </c>
      <c r="Q101" s="556">
        <f>IF(ISERROR(VLOOKUP(C101,'Base de Datos'!$D$7:$N$4330,10,0))=TRUE," ",(VLOOKUP(C101,'Base de Datos'!$D$7:$N$4330,10,0)))</f>
        <v>42583</v>
      </c>
      <c r="R101" s="556">
        <f>IF(ISERROR(VLOOKUP(C101,'Base de Datos'!$D$7:$N$4330,11,0))=TRUE," ",(VLOOKUP(C101,'Base de Datos'!$D$7:$N$4330,11,0)))</f>
        <v>42887</v>
      </c>
      <c r="S101" s="619" t="s">
        <v>2080</v>
      </c>
      <c r="T101" s="727"/>
      <c r="U101" s="784"/>
    </row>
    <row r="102" spans="2:21" s="620" customFormat="1" ht="24" outlineLevel="1" x14ac:dyDescent="0.25">
      <c r="B102" s="632">
        <v>207</v>
      </c>
      <c r="C102" s="632" t="str">
        <f t="shared" si="11"/>
        <v>2016207</v>
      </c>
      <c r="D102" s="538" t="str">
        <f>IF(ISERROR(VLOOKUP(C102,'Base de Datos'!$D$7:$F$4345,2,0))=TRUE,"",(VLOOKUP(C102,'Base de Datos'!$D$7:$F$4345,2,0)))</f>
        <v>160307-0-2016</v>
      </c>
      <c r="E102" s="619" t="s">
        <v>1139</v>
      </c>
      <c r="F102" s="585">
        <v>215270000</v>
      </c>
      <c r="G102" s="817">
        <v>42374</v>
      </c>
      <c r="H102" s="817"/>
      <c r="I102" s="838" t="str">
        <f ca="1">IF(H102=Hoja1!$J$2," ",(IF(MONTH(G102)=MONTH(TODAY()),IF(DAY(G102)&gt;DAY(TODAY()),"Quedan "&amp;ABS(DAY(G102)-DAY(TODAY()))&amp;" Días","Hace "&amp;ABS(DAY(G102)-DAY(TODAY()))&amp;" Días"),"")))</f>
        <v>Hace 13 Días</v>
      </c>
      <c r="J102" s="541">
        <f>IF(ISERROR(VLOOKUP(C102,'Base de Datos'!$D$7:$N$4345,6,0))=TRUE,"Sin Celebrar",(VLOOKUP(C102,'Base de Datos'!$D$7:$N$4345,6,0)))</f>
        <v>64285000</v>
      </c>
      <c r="K102" s="617"/>
      <c r="L102" s="541" t="str">
        <f t="shared" si="12"/>
        <v xml:space="preserve"> </v>
      </c>
      <c r="M102" s="541">
        <f t="shared" si="13"/>
        <v>150985000</v>
      </c>
      <c r="N102" s="724" t="str">
        <f>IF(ISERROR(VLOOKUP(C102,'Base de Datos'!$D$7:$K$1048576,7,0))=TRUE," ",(VLOOKUP(C102,'Base de Datos'!$D$7:$K$1048576,7,0)))</f>
        <v>SDH-SMINC-48-2016</v>
      </c>
      <c r="O102" s="556">
        <f>IF(ISERROR(VLOOKUP(C102,'Base de Datos'!$D$7:$N$4330,9,0))=TRUE," ",(VLOOKUP(C102,'Base de Datos'!$D$7:$N$4330,9,0)))</f>
        <v>42726</v>
      </c>
      <c r="P102" s="618" t="e">
        <f>VLOOKUP(B102,#REF!,13,0)</f>
        <v>#REF!</v>
      </c>
      <c r="Q102" s="556">
        <f>IF(ISERROR(VLOOKUP(C102,'Base de Datos'!$D$7:$N$4330,10,0))=TRUE," ",(VLOOKUP(C102,'Base de Datos'!$D$7:$N$4330,10,0)))</f>
        <v>42730</v>
      </c>
      <c r="R102" s="556">
        <f>IF(ISERROR(VLOOKUP(C102,'Base de Datos'!$D$7:$N$4330,11,0))=TRUE," ",(VLOOKUP(C102,'Base de Datos'!$D$7:$N$4330,11,0)))</f>
        <v>42797</v>
      </c>
      <c r="S102" s="619" t="s">
        <v>2080</v>
      </c>
      <c r="T102" s="727"/>
      <c r="U102" s="784"/>
    </row>
    <row r="103" spans="2:21" s="620" customFormat="1" ht="24" outlineLevel="1" x14ac:dyDescent="0.25">
      <c r="B103" s="632">
        <v>217</v>
      </c>
      <c r="C103" s="632" t="str">
        <f t="shared" si="11"/>
        <v>2016217</v>
      </c>
      <c r="D103" s="538" t="str">
        <f>IF(ISERROR(VLOOKUP(C103,'Base de Datos'!$D$7:$F$4345,2,0))=TRUE,"",(VLOOKUP(C103,'Base de Datos'!$D$7:$F$4345,2,0)))</f>
        <v>160096-0-2016</v>
      </c>
      <c r="E103" s="619" t="s">
        <v>2319</v>
      </c>
      <c r="F103" s="585">
        <v>14640000</v>
      </c>
      <c r="G103" s="817">
        <v>42401</v>
      </c>
      <c r="H103" s="817"/>
      <c r="I103" s="838" t="str">
        <f ca="1">IF(H103=Hoja1!$J$2," ",(IF(MONTH(G103)=MONTH(TODAY()),IF(DAY(G103)&gt;DAY(TODAY()),"Quedan "&amp;ABS(DAY(G103)-DAY(TODAY()))&amp;" Días","Hace "&amp;ABS(DAY(G103)-DAY(TODAY()))&amp;" Días"),"")))</f>
        <v/>
      </c>
      <c r="J103" s="541">
        <f>IF(ISERROR(VLOOKUP(C103,'Base de Datos'!$D$7:$N$4345,6,0))=TRUE,"Sin Celebrar",(VLOOKUP(C103,'Base de Datos'!$D$7:$N$4345,6,0)))</f>
        <v>14640000</v>
      </c>
      <c r="K103" s="617"/>
      <c r="L103" s="541" t="str">
        <f t="shared" si="12"/>
        <v xml:space="preserve"> </v>
      </c>
      <c r="M103" s="541" t="str">
        <f t="shared" si="13"/>
        <v xml:space="preserve"> </v>
      </c>
      <c r="N103" s="724" t="str">
        <f>IF(ISERROR(VLOOKUP(C103,'Base de Datos'!$D$7:$K$1048576,7,0))=TRUE," ",(VLOOKUP(C103,'Base de Datos'!$D$7:$K$1048576,7,0)))</f>
        <v>160096-0-2016</v>
      </c>
      <c r="O103" s="556">
        <f>IF(ISERROR(VLOOKUP(C103,'Base de Datos'!$D$7:$N$4330,9,0))=TRUE," ",(VLOOKUP(C103,'Base de Datos'!$D$7:$N$4330,9,0)))</f>
        <v>42496</v>
      </c>
      <c r="P103" s="618" t="e">
        <f>VLOOKUP(B103,#REF!,13,0)</f>
        <v>#REF!</v>
      </c>
      <c r="Q103" s="556">
        <f>IF(ISERROR(VLOOKUP(C103,'Base de Datos'!$D$7:$N$4330,10,0))=TRUE," ",(VLOOKUP(C103,'Base de Datos'!$D$7:$N$4330,10,0)))</f>
        <v>42514</v>
      </c>
      <c r="R103" s="556">
        <f>IF(ISERROR(VLOOKUP(C103,'Base de Datos'!$D$7:$N$4330,11,0))=TRUE," ",(VLOOKUP(C103,'Base de Datos'!$D$7:$N$4330,11,0)))</f>
        <v>42818</v>
      </c>
      <c r="S103" s="619" t="s">
        <v>1511</v>
      </c>
      <c r="T103" s="727"/>
      <c r="U103" s="784"/>
    </row>
    <row r="104" spans="2:21" s="620" customFormat="1" ht="24" outlineLevel="1" x14ac:dyDescent="0.25">
      <c r="B104" s="632">
        <v>218</v>
      </c>
      <c r="C104" s="632" t="str">
        <f t="shared" si="11"/>
        <v>2016218</v>
      </c>
      <c r="D104" s="538" t="str">
        <f>IF(ISERROR(VLOOKUP(C104,'Base de Datos'!$D$7:$F$4345,2,0))=TRUE,"",(VLOOKUP(C104,'Base de Datos'!$D$7:$F$4345,2,0)))</f>
        <v>160170-0-2016</v>
      </c>
      <c r="E104" s="619" t="s">
        <v>2320</v>
      </c>
      <c r="F104" s="585">
        <v>221382000</v>
      </c>
      <c r="G104" s="817">
        <v>42373</v>
      </c>
      <c r="H104" s="817"/>
      <c r="I104" s="838" t="str">
        <f ca="1">IF(H104=Hoja1!$J$2," ",(IF(MONTH(G104)=MONTH(TODAY()),IF(DAY(G104)&gt;DAY(TODAY()),"Quedan "&amp;ABS(DAY(G104)-DAY(TODAY()))&amp;" Días","Hace "&amp;ABS(DAY(G104)-DAY(TODAY()))&amp;" Días"),"")))</f>
        <v>Hace 14 Días</v>
      </c>
      <c r="J104" s="541">
        <f>IF(ISERROR(VLOOKUP(C104,'Base de Datos'!$D$7:$N$4345,6,0))=TRUE,"Sin Celebrar",(VLOOKUP(C104,'Base de Datos'!$D$7:$N$4345,6,0)))</f>
        <v>221382000</v>
      </c>
      <c r="K104" s="617"/>
      <c r="L104" s="541" t="str">
        <f t="shared" si="12"/>
        <v xml:space="preserve"> </v>
      </c>
      <c r="M104" s="541" t="str">
        <f t="shared" si="13"/>
        <v xml:space="preserve"> </v>
      </c>
      <c r="N104" s="724" t="str">
        <f>IF(ISERROR(VLOOKUP(C104,'Base de Datos'!$D$7:$K$1048576,7,0))=TRUE," ",(VLOOKUP(C104,'Base de Datos'!$D$7:$K$1048576,7,0)))</f>
        <v>SDH-SAMC-03-2016</v>
      </c>
      <c r="O104" s="556">
        <f>IF(ISERROR(VLOOKUP(C104,'Base de Datos'!$D$7:$N$4330,9,0))=TRUE," ",(VLOOKUP(C104,'Base de Datos'!$D$7:$N$4330,9,0)))</f>
        <v>42564</v>
      </c>
      <c r="P104" s="618" t="e">
        <f>VLOOKUP(B104,#REF!,13,0)</f>
        <v>#REF!</v>
      </c>
      <c r="Q104" s="556">
        <f>IF(ISERROR(VLOOKUP(C104,'Base de Datos'!$D$7:$N$4330,10,0))=TRUE," ",(VLOOKUP(C104,'Base de Datos'!$D$7:$N$4330,10,0)))</f>
        <v>42587</v>
      </c>
      <c r="R104" s="556">
        <f>IF(ISERROR(VLOOKUP(C104,'Base de Datos'!$D$7:$N$4330,11,0))=TRUE," ",(VLOOKUP(C104,'Base de Datos'!$D$7:$N$4330,11,0)))</f>
        <v>42891</v>
      </c>
      <c r="S104" s="619" t="s">
        <v>981</v>
      </c>
      <c r="T104" s="727"/>
      <c r="U104" s="784"/>
    </row>
    <row r="105" spans="2:21" s="620" customFormat="1" ht="24" outlineLevel="1" x14ac:dyDescent="0.25">
      <c r="B105" s="632">
        <v>142</v>
      </c>
      <c r="C105" s="632" t="str">
        <f t="shared" si="11"/>
        <v>2016142</v>
      </c>
      <c r="D105" s="538" t="str">
        <f>IF(ISERROR(VLOOKUP(C105,'Base de Datos'!$D$7:$F$4345,2,0))=TRUE,"",(VLOOKUP(C105,'Base de Datos'!$D$7:$F$4345,2,0)))</f>
        <v>160163-0-2016</v>
      </c>
      <c r="E105" s="619" t="s">
        <v>2321</v>
      </c>
      <c r="F105" s="585">
        <v>22810000</v>
      </c>
      <c r="G105" s="817">
        <v>42096</v>
      </c>
      <c r="H105" s="817"/>
      <c r="I105" s="838" t="str">
        <f ca="1">IF(H105=Hoja1!$J$2," ",(IF(MONTH(G105)=MONTH(TODAY()),IF(DAY(G105)&gt;DAY(TODAY()),"Quedan "&amp;ABS(DAY(G105)-DAY(TODAY()))&amp;" Días","Hace "&amp;ABS(DAY(G105)-DAY(TODAY()))&amp;" Días"),"")))</f>
        <v/>
      </c>
      <c r="J105" s="541">
        <f>IF(ISERROR(VLOOKUP(C105,'Base de Datos'!$D$7:$N$4345,6,0))=TRUE,"Sin Celebrar",(VLOOKUP(C105,'Base de Datos'!$D$7:$N$4345,6,0)))</f>
        <v>12650000</v>
      </c>
      <c r="K105" s="617"/>
      <c r="L105" s="541" t="str">
        <f t="shared" si="12"/>
        <v xml:space="preserve"> </v>
      </c>
      <c r="M105" s="541">
        <f t="shared" si="13"/>
        <v>10160000</v>
      </c>
      <c r="N105" s="724" t="str">
        <f>IF(ISERROR(VLOOKUP(C105,'Base de Datos'!$D$7:$K$1048576,7,0))=TRUE," ",(VLOOKUP(C105,'Base de Datos'!$D$7:$K$1048576,7,0)))</f>
        <v>SDH-SMINC-14-2016</v>
      </c>
      <c r="O105" s="556">
        <f>IF(ISERROR(VLOOKUP(C105,'Base de Datos'!$D$7:$N$4330,9,0))=TRUE," ",(VLOOKUP(C105,'Base de Datos'!$D$7:$N$4330,9,0)))</f>
        <v>42558</v>
      </c>
      <c r="P105" s="618" t="e">
        <f>VLOOKUP(B105,#REF!,13,0)</f>
        <v>#REF!</v>
      </c>
      <c r="Q105" s="556">
        <f>IF(ISERROR(VLOOKUP(C105,'Base de Datos'!$D$7:$N$4330,10,0))=TRUE," ",(VLOOKUP(C105,'Base de Datos'!$D$7:$N$4330,10,0)))</f>
        <v>42577</v>
      </c>
      <c r="R105" s="556">
        <f>IF(ISERROR(VLOOKUP(C105,'Base de Datos'!$D$7:$N$4330,11,0))=TRUE," ",(VLOOKUP(C105,'Base de Datos'!$D$7:$N$4330,11,0)))</f>
        <v>42912</v>
      </c>
      <c r="S105" s="619" t="s">
        <v>981</v>
      </c>
      <c r="T105" s="727"/>
      <c r="U105" s="784"/>
    </row>
    <row r="106" spans="2:21" s="620" customFormat="1" ht="24" outlineLevel="1" x14ac:dyDescent="0.25">
      <c r="B106" s="632">
        <v>219</v>
      </c>
      <c r="C106" s="632" t="str">
        <f t="shared" si="11"/>
        <v>2016219</v>
      </c>
      <c r="D106" s="538" t="str">
        <f>IF(ISERROR(VLOOKUP(C106,'Base de Datos'!$D$7:$F$4345,2,0))=TRUE,"",(VLOOKUP(C106,'Base de Datos'!$D$7:$F$4345,2,0)))</f>
        <v>160118-0-2016</v>
      </c>
      <c r="E106" s="619" t="s">
        <v>2322</v>
      </c>
      <c r="F106" s="585">
        <v>25000000</v>
      </c>
      <c r="G106" s="817">
        <v>42430</v>
      </c>
      <c r="H106" s="817"/>
      <c r="I106" s="838" t="str">
        <f ca="1">IF(H106=Hoja1!$J$2," ",(IF(MONTH(G106)=MONTH(TODAY()),IF(DAY(G106)&gt;DAY(TODAY()),"Quedan "&amp;ABS(DAY(G106)-DAY(TODAY()))&amp;" Días","Hace "&amp;ABS(DAY(G106)-DAY(TODAY()))&amp;" Días"),"")))</f>
        <v/>
      </c>
      <c r="J106" s="541">
        <f>IF(ISERROR(VLOOKUP(C106,'Base de Datos'!$D$7:$N$4345,6,0))=TRUE,"Sin Celebrar",(VLOOKUP(C106,'Base de Datos'!$D$7:$N$4345,6,0)))</f>
        <v>19931000</v>
      </c>
      <c r="K106" s="617"/>
      <c r="L106" s="541" t="str">
        <f t="shared" si="12"/>
        <v xml:space="preserve"> </v>
      </c>
      <c r="M106" s="541">
        <f t="shared" si="13"/>
        <v>5069000</v>
      </c>
      <c r="N106" s="724" t="str">
        <f>IF(ISERROR(VLOOKUP(C106,'Base de Datos'!$D$7:$K$1048576,7,0))=TRUE," ",(VLOOKUP(C106,'Base de Datos'!$D$7:$K$1048576,7,0)))</f>
        <v>SDH-SMINC-06-2016</v>
      </c>
      <c r="O106" s="556">
        <f>IF(ISERROR(VLOOKUP(C106,'Base de Datos'!$D$7:$N$4330,9,0))=TRUE," ",(VLOOKUP(C106,'Base de Datos'!$D$7:$N$4330,9,0)))</f>
        <v>42517</v>
      </c>
      <c r="P106" s="618" t="e">
        <f>VLOOKUP(B106,#REF!,13,0)</f>
        <v>#REF!</v>
      </c>
      <c r="Q106" s="556">
        <f>IF(ISERROR(VLOOKUP(C106,'Base de Datos'!$D$7:$N$4330,10,0))=TRUE," ",(VLOOKUP(C106,'Base de Datos'!$D$7:$N$4330,10,0)))</f>
        <v>42529</v>
      </c>
      <c r="R106" s="556">
        <f>IF(ISERROR(VLOOKUP(C106,'Base de Datos'!$D$7:$N$4330,11,0))=TRUE," ",(VLOOKUP(C106,'Base de Datos'!$D$7:$N$4330,11,0)))</f>
        <v>42774</v>
      </c>
      <c r="S106" s="619" t="s">
        <v>2356</v>
      </c>
      <c r="T106" s="727"/>
      <c r="U106" s="784"/>
    </row>
    <row r="107" spans="2:21" s="620" customFormat="1" ht="24" outlineLevel="1" x14ac:dyDescent="0.25">
      <c r="B107" s="632">
        <v>220</v>
      </c>
      <c r="C107" s="632" t="str">
        <f t="shared" si="11"/>
        <v>2016220</v>
      </c>
      <c r="D107" s="538" t="str">
        <f>IF(ISERROR(VLOOKUP(C107,'Base de Datos'!$D$7:$F$4345,2,0))=TRUE,"",(VLOOKUP(C107,'Base de Datos'!$D$7:$F$4345,2,0)))</f>
        <v>160198-0-2016</v>
      </c>
      <c r="E107" s="619" t="s">
        <v>2323</v>
      </c>
      <c r="F107" s="585">
        <v>5042000</v>
      </c>
      <c r="G107" s="817">
        <v>42430</v>
      </c>
      <c r="H107" s="817"/>
      <c r="I107" s="838" t="str">
        <f ca="1">IF(H107=Hoja1!$J$2," ",(IF(MONTH(G107)=MONTH(TODAY()),IF(DAY(G107)&gt;DAY(TODAY()),"Quedan "&amp;ABS(DAY(G107)-DAY(TODAY()))&amp;" Días","Hace "&amp;ABS(DAY(G107)-DAY(TODAY()))&amp;" Días"),"")))</f>
        <v/>
      </c>
      <c r="J107" s="541">
        <f>IF(ISERROR(VLOOKUP(C107,'Base de Datos'!$D$7:$N$4345,6,0))=TRUE,"Sin Celebrar",(VLOOKUP(C107,'Base de Datos'!$D$7:$N$4345,6,0)))</f>
        <v>6973000</v>
      </c>
      <c r="K107" s="617"/>
      <c r="L107" s="541" t="str">
        <f t="shared" si="12"/>
        <v xml:space="preserve"> </v>
      </c>
      <c r="M107" s="541" t="str">
        <f t="shared" si="13"/>
        <v xml:space="preserve"> </v>
      </c>
      <c r="N107" s="724" t="str">
        <f>IF(ISERROR(VLOOKUP(C107,'Base de Datos'!$D$7:$K$1048576,7,0))=TRUE," ",(VLOOKUP(C107,'Base de Datos'!$D$7:$K$1048576,7,0)))</f>
        <v>SDH-SMINC-29-2016</v>
      </c>
      <c r="O107" s="556">
        <f>IF(ISERROR(VLOOKUP(C107,'Base de Datos'!$D$7:$N$4330,9,0))=TRUE," ",(VLOOKUP(C107,'Base de Datos'!$D$7:$N$4330,9,0)))</f>
        <v>42587</v>
      </c>
      <c r="P107" s="618" t="e">
        <f>VLOOKUP(B107,#REF!,13,0)</f>
        <v>#REF!</v>
      </c>
      <c r="Q107" s="556">
        <f>IF(ISERROR(VLOOKUP(C107,'Base de Datos'!$D$7:$N$4330,10,0))=TRUE," ",(VLOOKUP(C107,'Base de Datos'!$D$7:$N$4330,10,0)))</f>
        <v>42598</v>
      </c>
      <c r="R107" s="556">
        <f>IF(ISERROR(VLOOKUP(C107,'Base de Datos'!$D$7:$N$4330,11,0))=TRUE," ",(VLOOKUP(C107,'Base de Datos'!$D$7:$N$4330,11,0)))</f>
        <v>42841</v>
      </c>
      <c r="S107" s="619" t="s">
        <v>2357</v>
      </c>
      <c r="T107" s="727"/>
      <c r="U107" s="784"/>
    </row>
    <row r="108" spans="2:21" s="620" customFormat="1" ht="24" outlineLevel="1" x14ac:dyDescent="0.25">
      <c r="B108" s="632">
        <v>143</v>
      </c>
      <c r="C108" s="632" t="str">
        <f t="shared" si="11"/>
        <v>2016143</v>
      </c>
      <c r="D108" s="538" t="str">
        <f>IF(ISERROR(VLOOKUP(C108,'Base de Datos'!$D$7:$F$4345,2,0))=TRUE,"",(VLOOKUP(C108,'Base de Datos'!$D$7:$F$4345,2,0)))</f>
        <v>160127-0-2016</v>
      </c>
      <c r="E108" s="619" t="s">
        <v>2324</v>
      </c>
      <c r="F108" s="585">
        <v>2060000</v>
      </c>
      <c r="G108" s="817">
        <v>42430</v>
      </c>
      <c r="H108" s="817"/>
      <c r="I108" s="838" t="str">
        <f ca="1">IF(H108=Hoja1!$J$2," ",(IF(MONTH(G108)=MONTH(TODAY()),IF(DAY(G108)&gt;DAY(TODAY()),"Quedan "&amp;ABS(DAY(G108)-DAY(TODAY()))&amp;" Días","Hace "&amp;ABS(DAY(G108)-DAY(TODAY()))&amp;" Días"),"")))</f>
        <v/>
      </c>
      <c r="J108" s="541">
        <f>IF(ISERROR(VLOOKUP(C108,'Base de Datos'!$D$7:$N$4345,6,0))=TRUE,"Sin Celebrar",(VLOOKUP(C108,'Base de Datos'!$D$7:$N$4345,6,0)))</f>
        <v>2060000</v>
      </c>
      <c r="K108" s="617"/>
      <c r="L108" s="541" t="str">
        <f t="shared" si="12"/>
        <v xml:space="preserve"> </v>
      </c>
      <c r="M108" s="541" t="str">
        <f t="shared" si="13"/>
        <v xml:space="preserve"> </v>
      </c>
      <c r="N108" s="724" t="str">
        <f>IF(ISERROR(VLOOKUP(C108,'Base de Datos'!$D$7:$K$1048576,7,0))=TRUE," ",(VLOOKUP(C108,'Base de Datos'!$D$7:$K$1048576,7,0)))</f>
        <v>SDH-SMINC-07-2016</v>
      </c>
      <c r="O108" s="556">
        <f>IF(ISERROR(VLOOKUP(C108,'Base de Datos'!$D$7:$N$4330,9,0))=TRUE," ",(VLOOKUP(C108,'Base de Datos'!$D$7:$N$4330,9,0)))</f>
        <v>42528</v>
      </c>
      <c r="P108" s="618" t="e">
        <f>VLOOKUP(B108,#REF!,13,0)</f>
        <v>#REF!</v>
      </c>
      <c r="Q108" s="556">
        <f>IF(ISERROR(VLOOKUP(C108,'Base de Datos'!$D$7:$N$4330,10,0))=TRUE," ",(VLOOKUP(C108,'Base de Datos'!$D$7:$N$4330,10,0)))</f>
        <v>42541</v>
      </c>
      <c r="R108" s="556">
        <f>IF(ISERROR(VLOOKUP(C108,'Base de Datos'!$D$7:$N$4330,11,0))=TRUE," ",(VLOOKUP(C108,'Base de Datos'!$D$7:$N$4330,11,0)))</f>
        <v>42786</v>
      </c>
      <c r="S108" s="619" t="s">
        <v>2356</v>
      </c>
      <c r="T108" s="727"/>
      <c r="U108" s="784"/>
    </row>
    <row r="109" spans="2:21" s="620" customFormat="1" ht="36" outlineLevel="1" x14ac:dyDescent="0.25">
      <c r="B109" s="632">
        <v>144</v>
      </c>
      <c r="C109" s="632" t="str">
        <f t="shared" si="11"/>
        <v>2016144</v>
      </c>
      <c r="D109" s="538" t="str">
        <f>IF(ISERROR(VLOOKUP(C109,'Base de Datos'!$D$7:$F$4345,2,0))=TRUE,"",(VLOOKUP(C109,'Base de Datos'!$D$7:$F$4345,2,0)))</f>
        <v/>
      </c>
      <c r="E109" s="619" t="s">
        <v>2325</v>
      </c>
      <c r="F109" s="585">
        <v>7644000</v>
      </c>
      <c r="G109" s="817">
        <v>42408</v>
      </c>
      <c r="H109" s="817"/>
      <c r="I109" s="838" t="str">
        <f ca="1">IF(H109=Hoja1!$J$2," ",(IF(MONTH(G109)=MONTH(TODAY()),IF(DAY(G109)&gt;DAY(TODAY()),"Quedan "&amp;ABS(DAY(G109)-DAY(TODAY()))&amp;" Días","Hace "&amp;ABS(DAY(G109)-DAY(TODAY()))&amp;" Días"),"")))</f>
        <v/>
      </c>
      <c r="J109" s="541" t="str">
        <f>IF(ISERROR(VLOOKUP(C109,'Base de Datos'!$D$7:$N$4345,6,0))=TRUE,"Sin Celebrar",(VLOOKUP(C109,'Base de Datos'!$D$7:$N$4345,6,0)))</f>
        <v>Sin Celebrar</v>
      </c>
      <c r="K109" s="617"/>
      <c r="L109" s="541">
        <f t="shared" si="12"/>
        <v>7644000</v>
      </c>
      <c r="M109" s="541" t="str">
        <f t="shared" si="13"/>
        <v xml:space="preserve"> </v>
      </c>
      <c r="N109" s="724" t="str">
        <f>IF(ISERROR(VLOOKUP(C109,'Base de Datos'!$D$7:$K$1048576,7,0))=TRUE," ",(VLOOKUP(C109,'Base de Datos'!$D$7:$K$1048576,7,0)))</f>
        <v xml:space="preserve"> </v>
      </c>
      <c r="O109" s="556" t="str">
        <f>IF(ISERROR(VLOOKUP(C109,'Base de Datos'!$D$7:$N$4330,9,0))=TRUE," ",(VLOOKUP(C109,'Base de Datos'!$D$7:$N$4330,9,0)))</f>
        <v xml:space="preserve"> </v>
      </c>
      <c r="P109" s="618" t="e">
        <f>VLOOKUP(B109,#REF!,13,0)</f>
        <v>#REF!</v>
      </c>
      <c r="Q109" s="556" t="str">
        <f>IF(ISERROR(VLOOKUP(C109,'Base de Datos'!$D$7:$N$4330,10,0))=TRUE," ",(VLOOKUP(C109,'Base de Datos'!$D$7:$N$4330,10,0)))</f>
        <v xml:space="preserve"> </v>
      </c>
      <c r="R109" s="556" t="str">
        <f>IF(ISERROR(VLOOKUP(C109,'Base de Datos'!$D$7:$N$4330,11,0))=TRUE," ",(VLOOKUP(C109,'Base de Datos'!$D$7:$N$4330,11,0)))</f>
        <v xml:space="preserve"> </v>
      </c>
      <c r="S109" s="619" t="s">
        <v>2357</v>
      </c>
      <c r="T109" s="727"/>
      <c r="U109" s="784"/>
    </row>
    <row r="110" spans="2:21" s="620" customFormat="1" ht="24" outlineLevel="1" x14ac:dyDescent="0.25">
      <c r="B110" s="632">
        <v>145</v>
      </c>
      <c r="C110" s="632" t="str">
        <f t="shared" si="11"/>
        <v>2016145</v>
      </c>
      <c r="D110" s="538" t="str">
        <f>IF(ISERROR(VLOOKUP(C110,'Base de Datos'!$D$7:$F$4345,2,0))=TRUE,"",(VLOOKUP(C110,'Base de Datos'!$D$7:$F$4345,2,0)))</f>
        <v>160208-0-2016</v>
      </c>
      <c r="E110" s="619" t="s">
        <v>2326</v>
      </c>
      <c r="F110" s="585">
        <v>7027000</v>
      </c>
      <c r="G110" s="817">
        <v>42430</v>
      </c>
      <c r="H110" s="817"/>
      <c r="I110" s="838" t="str">
        <f ca="1">IF(H110=Hoja1!$J$2," ",(IF(MONTH(G110)=MONTH(TODAY()),IF(DAY(G110)&gt;DAY(TODAY()),"Quedan "&amp;ABS(DAY(G110)-DAY(TODAY()))&amp;" Días","Hace "&amp;ABS(DAY(G110)-DAY(TODAY()))&amp;" Días"),"")))</f>
        <v/>
      </c>
      <c r="J110" s="541">
        <f>IF(ISERROR(VLOOKUP(C110,'Base de Datos'!$D$7:$N$4345,6,0))=TRUE,"Sin Celebrar",(VLOOKUP(C110,'Base de Datos'!$D$7:$N$4345,6,0)))</f>
        <v>4999000</v>
      </c>
      <c r="K110" s="617"/>
      <c r="L110" s="541" t="str">
        <f t="shared" si="12"/>
        <v xml:space="preserve"> </v>
      </c>
      <c r="M110" s="541">
        <f t="shared" si="13"/>
        <v>2028000</v>
      </c>
      <c r="N110" s="724" t="str">
        <f>IF(ISERROR(VLOOKUP(C110,'Base de Datos'!$D$7:$K$1048576,7,0))=TRUE," ",(VLOOKUP(C110,'Base de Datos'!$D$7:$K$1048576,7,0)))</f>
        <v>SDH-SMINC-31-2016</v>
      </c>
      <c r="O110" s="556">
        <f>IF(ISERROR(VLOOKUP(C110,'Base de Datos'!$D$7:$N$4330,9,0))=TRUE," ",(VLOOKUP(C110,'Base de Datos'!$D$7:$N$4330,9,0)))</f>
        <v>42604</v>
      </c>
      <c r="P110" s="618" t="e">
        <f>VLOOKUP(B110,#REF!,13,0)</f>
        <v>#REF!</v>
      </c>
      <c r="Q110" s="556">
        <f>IF(ISERROR(VLOOKUP(C110,'Base de Datos'!$D$7:$N$4330,10,0))=TRUE," ",(VLOOKUP(C110,'Base de Datos'!$D$7:$N$4330,10,0)))</f>
        <v>42622</v>
      </c>
      <c r="R110" s="556">
        <f>IF(ISERROR(VLOOKUP(C110,'Base de Datos'!$D$7:$N$4330,11,0))=TRUE," ",(VLOOKUP(C110,'Base de Datos'!$D$7:$N$4330,11,0)))</f>
        <v>42803</v>
      </c>
      <c r="S110" s="619" t="s">
        <v>2356</v>
      </c>
      <c r="T110" s="727"/>
      <c r="U110" s="784"/>
    </row>
    <row r="111" spans="2:21" s="620" customFormat="1" ht="24" outlineLevel="1" x14ac:dyDescent="0.25">
      <c r="B111" s="632">
        <v>146</v>
      </c>
      <c r="C111" s="632" t="str">
        <f t="shared" si="11"/>
        <v>2016146</v>
      </c>
      <c r="D111" s="538" t="str">
        <f>IF(ISERROR(VLOOKUP(C111,'Base de Datos'!$D$7:$F$4345,2,0))=TRUE,"",(VLOOKUP(C111,'Base de Datos'!$D$7:$F$4345,2,0)))</f>
        <v/>
      </c>
      <c r="E111" s="619" t="s">
        <v>2327</v>
      </c>
      <c r="F111" s="585">
        <v>28840000</v>
      </c>
      <c r="G111" s="817">
        <v>42506</v>
      </c>
      <c r="H111" s="817"/>
      <c r="I111" s="838" t="str">
        <f ca="1">IF(H111=Hoja1!$J$2," ",(IF(MONTH(G111)=MONTH(TODAY()),IF(DAY(G111)&gt;DAY(TODAY()),"Quedan "&amp;ABS(DAY(G111)-DAY(TODAY()))&amp;" Días","Hace "&amp;ABS(DAY(G111)-DAY(TODAY()))&amp;" Días"),"")))</f>
        <v/>
      </c>
      <c r="J111" s="541" t="str">
        <f>IF(ISERROR(VLOOKUP(C111,'Base de Datos'!$D$7:$N$4345,6,0))=TRUE,"Sin Celebrar",(VLOOKUP(C111,'Base de Datos'!$D$7:$N$4345,6,0)))</f>
        <v>Sin Celebrar</v>
      </c>
      <c r="K111" s="617"/>
      <c r="L111" s="541">
        <f t="shared" si="12"/>
        <v>28840000</v>
      </c>
      <c r="M111" s="541" t="str">
        <f t="shared" si="13"/>
        <v xml:space="preserve"> </v>
      </c>
      <c r="N111" s="724" t="str">
        <f>IF(ISERROR(VLOOKUP(C111,'Base de Datos'!$D$7:$K$1048576,7,0))=TRUE," ",(VLOOKUP(C111,'Base de Datos'!$D$7:$K$1048576,7,0)))</f>
        <v xml:space="preserve"> </v>
      </c>
      <c r="O111" s="556" t="str">
        <f>IF(ISERROR(VLOOKUP(C111,'Base de Datos'!$D$7:$N$4330,9,0))=TRUE," ",(VLOOKUP(C111,'Base de Datos'!$D$7:$N$4330,9,0)))</f>
        <v xml:space="preserve"> </v>
      </c>
      <c r="P111" s="618" t="e">
        <f>VLOOKUP(B111,#REF!,13,0)</f>
        <v>#REF!</v>
      </c>
      <c r="Q111" s="556" t="str">
        <f>IF(ISERROR(VLOOKUP(C111,'Base de Datos'!$D$7:$N$4330,10,0))=TRUE," ",(VLOOKUP(C111,'Base de Datos'!$D$7:$N$4330,10,0)))</f>
        <v xml:space="preserve"> </v>
      </c>
      <c r="R111" s="556" t="str">
        <f>IF(ISERROR(VLOOKUP(C111,'Base de Datos'!$D$7:$N$4330,11,0))=TRUE," ",(VLOOKUP(C111,'Base de Datos'!$D$7:$N$4330,11,0)))</f>
        <v xml:space="preserve"> </v>
      </c>
      <c r="S111" s="619" t="s">
        <v>2357</v>
      </c>
      <c r="T111" s="727"/>
      <c r="U111" s="784"/>
    </row>
    <row r="112" spans="2:21" s="620" customFormat="1" ht="24" outlineLevel="1" x14ac:dyDescent="0.25">
      <c r="B112" s="632">
        <v>222</v>
      </c>
      <c r="C112" s="632" t="str">
        <f t="shared" si="11"/>
        <v>2016222</v>
      </c>
      <c r="D112" s="538" t="str">
        <f>IF(ISERROR(VLOOKUP(C112,'Base de Datos'!$D$7:$F$4345,2,0))=TRUE,"",(VLOOKUP(C112,'Base de Datos'!$D$7:$F$4345,2,0)))</f>
        <v/>
      </c>
      <c r="E112" s="619" t="s">
        <v>2328</v>
      </c>
      <c r="F112" s="585">
        <v>5150000</v>
      </c>
      <c r="G112" s="817">
        <v>42491</v>
      </c>
      <c r="H112" s="817"/>
      <c r="I112" s="838" t="str">
        <f ca="1">IF(H112=Hoja1!$J$2," ",(IF(MONTH(G112)=MONTH(TODAY()),IF(DAY(G112)&gt;DAY(TODAY()),"Quedan "&amp;ABS(DAY(G112)-DAY(TODAY()))&amp;" Días","Hace "&amp;ABS(DAY(G112)-DAY(TODAY()))&amp;" Días"),"")))</f>
        <v/>
      </c>
      <c r="J112" s="541" t="str">
        <f>IF(ISERROR(VLOOKUP(C112,'Base de Datos'!$D$7:$N$4345,6,0))=TRUE,"Sin Celebrar",(VLOOKUP(C112,'Base de Datos'!$D$7:$N$4345,6,0)))</f>
        <v>Sin Celebrar</v>
      </c>
      <c r="K112" s="617"/>
      <c r="L112" s="541">
        <f t="shared" si="12"/>
        <v>5150000</v>
      </c>
      <c r="M112" s="541" t="str">
        <f t="shared" si="13"/>
        <v xml:space="preserve"> </v>
      </c>
      <c r="N112" s="724" t="str">
        <f>IF(ISERROR(VLOOKUP(C112,'Base de Datos'!$D$7:$K$1048576,7,0))=TRUE," ",(VLOOKUP(C112,'Base de Datos'!$D$7:$K$1048576,7,0)))</f>
        <v xml:space="preserve"> </v>
      </c>
      <c r="O112" s="556" t="str">
        <f>IF(ISERROR(VLOOKUP(C112,'Base de Datos'!$D$7:$N$4330,9,0))=TRUE," ",(VLOOKUP(C112,'Base de Datos'!$D$7:$N$4330,9,0)))</f>
        <v xml:space="preserve"> </v>
      </c>
      <c r="P112" s="618" t="e">
        <f>VLOOKUP(B112,#REF!,13,0)</f>
        <v>#REF!</v>
      </c>
      <c r="Q112" s="556" t="str">
        <f>IF(ISERROR(VLOOKUP(C112,'Base de Datos'!$D$7:$N$4330,10,0))=TRUE," ",(VLOOKUP(C112,'Base de Datos'!$D$7:$N$4330,10,0)))</f>
        <v xml:space="preserve"> </v>
      </c>
      <c r="R112" s="556" t="str">
        <f>IF(ISERROR(VLOOKUP(C112,'Base de Datos'!$D$7:$N$4330,11,0))=TRUE," ",(VLOOKUP(C112,'Base de Datos'!$D$7:$N$4330,11,0)))</f>
        <v xml:space="preserve"> </v>
      </c>
      <c r="S112" s="619" t="s">
        <v>2356</v>
      </c>
      <c r="T112" s="727"/>
      <c r="U112" s="784"/>
    </row>
    <row r="113" spans="2:21" s="620" customFormat="1" ht="24" outlineLevel="1" x14ac:dyDescent="0.25">
      <c r="B113" s="632">
        <v>221</v>
      </c>
      <c r="C113" s="632" t="str">
        <f t="shared" si="11"/>
        <v>2016221</v>
      </c>
      <c r="D113" s="538" t="str">
        <f>IF(ISERROR(VLOOKUP(C113,'Base de Datos'!$D$7:$F$4345,2,0))=TRUE,"",(VLOOKUP(C113,'Base de Datos'!$D$7:$F$4345,2,0)))</f>
        <v>160178-0-2016</v>
      </c>
      <c r="E113" s="619" t="s">
        <v>2329</v>
      </c>
      <c r="F113" s="585">
        <v>2605500</v>
      </c>
      <c r="G113" s="817">
        <v>42430</v>
      </c>
      <c r="H113" s="817"/>
      <c r="I113" s="838" t="str">
        <f ca="1">IF(H113=Hoja1!$J$2," ",(IF(MONTH(G113)=MONTH(TODAY()),IF(DAY(G113)&gt;DAY(TODAY()),"Quedan "&amp;ABS(DAY(G113)-DAY(TODAY()))&amp;" Días","Hace "&amp;ABS(DAY(G113)-DAY(TODAY()))&amp;" Días"),"")))</f>
        <v/>
      </c>
      <c r="J113" s="541">
        <f>IF(ISERROR(VLOOKUP(C113,'Base de Datos'!$D$7:$N$4345,6,0))=TRUE,"Sin Celebrar",(VLOOKUP(C113,'Base de Datos'!$D$7:$N$4345,6,0)))</f>
        <v>2605500</v>
      </c>
      <c r="K113" s="617"/>
      <c r="L113" s="541" t="str">
        <f t="shared" si="12"/>
        <v xml:space="preserve"> </v>
      </c>
      <c r="M113" s="541" t="str">
        <f t="shared" si="13"/>
        <v xml:space="preserve"> </v>
      </c>
      <c r="N113" s="724" t="str">
        <f>IF(ISERROR(VLOOKUP(C113,'Base de Datos'!$D$7:$K$1048576,7,0))=TRUE," ",(VLOOKUP(C113,'Base de Datos'!$D$7:$K$1048576,7,0)))</f>
        <v>SDH-SMINC-26-2016</v>
      </c>
      <c r="O113" s="556">
        <f>IF(ISERROR(VLOOKUP(C113,'Base de Datos'!$D$7:$N$4330,9,0))=TRUE," ",(VLOOKUP(C113,'Base de Datos'!$D$7:$N$4330,9,0)))</f>
        <v>42570</v>
      </c>
      <c r="P113" s="618" t="e">
        <f>VLOOKUP(B113,#REF!,13,0)</f>
        <v>#REF!</v>
      </c>
      <c r="Q113" s="556">
        <f>IF(ISERROR(VLOOKUP(C113,'Base de Datos'!$D$7:$N$4330,10,0))=TRUE," ",(VLOOKUP(C113,'Base de Datos'!$D$7:$N$4330,10,0)))</f>
        <v>42583</v>
      </c>
      <c r="R113" s="556">
        <f>IF(ISERROR(VLOOKUP(C113,'Base de Datos'!$D$7:$N$4330,11,0))=TRUE," ",(VLOOKUP(C113,'Base de Datos'!$D$7:$N$4330,11,0)))</f>
        <v>42767</v>
      </c>
      <c r="S113" s="619" t="s">
        <v>2356</v>
      </c>
      <c r="T113" s="727"/>
      <c r="U113" s="784"/>
    </row>
    <row r="114" spans="2:21" s="620" customFormat="1" ht="24" outlineLevel="1" x14ac:dyDescent="0.25">
      <c r="B114" s="711">
        <v>223</v>
      </c>
      <c r="C114" s="632" t="str">
        <f t="shared" si="11"/>
        <v>2016223</v>
      </c>
      <c r="D114" s="538" t="str">
        <f>IF(ISERROR(VLOOKUP(C114,'Base de Datos'!$D$7:$F$4345,2,0))=TRUE,"",(VLOOKUP(C114,'Base de Datos'!$D$7:$F$4345,2,0)))</f>
        <v>160122-0-2016</v>
      </c>
      <c r="E114" s="619" t="s">
        <v>2330</v>
      </c>
      <c r="F114" s="713">
        <v>23707000</v>
      </c>
      <c r="G114" s="820">
        <v>42464</v>
      </c>
      <c r="H114" s="817"/>
      <c r="I114" s="838" t="str">
        <f ca="1">IF(H114=Hoja1!$J$2," ",(IF(MONTH(G114)=MONTH(TODAY()),IF(DAY(G114)&gt;DAY(TODAY()),"Quedan "&amp;ABS(DAY(G114)-DAY(TODAY()))&amp;" Días","Hace "&amp;ABS(DAY(G114)-DAY(TODAY()))&amp;" Días"),"")))</f>
        <v/>
      </c>
      <c r="J114" s="541">
        <f>IF(ISERROR(VLOOKUP(C114,'Base de Datos'!$D$7:$N$4345,6,0))=TRUE,"Sin Celebrar",(VLOOKUP(C114,'Base de Datos'!$D$7:$N$4345,6,0)))</f>
        <v>23707000</v>
      </c>
      <c r="K114" s="714"/>
      <c r="L114" s="541" t="str">
        <f t="shared" si="12"/>
        <v xml:space="preserve"> </v>
      </c>
      <c r="M114" s="541" t="str">
        <f t="shared" si="13"/>
        <v xml:space="preserve"> </v>
      </c>
      <c r="N114" s="724" t="str">
        <f>IF(ISERROR(VLOOKUP(C114,'Base de Datos'!$D$7:$K$1048576,7,0))=TRUE," ",(VLOOKUP(C114,'Base de Datos'!$D$7:$K$1048576,7,0)))</f>
        <v>SDH-SMINC-09-2016</v>
      </c>
      <c r="O114" s="556">
        <f>IF(ISERROR(VLOOKUP(C114,'Base de Datos'!$D$7:$N$4330,9,0))=TRUE," ",(VLOOKUP(C114,'Base de Datos'!$D$7:$N$4330,9,0)))</f>
        <v>42523</v>
      </c>
      <c r="P114" s="618" t="e">
        <f>VLOOKUP(B114,#REF!,13,0)</f>
        <v>#REF!</v>
      </c>
      <c r="Q114" s="556">
        <f>IF(ISERROR(VLOOKUP(C114,'Base de Datos'!$D$7:$N$4330,10,0))=TRUE," ",(VLOOKUP(C114,'Base de Datos'!$D$7:$N$4330,10,0)))</f>
        <v>42556</v>
      </c>
      <c r="R114" s="556">
        <f>IF(ISERROR(VLOOKUP(C114,'Base de Datos'!$D$7:$N$4330,11,0))=TRUE," ",(VLOOKUP(C114,'Base de Datos'!$D$7:$N$4330,11,0)))</f>
        <v>42771</v>
      </c>
      <c r="S114" s="619" t="s">
        <v>2357</v>
      </c>
      <c r="T114" s="727"/>
      <c r="U114" s="784"/>
    </row>
    <row r="115" spans="2:21" s="620" customFormat="1" outlineLevel="1" x14ac:dyDescent="0.25">
      <c r="B115" s="711"/>
      <c r="C115" s="711"/>
      <c r="D115" s="712"/>
      <c r="E115" s="712" t="s">
        <v>1938</v>
      </c>
      <c r="F115" s="585"/>
      <c r="G115" s="820"/>
      <c r="H115" s="820"/>
      <c r="I115" s="560"/>
      <c r="J115" s="713"/>
      <c r="K115" s="714"/>
      <c r="L115" s="713"/>
      <c r="M115" s="713" t="str">
        <f t="shared" si="13"/>
        <v xml:space="preserve"> </v>
      </c>
      <c r="N115" s="814"/>
      <c r="O115" s="618" t="str">
        <f>IF(ISERROR(VLOOKUP(B115,'Base de Datos'!$C$7:$N$315,9,0))=TRUE," ",(VLOOKUP(B115,'Base de Datos'!$C$7:$N$315,9,0)))</f>
        <v xml:space="preserve"> </v>
      </c>
      <c r="P115" s="712"/>
      <c r="Q115" s="715" t="str">
        <f>IF(ISERROR(VLOOKUP(B115,'Base de Datos'!$C$7:$N$4330,10,0))=TRUE," ",(VLOOKUP(B115,'Base de Datos'!$C$7:$N$4330,10,0)))</f>
        <v xml:space="preserve"> </v>
      </c>
      <c r="R115" s="715" t="str">
        <f>IF(ISERROR(VLOOKUP(B115,'Base de Datos'!$C$7:$N$4330,11,0))=TRUE," ",(VLOOKUP(B115,'Base de Datos'!$C$7:$N$4330,11,0)))</f>
        <v xml:space="preserve"> </v>
      </c>
      <c r="S115" s="619"/>
      <c r="T115" s="727"/>
      <c r="U115" s="784"/>
    </row>
    <row r="116" spans="2:21" s="620" customFormat="1" outlineLevel="1" x14ac:dyDescent="0.25">
      <c r="B116" s="816"/>
      <c r="C116" s="816"/>
      <c r="D116" s="816"/>
      <c r="E116" s="816"/>
      <c r="F116" s="585"/>
      <c r="G116" s="817"/>
      <c r="H116" s="817"/>
      <c r="I116" s="539"/>
      <c r="J116" s="585"/>
      <c r="K116" s="617"/>
      <c r="L116" s="585"/>
      <c r="M116" s="585"/>
      <c r="N116" s="695"/>
      <c r="O116" s="618"/>
      <c r="P116" s="619"/>
      <c r="Q116" s="618"/>
      <c r="R116" s="618"/>
      <c r="S116" s="619"/>
      <c r="T116" s="727"/>
      <c r="U116" s="784"/>
    </row>
    <row r="117" spans="2:21" x14ac:dyDescent="0.25">
      <c r="B117" s="1150" t="s">
        <v>1659</v>
      </c>
      <c r="C117" s="1150"/>
      <c r="D117" s="1150"/>
      <c r="E117" s="1150"/>
      <c r="F117" s="805"/>
      <c r="G117" s="833">
        <f>+G118+G123+G128</f>
        <v>3</v>
      </c>
      <c r="H117" s="833">
        <f>+H118+H123+H128</f>
        <v>0</v>
      </c>
      <c r="I117" s="798"/>
      <c r="J117" s="797">
        <f>+J118+J123+J128</f>
        <v>0</v>
      </c>
      <c r="K117" s="799" t="e">
        <f>J117/F117</f>
        <v>#DIV/0!</v>
      </c>
      <c r="L117" s="797">
        <f>+L118+L123+L128</f>
        <v>376131000</v>
      </c>
      <c r="M117" s="797">
        <f>+M118+M123+M128</f>
        <v>-376131000</v>
      </c>
      <c r="N117" s="801"/>
      <c r="O117" s="802" t="str">
        <f>IF(ISERROR(VLOOKUP(B117,'Base de Datos'!$C$7:$N$315,8,0))=TRUE," ",(VLOOKUP(B117,'Base de Datos'!$C$7:$N$315,8,0)))</f>
        <v xml:space="preserve"> </v>
      </c>
      <c r="P117" s="803"/>
      <c r="Q117" s="802" t="str">
        <f>IF(ISERROR(VLOOKUP(B117,'Base de Datos'!$C$7:$N$315,9,0))=TRUE," ",(VLOOKUP(B117,'Base de Datos'!$C$7:$N$315,9,0)))</f>
        <v xml:space="preserve"> </v>
      </c>
      <c r="R117" s="802" t="str">
        <f>IF(ISERROR(VLOOKUP(B117,'Base de Datos'!$C$7:$N$315,10,0))=TRUE," ",(VLOOKUP(B117,'Base de Datos'!$C$7:$N$315,10,0)))</f>
        <v xml:space="preserve"> </v>
      </c>
      <c r="S117" s="795"/>
      <c r="T117" s="727"/>
      <c r="U117" s="639"/>
    </row>
    <row r="118" spans="2:21" x14ac:dyDescent="0.25">
      <c r="B118" s="1151" t="s">
        <v>1660</v>
      </c>
      <c r="C118" s="1151"/>
      <c r="D118" s="1151"/>
      <c r="E118" s="1151"/>
      <c r="F118" s="790"/>
      <c r="G118" s="796">
        <f>COUNT(G120:G121)</f>
        <v>2</v>
      </c>
      <c r="H118" s="796">
        <f>COUNTIF(H120:H121,Hoja1!$J$2)</f>
        <v>0</v>
      </c>
      <c r="I118" s="791"/>
      <c r="J118" s="790">
        <f>SUM(J120:J121)</f>
        <v>0</v>
      </c>
      <c r="K118" s="792" t="e">
        <f>J118/F118</f>
        <v>#DIV/0!</v>
      </c>
      <c r="L118" s="790">
        <f>SUM(L120:L121)</f>
        <v>184054000</v>
      </c>
      <c r="M118" s="790">
        <f>+F118-J118-L118</f>
        <v>-184054000</v>
      </c>
      <c r="N118" s="793"/>
      <c r="O118" s="794" t="str">
        <f>IF(ISERROR(VLOOKUP(B118,'Base de Datos'!$C$7:$N$315,8,0))=TRUE," ",(VLOOKUP(B118,'Base de Datos'!$C$7:$N$315,8,0)))</f>
        <v xml:space="preserve"> </v>
      </c>
      <c r="P118" s="795"/>
      <c r="Q118" s="794" t="str">
        <f>IF(ISERROR(VLOOKUP(B118,'Base de Datos'!$C$7:$N$315,9,0))=TRUE," ",(VLOOKUP(B118,'Base de Datos'!$C$7:$N$315,9,0)))</f>
        <v xml:space="preserve"> </v>
      </c>
      <c r="R118" s="794" t="str">
        <f>IF(ISERROR(VLOOKUP(B118,'Base de Datos'!$C$7:$N$315,10,0))=TRUE," ",(VLOOKUP(B118,'Base de Datos'!$C$7:$N$315,10,0)))</f>
        <v xml:space="preserve"> </v>
      </c>
      <c r="S118" s="795"/>
      <c r="T118" s="727"/>
      <c r="U118" s="639"/>
    </row>
    <row r="119" spans="2:21" s="620" customFormat="1" ht="24" hidden="1" outlineLevel="1" x14ac:dyDescent="0.25">
      <c r="B119" s="632" t="s">
        <v>2348</v>
      </c>
      <c r="C119" s="632"/>
      <c r="D119" s="632" t="s">
        <v>912</v>
      </c>
      <c r="E119" s="632" t="s">
        <v>1825</v>
      </c>
      <c r="F119" s="781" t="s">
        <v>1849</v>
      </c>
      <c r="G119" s="817" t="s">
        <v>2350</v>
      </c>
      <c r="H119" s="817" t="s">
        <v>2354</v>
      </c>
      <c r="I119" s="539" t="s">
        <v>2355</v>
      </c>
      <c r="J119" s="632" t="s">
        <v>1848</v>
      </c>
      <c r="K119" s="617"/>
      <c r="L119" s="632" t="s">
        <v>1942</v>
      </c>
      <c r="M119" s="632" t="s">
        <v>1943</v>
      </c>
      <c r="N119" s="782" t="s">
        <v>1123</v>
      </c>
      <c r="O119" s="783" t="s">
        <v>1850</v>
      </c>
      <c r="P119" s="632" t="s">
        <v>1851</v>
      </c>
      <c r="Q119" s="632" t="s">
        <v>1852</v>
      </c>
      <c r="R119" s="632" t="s">
        <v>375</v>
      </c>
      <c r="S119" s="632" t="s">
        <v>1853</v>
      </c>
      <c r="T119" s="727"/>
      <c r="U119" s="784"/>
    </row>
    <row r="120" spans="2:21" s="620" customFormat="1" ht="36" hidden="1" outlineLevel="1" x14ac:dyDescent="0.25">
      <c r="B120" s="632">
        <v>225</v>
      </c>
      <c r="C120" s="632" t="str">
        <f>$W$6&amp;B120</f>
        <v>2016225</v>
      </c>
      <c r="D120" s="538" t="str">
        <f>IF(ISERROR(VLOOKUP(C120,'Base de Datos'!$D$7:$F$4345,2,0))=TRUE,"",(VLOOKUP(C120,'Base de Datos'!$D$7:$F$4345,2,0)))</f>
        <v/>
      </c>
      <c r="E120" s="619" t="s">
        <v>2333</v>
      </c>
      <c r="F120" s="585">
        <v>179725000</v>
      </c>
      <c r="G120" s="817">
        <v>42461</v>
      </c>
      <c r="H120" s="817"/>
      <c r="I120" s="838" t="str">
        <f ca="1">IF(H120=Hoja1!$J$2," ",(IF(MONTH(G120)=MONTH(TODAY()),IF(DAY(G120)&gt;DAY(TODAY()),"Quedan "&amp;ABS(DAY(G120)-DAY(TODAY()))&amp;" Días","Hace "&amp;ABS(DAY(G120)-DAY(TODAY()))&amp;" Días"),"")))</f>
        <v/>
      </c>
      <c r="J120" s="541" t="str">
        <f>IF(ISERROR(VLOOKUP(C120,'Base de Datos'!$D$7:$N$4345,6,0))=TRUE,"Sin Celebrar",(VLOOKUP(C120,'Base de Datos'!$D$7:$N$4345,6,0)))</f>
        <v>Sin Celebrar</v>
      </c>
      <c r="K120" s="617"/>
      <c r="L120" s="541">
        <f>IF(J120=$W$7,F120, " ")</f>
        <v>179725000</v>
      </c>
      <c r="M120" s="541" t="str">
        <f>IF(J120&lt;F120,(F120-J120)," ")</f>
        <v xml:space="preserve"> </v>
      </c>
      <c r="N120" s="724" t="str">
        <f>IF(ISERROR(VLOOKUP(C120,'Base de Datos'!$D$7:$K$1048576,7,0))=TRUE," ",(VLOOKUP(C120,'Base de Datos'!$D$7:$K$1048576,7,0)))</f>
        <v xml:space="preserve"> </v>
      </c>
      <c r="O120" s="724" t="str">
        <f>IF(ISERROR(VLOOKUP(C120,'Base de Datos'!$D$7:$K$1048576,9,0))=TRUE," ",(VLOOKUP(C120,'Base de Datos'!$D$7:$K$1048576,9,0)))</f>
        <v xml:space="preserve"> </v>
      </c>
      <c r="P120" s="618" t="e">
        <f>VLOOKUP(B120,#REF!,13,0)</f>
        <v>#REF!</v>
      </c>
      <c r="Q120" s="556" t="str">
        <f>IF(ISERROR(VLOOKUP(C120,'Base de Datos'!$D$7:$N$4330,10,0))=TRUE," ",(VLOOKUP(C120,'Base de Datos'!$D$7:$N$4330,10,0)))</f>
        <v xml:space="preserve"> </v>
      </c>
      <c r="R120" s="556" t="str">
        <f>IF(ISERROR(VLOOKUP(C120,'Base de Datos'!$D$7:$N$4330,11,0))=TRUE," ",(VLOOKUP(C120,'Base de Datos'!$D$7:$N$4330,11,0)))</f>
        <v xml:space="preserve"> </v>
      </c>
      <c r="S120" s="619"/>
      <c r="T120" s="727"/>
      <c r="U120" s="784"/>
    </row>
    <row r="121" spans="2:21" s="620" customFormat="1" ht="24" hidden="1" outlineLevel="1" x14ac:dyDescent="0.25">
      <c r="B121" s="711">
        <v>226</v>
      </c>
      <c r="C121" s="632" t="str">
        <f>$W$6&amp;B121</f>
        <v>2016226</v>
      </c>
      <c r="D121" s="538" t="str">
        <f>IF(ISERROR(VLOOKUP(C121,'Base de Datos'!$D$7:$F$4345,2,0))=TRUE,"",(VLOOKUP(C121,'Base de Datos'!$D$7:$F$4345,2,0)))</f>
        <v/>
      </c>
      <c r="E121" s="712" t="s">
        <v>2331</v>
      </c>
      <c r="F121" s="713">
        <v>4329000</v>
      </c>
      <c r="G121" s="820">
        <v>42552</v>
      </c>
      <c r="H121" s="817"/>
      <c r="I121" s="838" t="str">
        <f ca="1">IF(H121=Hoja1!$J$2," ",(IF(MONTH(G121)=MONTH(TODAY()),IF(DAY(G121)&gt;DAY(TODAY()),"Quedan "&amp;ABS(DAY(G121)-DAY(TODAY()))&amp;" Días","Hace "&amp;ABS(DAY(G121)-DAY(TODAY()))&amp;" Días"),"")))</f>
        <v/>
      </c>
      <c r="J121" s="541" t="str">
        <f>IF(ISERROR(VLOOKUP(C121,'Base de Datos'!$D$7:$N$4345,6,0))=TRUE,"Sin Celebrar",(VLOOKUP(C121,'Base de Datos'!$D$7:$N$4345,6,0)))</f>
        <v>Sin Celebrar</v>
      </c>
      <c r="K121" s="714"/>
      <c r="L121" s="541">
        <f>IF(J121=$W$7,F121, " ")</f>
        <v>4329000</v>
      </c>
      <c r="M121" s="541" t="str">
        <f>IF(J121&lt;F121,(F121-J121)," ")</f>
        <v xml:space="preserve"> </v>
      </c>
      <c r="N121" s="724" t="str">
        <f>IF(ISERROR(VLOOKUP(C121,'Base de Datos'!$D$7:$K$1048576,7,0))=TRUE," ",(VLOOKUP(C121,'Base de Datos'!$D$7:$K$1048576,7,0)))</f>
        <v xml:space="preserve"> </v>
      </c>
      <c r="O121" s="724" t="str">
        <f>IF(ISERROR(VLOOKUP(C121,'Base de Datos'!$D$7:$K$1048576,9,0))=TRUE," ",(VLOOKUP(C121,'Base de Datos'!$D$7:$K$1048576,9,0)))</f>
        <v xml:space="preserve"> </v>
      </c>
      <c r="P121" s="618" t="e">
        <f>VLOOKUP(B121,#REF!,13,0)</f>
        <v>#REF!</v>
      </c>
      <c r="Q121" s="556" t="str">
        <f>IF(ISERROR(VLOOKUP(C121,'Base de Datos'!$D$7:$N$4330,10,0))=TRUE," ",(VLOOKUP(C121,'Base de Datos'!$D$7:$N$4330,10,0)))</f>
        <v xml:space="preserve"> </v>
      </c>
      <c r="R121" s="556" t="str">
        <f>IF(ISERROR(VLOOKUP(C121,'Base de Datos'!$D$7:$N$4330,11,0))=TRUE," ",(VLOOKUP(C121,'Base de Datos'!$D$7:$N$4330,11,0)))</f>
        <v xml:space="preserve"> </v>
      </c>
      <c r="S121" s="619"/>
      <c r="T121" s="727"/>
      <c r="U121" s="784"/>
    </row>
    <row r="122" spans="2:21" s="620" customFormat="1" hidden="1" outlineLevel="1" x14ac:dyDescent="0.25">
      <c r="B122" s="619"/>
      <c r="C122" s="619"/>
      <c r="D122" s="619"/>
      <c r="E122" s="619"/>
      <c r="F122" s="585"/>
      <c r="G122" s="817"/>
      <c r="H122" s="817"/>
      <c r="I122" s="539"/>
      <c r="J122" s="585"/>
      <c r="K122" s="617"/>
      <c r="L122" s="585"/>
      <c r="M122" s="585"/>
      <c r="N122" s="695"/>
      <c r="O122" s="618"/>
      <c r="P122" s="619"/>
      <c r="Q122" s="618"/>
      <c r="R122" s="618"/>
      <c r="S122" s="619"/>
      <c r="T122" s="727"/>
      <c r="U122" s="784"/>
    </row>
    <row r="123" spans="2:21" collapsed="1" x14ac:dyDescent="0.25">
      <c r="B123" s="1152" t="s">
        <v>1661</v>
      </c>
      <c r="C123" s="1152"/>
      <c r="D123" s="1152"/>
      <c r="E123" s="1152"/>
      <c r="F123" s="797"/>
      <c r="G123" s="796">
        <f>COUNT(G125:G126)</f>
        <v>1</v>
      </c>
      <c r="H123" s="796">
        <f>COUNTIF(H125:H126,Hoja1!$J$2)</f>
        <v>0</v>
      </c>
      <c r="I123" s="798"/>
      <c r="J123" s="797">
        <f>SUM(J125:J125)</f>
        <v>0</v>
      </c>
      <c r="K123" s="799" t="e">
        <f>J123/F123</f>
        <v>#DIV/0!</v>
      </c>
      <c r="L123" s="797">
        <f>SUM(L125:L125)</f>
        <v>192077000</v>
      </c>
      <c r="M123" s="797">
        <f>+F123-J123-L123</f>
        <v>-192077000</v>
      </c>
      <c r="N123" s="801"/>
      <c r="O123" s="802" t="str">
        <f>IF(ISERROR(VLOOKUP(B123,'Base de Datos'!$C$7:$N$315,8,0))=TRUE," ",(VLOOKUP(B123,'Base de Datos'!$C$7:$N$315,8,0)))</f>
        <v xml:space="preserve"> </v>
      </c>
      <c r="P123" s="803"/>
      <c r="Q123" s="802" t="str">
        <f>IF(ISERROR(VLOOKUP(B123,'Base de Datos'!$C$7:$N$315,9,0))=TRUE," ",(VLOOKUP(B123,'Base de Datos'!$C$7:$N$315,9,0)))</f>
        <v xml:space="preserve"> </v>
      </c>
      <c r="R123" s="802" t="str">
        <f>IF(ISERROR(VLOOKUP(B123,'Base de Datos'!$C$7:$N$315,10,0))=TRUE," ",(VLOOKUP(B123,'Base de Datos'!$C$7:$N$315,10,0)))</f>
        <v xml:space="preserve"> </v>
      </c>
      <c r="S123" s="795"/>
      <c r="T123" s="727"/>
      <c r="U123" s="639"/>
    </row>
    <row r="124" spans="2:21" s="620" customFormat="1" ht="24" hidden="1" outlineLevel="1" x14ac:dyDescent="0.25">
      <c r="B124" s="632" t="s">
        <v>2348</v>
      </c>
      <c r="C124" s="632"/>
      <c r="D124" s="632" t="s">
        <v>912</v>
      </c>
      <c r="E124" s="632" t="s">
        <v>1825</v>
      </c>
      <c r="F124" s="781" t="s">
        <v>1849</v>
      </c>
      <c r="G124" s="817" t="s">
        <v>2350</v>
      </c>
      <c r="H124" s="817" t="s">
        <v>2354</v>
      </c>
      <c r="I124" s="539" t="s">
        <v>2355</v>
      </c>
      <c r="J124" s="632" t="s">
        <v>1848</v>
      </c>
      <c r="K124" s="617"/>
      <c r="L124" s="632" t="s">
        <v>1942</v>
      </c>
      <c r="M124" s="632" t="s">
        <v>1943</v>
      </c>
      <c r="N124" s="782" t="s">
        <v>1123</v>
      </c>
      <c r="O124" s="783" t="s">
        <v>1850</v>
      </c>
      <c r="P124" s="632" t="s">
        <v>1851</v>
      </c>
      <c r="Q124" s="632" t="s">
        <v>1852</v>
      </c>
      <c r="R124" s="632" t="s">
        <v>375</v>
      </c>
      <c r="S124" s="632" t="s">
        <v>1853</v>
      </c>
      <c r="T124" s="727"/>
      <c r="U124" s="784"/>
    </row>
    <row r="125" spans="2:21" s="620" customFormat="1" ht="24" hidden="1" outlineLevel="1" x14ac:dyDescent="0.25">
      <c r="B125" s="632">
        <v>225</v>
      </c>
      <c r="C125" s="632" t="str">
        <f>$W$6&amp;B125</f>
        <v>2016225</v>
      </c>
      <c r="D125" s="538" t="str">
        <f>IF(ISERROR(VLOOKUP(C125,'Base de Datos'!$D$7:$F$4345,2,0))=TRUE,"",(VLOOKUP(C125,'Base de Datos'!$D$7:$F$4345,2,0)))</f>
        <v/>
      </c>
      <c r="E125" s="619" t="s">
        <v>2332</v>
      </c>
      <c r="F125" s="585">
        <v>192077000</v>
      </c>
      <c r="G125" s="817">
        <v>42461</v>
      </c>
      <c r="H125" s="817"/>
      <c r="I125" s="838" t="str">
        <f ca="1">IF(H125=Hoja1!$J$2," ",(IF(MONTH(G125)=MONTH(TODAY()),IF(DAY(G125)&gt;DAY(TODAY()),"Quedan "&amp;ABS(DAY(G125)-DAY(TODAY()))&amp;" Días","Hace "&amp;ABS(DAY(G125)-DAY(TODAY()))&amp;" Días"),"")))</f>
        <v/>
      </c>
      <c r="J125" s="541" t="str">
        <f>IF(ISERROR(VLOOKUP(C125,'Base de Datos'!$D$7:$N$4345,6,0))=TRUE,"Sin Celebrar",(VLOOKUP(C125,'Base de Datos'!$D$7:$N$4345,6,0)))</f>
        <v>Sin Celebrar</v>
      </c>
      <c r="K125" s="617"/>
      <c r="L125" s="541">
        <f>IF(J125=$W$7,F125, " ")</f>
        <v>192077000</v>
      </c>
      <c r="M125" s="541" t="str">
        <f>IF(J125&lt;F125,(F125-J125)," ")</f>
        <v xml:space="preserve"> </v>
      </c>
      <c r="N125" s="724" t="str">
        <f>IF(ISERROR(VLOOKUP(C125,'Base de Datos'!$D$7:$K$1048576,7,0))=TRUE," ",(VLOOKUP(C125,'Base de Datos'!$D$7:$K$1048576,7,0)))</f>
        <v xml:space="preserve"> </v>
      </c>
      <c r="O125" s="724" t="str">
        <f>IF(ISERROR(VLOOKUP(C125,'Base de Datos'!$D$7:$K$1048576,9,0))=TRUE," ",(VLOOKUP(C125,'Base de Datos'!$D$7:$K$1048576,9,0)))</f>
        <v xml:space="preserve"> </v>
      </c>
      <c r="P125" s="618" t="e">
        <f>VLOOKUP(B125,#REF!,13,0)</f>
        <v>#REF!</v>
      </c>
      <c r="Q125" s="556" t="str">
        <f>IF(ISERROR(VLOOKUP(C125,'Base de Datos'!$D$7:$N$4330,10,0))=TRUE," ",(VLOOKUP(C125,'Base de Datos'!$D$7:$N$4330,10,0)))</f>
        <v xml:space="preserve"> </v>
      </c>
      <c r="R125" s="556" t="str">
        <f>IF(ISERROR(VLOOKUP(C125,'Base de Datos'!$D$7:$N$4330,11,0))=TRUE," ",(VLOOKUP(C125,'Base de Datos'!$D$7:$N$4330,11,0)))</f>
        <v xml:space="preserve"> </v>
      </c>
      <c r="S125" s="619"/>
      <c r="T125" s="727"/>
      <c r="U125" s="784"/>
    </row>
    <row r="126" spans="2:21" s="620" customFormat="1" hidden="1" outlineLevel="1" x14ac:dyDescent="0.25">
      <c r="B126" s="632"/>
      <c r="C126" s="632"/>
      <c r="D126" s="619"/>
      <c r="E126" s="619" t="s">
        <v>1938</v>
      </c>
      <c r="F126" s="585"/>
      <c r="G126" s="817"/>
      <c r="H126" s="817"/>
      <c r="I126" s="539"/>
      <c r="J126" s="713"/>
      <c r="K126" s="617"/>
      <c r="L126" s="713"/>
      <c r="M126" s="713" t="str">
        <f>IF(J126&lt;F126,(F126-J126)," ")</f>
        <v xml:space="preserve"> </v>
      </c>
      <c r="N126" s="785"/>
      <c r="O126" s="618"/>
      <c r="P126" s="619"/>
      <c r="Q126" s="715"/>
      <c r="R126" s="715"/>
      <c r="S126" s="619"/>
      <c r="T126" s="727"/>
      <c r="U126" s="784"/>
    </row>
    <row r="127" spans="2:21" s="620" customFormat="1" hidden="1" outlineLevel="1" x14ac:dyDescent="0.25">
      <c r="B127" s="816"/>
      <c r="C127" s="816"/>
      <c r="D127" s="816"/>
      <c r="E127" s="816"/>
      <c r="F127" s="585"/>
      <c r="G127" s="817"/>
      <c r="H127" s="817"/>
      <c r="I127" s="539"/>
      <c r="J127" s="585"/>
      <c r="K127" s="617"/>
      <c r="L127" s="585"/>
      <c r="M127" s="585"/>
      <c r="N127" s="695"/>
      <c r="O127" s="618"/>
      <c r="P127" s="619"/>
      <c r="Q127" s="618"/>
      <c r="R127" s="618"/>
      <c r="S127" s="619"/>
      <c r="T127" s="727"/>
      <c r="U127" s="784"/>
    </row>
    <row r="128" spans="2:21" collapsed="1" x14ac:dyDescent="0.25">
      <c r="B128" s="1152" t="s">
        <v>1662</v>
      </c>
      <c r="C128" s="1152"/>
      <c r="D128" s="1152"/>
      <c r="E128" s="1152"/>
      <c r="F128" s="797"/>
      <c r="G128" s="832">
        <f>COUNT(G130)</f>
        <v>0</v>
      </c>
      <c r="H128" s="796">
        <f>COUNTIF(H130:H131,Hoja1!$J$2)</f>
        <v>0</v>
      </c>
      <c r="I128" s="798"/>
      <c r="J128" s="797">
        <f>+J130</f>
        <v>0</v>
      </c>
      <c r="K128" s="799" t="e">
        <f>J128/F128</f>
        <v>#DIV/0!</v>
      </c>
      <c r="L128" s="797">
        <f>+L130</f>
        <v>0</v>
      </c>
      <c r="M128" s="797">
        <f>+F128-J128-L128</f>
        <v>0</v>
      </c>
      <c r="N128" s="801"/>
      <c r="O128" s="802" t="str">
        <f>IF(ISERROR(VLOOKUP(B128,'Base de Datos'!$C$7:$N$315,8,0))=TRUE," ",(VLOOKUP(B128,'Base de Datos'!$C$7:$N$315,8,0)))</f>
        <v xml:space="preserve"> </v>
      </c>
      <c r="P128" s="803"/>
      <c r="Q128" s="802" t="str">
        <f>IF(ISERROR(VLOOKUP(B128,'Base de Datos'!$C$7:$N$315,9,0))=TRUE," ",(VLOOKUP(B128,'Base de Datos'!$C$7:$N$315,9,0)))</f>
        <v xml:space="preserve"> </v>
      </c>
      <c r="R128" s="802" t="str">
        <f>IF(ISERROR(VLOOKUP(B128,'Base de Datos'!$C$7:$N$315,10,0))=TRUE," ",(VLOOKUP(B128,'Base de Datos'!$C$7:$N$315,10,0)))</f>
        <v xml:space="preserve"> </v>
      </c>
      <c r="S128" s="795"/>
      <c r="T128" s="727"/>
      <c r="U128" s="639"/>
    </row>
    <row r="129" spans="2:21" s="620" customFormat="1" ht="24" hidden="1" outlineLevel="1" x14ac:dyDescent="0.25">
      <c r="B129" s="632" t="s">
        <v>2348</v>
      </c>
      <c r="C129" s="632"/>
      <c r="D129" s="632" t="s">
        <v>912</v>
      </c>
      <c r="E129" s="632" t="s">
        <v>1825</v>
      </c>
      <c r="F129" s="781" t="s">
        <v>1849</v>
      </c>
      <c r="G129" s="817" t="s">
        <v>2350</v>
      </c>
      <c r="H129" s="817" t="s">
        <v>2354</v>
      </c>
      <c r="I129" s="539" t="s">
        <v>2355</v>
      </c>
      <c r="J129" s="632" t="s">
        <v>1848</v>
      </c>
      <c r="K129" s="617"/>
      <c r="L129" s="632" t="s">
        <v>1942</v>
      </c>
      <c r="M129" s="632" t="s">
        <v>1943</v>
      </c>
      <c r="N129" s="782" t="s">
        <v>1123</v>
      </c>
      <c r="O129" s="783" t="s">
        <v>1850</v>
      </c>
      <c r="P129" s="632" t="s">
        <v>1851</v>
      </c>
      <c r="Q129" s="632" t="s">
        <v>1852</v>
      </c>
      <c r="R129" s="632" t="s">
        <v>375</v>
      </c>
      <c r="S129" s="632" t="s">
        <v>1853</v>
      </c>
      <c r="T129" s="727"/>
      <c r="U129" s="784"/>
    </row>
    <row r="130" spans="2:21" s="620" customFormat="1" hidden="1" outlineLevel="1" x14ac:dyDescent="0.25">
      <c r="B130" s="632"/>
      <c r="C130" s="632"/>
      <c r="D130" s="619"/>
      <c r="E130" s="779"/>
      <c r="F130" s="539"/>
      <c r="G130" s="819"/>
      <c r="H130" s="819"/>
      <c r="I130" s="838" t="str">
        <f ca="1">IF(H130=Hoja1!$J$2," ",(IF(MONTH(G130)=MONTH(TODAY()),IF(DAY(G130)&gt;DAY(TODAY()),"Quedan "&amp;ABS(DAY(G130)-DAY(TODAY()))&amp;" Días","Hace "&amp;ABS(DAY(G130)-DAY(TODAY()))&amp;" Días"),"")))</f>
        <v>Hace 18 Días</v>
      </c>
      <c r="J130" s="585"/>
      <c r="K130" s="648"/>
      <c r="L130" s="585"/>
      <c r="M130" s="585"/>
      <c r="N130" s="693"/>
      <c r="O130" s="649"/>
      <c r="P130" s="650"/>
      <c r="Q130" s="649"/>
      <c r="R130" s="649"/>
      <c r="S130" s="619"/>
      <c r="T130" s="727"/>
      <c r="U130" s="784"/>
    </row>
    <row r="131" spans="2:21" s="620" customFormat="1" hidden="1" outlineLevel="1" x14ac:dyDescent="0.25">
      <c r="B131" s="632"/>
      <c r="C131" s="632"/>
      <c r="D131" s="619"/>
      <c r="E131" s="619"/>
      <c r="F131" s="539"/>
      <c r="G131" s="819"/>
      <c r="H131" s="819"/>
      <c r="I131" s="585"/>
      <c r="J131" s="647"/>
      <c r="K131" s="648"/>
      <c r="L131" s="647"/>
      <c r="M131" s="647"/>
      <c r="N131" s="693"/>
      <c r="O131" s="649"/>
      <c r="P131" s="650"/>
      <c r="Q131" s="649"/>
      <c r="R131" s="649"/>
      <c r="S131" s="619"/>
      <c r="T131" s="727"/>
      <c r="U131" s="784"/>
    </row>
    <row r="132" spans="2:21" collapsed="1" x14ac:dyDescent="0.25">
      <c r="B132" s="1149" t="s">
        <v>1663</v>
      </c>
      <c r="C132" s="1149"/>
      <c r="D132" s="1149"/>
      <c r="E132" s="1149"/>
      <c r="F132" s="806"/>
      <c r="G132" s="829">
        <f>+G133+G137+G141+G145</f>
        <v>0</v>
      </c>
      <c r="H132" s="829">
        <f>+H133+H137+H141+H145</f>
        <v>0</v>
      </c>
      <c r="I132" s="791"/>
      <c r="J132" s="790">
        <f>+J133+J137+J141+J145</f>
        <v>0</v>
      </c>
      <c r="K132" s="799" t="e">
        <f>J132/F132</f>
        <v>#DIV/0!</v>
      </c>
      <c r="L132" s="790">
        <f>+L133+L137+L141+L145</f>
        <v>0</v>
      </c>
      <c r="M132" s="790">
        <f>+M133+M137+M141+M145</f>
        <v>0</v>
      </c>
      <c r="N132" s="793"/>
      <c r="O132" s="794" t="str">
        <f>IF(ISERROR(VLOOKUP(B132,'Base de Datos'!$C$7:$N$315,8,0))=TRUE," ",(VLOOKUP(B132,'Base de Datos'!$C$7:$N$315,8,0)))</f>
        <v xml:space="preserve"> </v>
      </c>
      <c r="P132" s="795"/>
      <c r="Q132" s="794" t="str">
        <f>IF(ISERROR(VLOOKUP(B132,'Base de Datos'!$C$7:$N$315,9,0))=TRUE," ",(VLOOKUP(B132,'Base de Datos'!$C$7:$N$315,9,0)))</f>
        <v xml:space="preserve"> </v>
      </c>
      <c r="R132" s="794" t="str">
        <f>IF(ISERROR(VLOOKUP(B132,'Base de Datos'!$C$7:$N$315,10,0))=TRUE," ",(VLOOKUP(B132,'Base de Datos'!$C$7:$N$315,10,0)))</f>
        <v xml:space="preserve"> </v>
      </c>
      <c r="S132" s="795"/>
      <c r="T132" s="727"/>
      <c r="U132" s="639"/>
    </row>
    <row r="133" spans="2:21" x14ac:dyDescent="0.25">
      <c r="B133" s="1151" t="s">
        <v>1664</v>
      </c>
      <c r="C133" s="1151"/>
      <c r="D133" s="1151"/>
      <c r="E133" s="1151"/>
      <c r="F133" s="790"/>
      <c r="G133" s="796">
        <f>COUNT(G135)</f>
        <v>0</v>
      </c>
      <c r="H133" s="796">
        <f>COUNTIF(H135:H136,Hoja1!$J$2)</f>
        <v>0</v>
      </c>
      <c r="I133" s="791"/>
      <c r="J133" s="790">
        <f>+J135</f>
        <v>0</v>
      </c>
      <c r="K133" s="799" t="e">
        <f>J133/F133</f>
        <v>#DIV/0!</v>
      </c>
      <c r="L133" s="790">
        <f>+F133-J133</f>
        <v>0</v>
      </c>
      <c r="M133" s="790">
        <f>+M135</f>
        <v>0</v>
      </c>
      <c r="N133" s="793"/>
      <c r="O133" s="794" t="str">
        <f>IF(ISERROR(VLOOKUP(B133,'Base de Datos'!$C$7:$N$315,8,0))=TRUE," ",(VLOOKUP(B133,'Base de Datos'!$C$7:$N$315,8,0)))</f>
        <v xml:space="preserve"> </v>
      </c>
      <c r="P133" s="795"/>
      <c r="Q133" s="794" t="str">
        <f>IF(ISERROR(VLOOKUP(B133,'Base de Datos'!$C$7:$N$315,9,0))=TRUE," ",(VLOOKUP(B133,'Base de Datos'!$C$7:$N$315,9,0)))</f>
        <v xml:space="preserve"> </v>
      </c>
      <c r="R133" s="794" t="str">
        <f>IF(ISERROR(VLOOKUP(B133,'Base de Datos'!$C$7:$N$315,10,0))=TRUE," ",(VLOOKUP(B133,'Base de Datos'!$C$7:$N$315,10,0)))</f>
        <v xml:space="preserve"> </v>
      </c>
      <c r="S133" s="795"/>
      <c r="T133" s="727"/>
      <c r="U133" s="639"/>
    </row>
    <row r="134" spans="2:21" s="620" customFormat="1" ht="24" hidden="1" outlineLevel="1" x14ac:dyDescent="0.25">
      <c r="B134" s="632" t="s">
        <v>2348</v>
      </c>
      <c r="C134" s="632"/>
      <c r="D134" s="632" t="s">
        <v>912</v>
      </c>
      <c r="E134" s="632" t="s">
        <v>1825</v>
      </c>
      <c r="F134" s="781" t="s">
        <v>1849</v>
      </c>
      <c r="G134" s="817" t="s">
        <v>2350</v>
      </c>
      <c r="H134" s="817" t="s">
        <v>2354</v>
      </c>
      <c r="I134" s="539" t="s">
        <v>2355</v>
      </c>
      <c r="J134" s="632" t="s">
        <v>1848</v>
      </c>
      <c r="K134" s="617"/>
      <c r="L134" s="632" t="s">
        <v>1942</v>
      </c>
      <c r="M134" s="632" t="s">
        <v>1943</v>
      </c>
      <c r="N134" s="782" t="s">
        <v>1123</v>
      </c>
      <c r="O134" s="783" t="s">
        <v>1850</v>
      </c>
      <c r="P134" s="632" t="s">
        <v>1851</v>
      </c>
      <c r="Q134" s="632" t="s">
        <v>1852</v>
      </c>
      <c r="R134" s="632" t="s">
        <v>375</v>
      </c>
      <c r="S134" s="632" t="s">
        <v>1853</v>
      </c>
      <c r="T134" s="727"/>
      <c r="U134" s="784"/>
    </row>
    <row r="135" spans="2:21" s="620" customFormat="1" hidden="1" outlineLevel="1" x14ac:dyDescent="0.25">
      <c r="B135" s="632"/>
      <c r="C135" s="632"/>
      <c r="D135" s="619"/>
      <c r="E135" s="779"/>
      <c r="F135" s="539"/>
      <c r="G135" s="819"/>
      <c r="H135" s="819"/>
      <c r="I135" s="838" t="str">
        <f ca="1">IF(H135=Hoja1!$J$2," ",(IF(MONTH(G135)=MONTH(TODAY()),IF(DAY(G135)&gt;DAY(TODAY()),"Quedan "&amp;ABS(DAY(G135)-DAY(TODAY()))&amp;" Días","Hace "&amp;ABS(DAY(G135)-DAY(TODAY()))&amp;" Días"),"")))</f>
        <v>Hace 18 Días</v>
      </c>
      <c r="J135" s="585"/>
      <c r="K135" s="585"/>
      <c r="L135" s="585"/>
      <c r="M135" s="585"/>
      <c r="N135" s="695"/>
      <c r="O135" s="618"/>
      <c r="P135" s="619"/>
      <c r="Q135" s="618"/>
      <c r="R135" s="618"/>
      <c r="S135" s="619"/>
      <c r="T135" s="727"/>
      <c r="U135" s="784"/>
    </row>
    <row r="136" spans="2:21" s="620" customFormat="1" hidden="1" outlineLevel="1" x14ac:dyDescent="0.25">
      <c r="B136" s="779"/>
      <c r="C136" s="780"/>
      <c r="D136" s="779"/>
      <c r="E136" s="779"/>
      <c r="F136" s="585"/>
      <c r="G136" s="817"/>
      <c r="H136" s="817"/>
      <c r="I136" s="539"/>
      <c r="J136" s="585"/>
      <c r="K136" s="617"/>
      <c r="L136" s="585"/>
      <c r="M136" s="585"/>
      <c r="N136" s="695"/>
      <c r="O136" s="618"/>
      <c r="P136" s="619"/>
      <c r="Q136" s="618"/>
      <c r="R136" s="618"/>
      <c r="S136" s="619"/>
      <c r="T136" s="727"/>
      <c r="U136" s="784"/>
    </row>
    <row r="137" spans="2:21" collapsed="1" x14ac:dyDescent="0.25">
      <c r="B137" s="1151" t="s">
        <v>1665</v>
      </c>
      <c r="C137" s="1151"/>
      <c r="D137" s="1151"/>
      <c r="E137" s="1151"/>
      <c r="F137" s="790"/>
      <c r="G137" s="796">
        <f>COUNT(G139)</f>
        <v>0</v>
      </c>
      <c r="H137" s="796">
        <f>COUNTIF(H139:H140,Hoja1!$J$2)</f>
        <v>0</v>
      </c>
      <c r="I137" s="791"/>
      <c r="J137" s="790">
        <f>+J139</f>
        <v>0</v>
      </c>
      <c r="K137" s="799" t="e">
        <f>J137/F137</f>
        <v>#DIV/0!</v>
      </c>
      <c r="L137" s="790">
        <f>+F137-J137</f>
        <v>0</v>
      </c>
      <c r="M137" s="790">
        <f>+M139</f>
        <v>0</v>
      </c>
      <c r="N137" s="793"/>
      <c r="O137" s="794" t="str">
        <f>IF(ISERROR(VLOOKUP(B137,'Base de Datos'!$C$7:$N$315,8,0))=TRUE," ",(VLOOKUP(B137,'Base de Datos'!$C$7:$N$315,8,0)))</f>
        <v xml:space="preserve"> </v>
      </c>
      <c r="P137" s="795"/>
      <c r="Q137" s="794" t="str">
        <f>IF(ISERROR(VLOOKUP(B137,'Base de Datos'!$C$7:$N$315,9,0))=TRUE," ",(VLOOKUP(B137,'Base de Datos'!$C$7:$N$315,9,0)))</f>
        <v xml:space="preserve"> </v>
      </c>
      <c r="R137" s="794" t="str">
        <f>IF(ISERROR(VLOOKUP(B137,'Base de Datos'!$C$7:$N$315,10,0))=TRUE," ",(VLOOKUP(B137,'Base de Datos'!$C$7:$N$315,10,0)))</f>
        <v xml:space="preserve"> </v>
      </c>
      <c r="S137" s="795"/>
      <c r="T137" s="727"/>
      <c r="U137" s="639"/>
    </row>
    <row r="138" spans="2:21" s="620" customFormat="1" ht="24" hidden="1" outlineLevel="1" x14ac:dyDescent="0.25">
      <c r="B138" s="632" t="s">
        <v>2348</v>
      </c>
      <c r="C138" s="632"/>
      <c r="D138" s="632" t="s">
        <v>912</v>
      </c>
      <c r="E138" s="632" t="s">
        <v>1825</v>
      </c>
      <c r="F138" s="781" t="s">
        <v>1849</v>
      </c>
      <c r="G138" s="817" t="s">
        <v>2350</v>
      </c>
      <c r="H138" s="817" t="s">
        <v>2354</v>
      </c>
      <c r="I138" s="539" t="s">
        <v>2355</v>
      </c>
      <c r="J138" s="632" t="s">
        <v>1848</v>
      </c>
      <c r="K138" s="617"/>
      <c r="L138" s="632" t="s">
        <v>1942</v>
      </c>
      <c r="M138" s="632" t="s">
        <v>1943</v>
      </c>
      <c r="N138" s="782" t="s">
        <v>1123</v>
      </c>
      <c r="O138" s="783" t="s">
        <v>1850</v>
      </c>
      <c r="P138" s="632" t="s">
        <v>1851</v>
      </c>
      <c r="Q138" s="632" t="s">
        <v>1852</v>
      </c>
      <c r="R138" s="632" t="s">
        <v>375</v>
      </c>
      <c r="S138" s="632" t="s">
        <v>1853</v>
      </c>
      <c r="T138" s="727"/>
      <c r="U138" s="784"/>
    </row>
    <row r="139" spans="2:21" s="620" customFormat="1" hidden="1" outlineLevel="1" x14ac:dyDescent="0.25">
      <c r="B139" s="632"/>
      <c r="C139" s="632"/>
      <c r="D139" s="619"/>
      <c r="E139" s="779"/>
      <c r="F139" s="539"/>
      <c r="G139" s="819"/>
      <c r="H139" s="819"/>
      <c r="I139" s="838" t="str">
        <f ca="1">IF(H139=Hoja1!$J$2," ",(IF(MONTH(G139)=MONTH(TODAY()),IF(DAY(G139)&gt;DAY(TODAY()),"Quedan "&amp;ABS(DAY(G139)-DAY(TODAY()))&amp;" Días","Hace "&amp;ABS(DAY(G139)-DAY(TODAY()))&amp;" Días"),"")))</f>
        <v>Hace 18 Días</v>
      </c>
      <c r="J139" s="585"/>
      <c r="K139" s="585"/>
      <c r="L139" s="585"/>
      <c r="M139" s="585"/>
      <c r="N139" s="695"/>
      <c r="O139" s="618"/>
      <c r="P139" s="619"/>
      <c r="Q139" s="618"/>
      <c r="R139" s="618"/>
      <c r="S139" s="619"/>
      <c r="T139" s="727"/>
      <c r="U139" s="784"/>
    </row>
    <row r="140" spans="2:21" s="620" customFormat="1" hidden="1" outlineLevel="1" x14ac:dyDescent="0.25">
      <c r="B140" s="779"/>
      <c r="C140" s="780"/>
      <c r="D140" s="779"/>
      <c r="E140" s="779"/>
      <c r="F140" s="585"/>
      <c r="G140" s="817"/>
      <c r="H140" s="817"/>
      <c r="I140" s="539"/>
      <c r="J140" s="585"/>
      <c r="K140" s="617"/>
      <c r="L140" s="585"/>
      <c r="M140" s="585"/>
      <c r="N140" s="695"/>
      <c r="O140" s="618"/>
      <c r="P140" s="619"/>
      <c r="Q140" s="618"/>
      <c r="R140" s="618"/>
      <c r="S140" s="619"/>
      <c r="T140" s="727"/>
      <c r="U140" s="784"/>
    </row>
    <row r="141" spans="2:21" collapsed="1" x14ac:dyDescent="0.25">
      <c r="B141" s="1151" t="s">
        <v>1666</v>
      </c>
      <c r="C141" s="1151"/>
      <c r="D141" s="1151"/>
      <c r="E141" s="1151"/>
      <c r="F141" s="790"/>
      <c r="G141" s="796">
        <f>COUNT(G143)</f>
        <v>0</v>
      </c>
      <c r="H141" s="796">
        <f>COUNTIF(H143:H144,Hoja1!$J$2)</f>
        <v>0</v>
      </c>
      <c r="I141" s="791"/>
      <c r="J141" s="790">
        <f>+J143</f>
        <v>0</v>
      </c>
      <c r="K141" s="799" t="e">
        <f>J141/F141</f>
        <v>#DIV/0!</v>
      </c>
      <c r="L141" s="790">
        <f>+F141-J141</f>
        <v>0</v>
      </c>
      <c r="M141" s="790">
        <f>+M143</f>
        <v>0</v>
      </c>
      <c r="N141" s="793"/>
      <c r="O141" s="794" t="str">
        <f>IF(ISERROR(VLOOKUP(B141,'Base de Datos'!$C$7:$N$315,8,0))=TRUE," ",(VLOOKUP(B141,'Base de Datos'!$C$7:$N$315,8,0)))</f>
        <v xml:space="preserve"> </v>
      </c>
      <c r="P141" s="795"/>
      <c r="Q141" s="794" t="str">
        <f>IF(ISERROR(VLOOKUP(B141,'Base de Datos'!$C$7:$N$315,9,0))=TRUE," ",(VLOOKUP(B141,'Base de Datos'!$C$7:$N$315,9,0)))</f>
        <v xml:space="preserve"> </v>
      </c>
      <c r="R141" s="794" t="str">
        <f>IF(ISERROR(VLOOKUP(B141,'Base de Datos'!$C$7:$N$315,10,0))=TRUE," ",(VLOOKUP(B141,'Base de Datos'!$C$7:$N$315,10,0)))</f>
        <v xml:space="preserve"> </v>
      </c>
      <c r="S141" s="795"/>
      <c r="T141" s="727"/>
      <c r="U141" s="639"/>
    </row>
    <row r="142" spans="2:21" s="620" customFormat="1" ht="24" hidden="1" outlineLevel="1" x14ac:dyDescent="0.25">
      <c r="B142" s="632" t="s">
        <v>2348</v>
      </c>
      <c r="C142" s="632"/>
      <c r="D142" s="632" t="s">
        <v>912</v>
      </c>
      <c r="E142" s="632" t="s">
        <v>1825</v>
      </c>
      <c r="F142" s="781" t="s">
        <v>1849</v>
      </c>
      <c r="G142" s="817" t="s">
        <v>2350</v>
      </c>
      <c r="H142" s="817" t="s">
        <v>2354</v>
      </c>
      <c r="I142" s="539" t="s">
        <v>2355</v>
      </c>
      <c r="J142" s="632" t="s">
        <v>1848</v>
      </c>
      <c r="K142" s="617"/>
      <c r="L142" s="632" t="s">
        <v>1942</v>
      </c>
      <c r="M142" s="632" t="s">
        <v>1943</v>
      </c>
      <c r="N142" s="782" t="s">
        <v>1123</v>
      </c>
      <c r="O142" s="783" t="s">
        <v>1850</v>
      </c>
      <c r="P142" s="632" t="s">
        <v>1851</v>
      </c>
      <c r="Q142" s="632" t="s">
        <v>1852</v>
      </c>
      <c r="R142" s="632" t="s">
        <v>375</v>
      </c>
      <c r="S142" s="632" t="s">
        <v>1853</v>
      </c>
      <c r="T142" s="727"/>
      <c r="U142" s="784"/>
    </row>
    <row r="143" spans="2:21" s="620" customFormat="1" hidden="1" outlineLevel="1" x14ac:dyDescent="0.25">
      <c r="B143" s="632"/>
      <c r="C143" s="632"/>
      <c r="D143" s="619"/>
      <c r="E143" s="779"/>
      <c r="F143" s="539"/>
      <c r="G143" s="819"/>
      <c r="H143" s="819"/>
      <c r="I143" s="838" t="str">
        <f ca="1">IF(H143=Hoja1!$J$2," ",(IF(MONTH(G143)=MONTH(TODAY()),IF(DAY(G143)&gt;DAY(TODAY()),"Quedan "&amp;ABS(DAY(G143)-DAY(TODAY()))&amp;" Días","Hace "&amp;ABS(DAY(G143)-DAY(TODAY()))&amp;" Días"),"")))</f>
        <v>Hace 18 Días</v>
      </c>
      <c r="J143" s="585"/>
      <c r="K143" s="585"/>
      <c r="L143" s="585"/>
      <c r="M143" s="585"/>
      <c r="N143" s="695"/>
      <c r="O143" s="618"/>
      <c r="P143" s="619"/>
      <c r="Q143" s="618"/>
      <c r="R143" s="618"/>
      <c r="S143" s="619"/>
      <c r="T143" s="727"/>
      <c r="U143" s="784"/>
    </row>
    <row r="144" spans="2:21" s="620" customFormat="1" hidden="1" outlineLevel="1" x14ac:dyDescent="0.25">
      <c r="B144" s="779"/>
      <c r="C144" s="780"/>
      <c r="D144" s="779"/>
      <c r="E144" s="779"/>
      <c r="F144" s="585"/>
      <c r="G144" s="817"/>
      <c r="H144" s="817"/>
      <c r="I144" s="539"/>
      <c r="J144" s="585"/>
      <c r="K144" s="617"/>
      <c r="L144" s="585"/>
      <c r="M144" s="585"/>
      <c r="N144" s="695"/>
      <c r="O144" s="618"/>
      <c r="P144" s="619"/>
      <c r="Q144" s="618"/>
      <c r="R144" s="618"/>
      <c r="S144" s="619"/>
      <c r="T144" s="727"/>
      <c r="U144" s="784"/>
    </row>
    <row r="145" spans="2:21" collapsed="1" x14ac:dyDescent="0.25">
      <c r="B145" s="1151" t="s">
        <v>1667</v>
      </c>
      <c r="C145" s="1151"/>
      <c r="D145" s="1151"/>
      <c r="E145" s="1151"/>
      <c r="F145" s="790"/>
      <c r="G145" s="796">
        <f>COUNT(G147)</f>
        <v>0</v>
      </c>
      <c r="H145" s="796">
        <f>COUNTIF(H147:H148,Hoja1!$J$2)</f>
        <v>0</v>
      </c>
      <c r="I145" s="791"/>
      <c r="J145" s="790">
        <f>+J147</f>
        <v>0</v>
      </c>
      <c r="K145" s="799" t="e">
        <f>J145/F145</f>
        <v>#DIV/0!</v>
      </c>
      <c r="L145" s="790">
        <f>+L147</f>
        <v>0</v>
      </c>
      <c r="M145" s="790">
        <f>+M147</f>
        <v>0</v>
      </c>
      <c r="N145" s="793"/>
      <c r="O145" s="794" t="str">
        <f>IF(ISERROR(VLOOKUP(B145,'Base de Datos'!$C$7:$N$315,8,0))=TRUE," ",(VLOOKUP(B145,'Base de Datos'!$C$7:$N$315,8,0)))</f>
        <v xml:space="preserve"> </v>
      </c>
      <c r="P145" s="795"/>
      <c r="Q145" s="794" t="str">
        <f>IF(ISERROR(VLOOKUP(B145,'Base de Datos'!$C$7:$N$315,9,0))=TRUE," ",(VLOOKUP(B145,'Base de Datos'!$C$7:$N$315,9,0)))</f>
        <v xml:space="preserve"> </v>
      </c>
      <c r="R145" s="794" t="str">
        <f>IF(ISERROR(VLOOKUP(B145,'Base de Datos'!$C$7:$N$315,10,0))=TRUE," ",(VLOOKUP(B145,'Base de Datos'!$C$7:$N$315,10,0)))</f>
        <v xml:space="preserve"> </v>
      </c>
      <c r="S145" s="795"/>
      <c r="T145" s="727"/>
      <c r="U145" s="639"/>
    </row>
    <row r="146" spans="2:21" s="620" customFormat="1" ht="24" hidden="1" outlineLevel="1" x14ac:dyDescent="0.25">
      <c r="B146" s="632" t="s">
        <v>2348</v>
      </c>
      <c r="C146" s="632"/>
      <c r="D146" s="632" t="s">
        <v>912</v>
      </c>
      <c r="E146" s="632" t="s">
        <v>1825</v>
      </c>
      <c r="F146" s="781" t="s">
        <v>1849</v>
      </c>
      <c r="G146" s="817" t="s">
        <v>2350</v>
      </c>
      <c r="H146" s="817" t="s">
        <v>2354</v>
      </c>
      <c r="I146" s="539" t="s">
        <v>2355</v>
      </c>
      <c r="J146" s="632" t="s">
        <v>1848</v>
      </c>
      <c r="K146" s="617"/>
      <c r="L146" s="632" t="s">
        <v>1942</v>
      </c>
      <c r="M146" s="632" t="s">
        <v>1943</v>
      </c>
      <c r="N146" s="782" t="s">
        <v>1123</v>
      </c>
      <c r="O146" s="783" t="s">
        <v>1850</v>
      </c>
      <c r="P146" s="632" t="s">
        <v>1851</v>
      </c>
      <c r="Q146" s="632" t="s">
        <v>1852</v>
      </c>
      <c r="R146" s="632" t="s">
        <v>375</v>
      </c>
      <c r="S146" s="632" t="s">
        <v>1853</v>
      </c>
      <c r="T146" s="727"/>
      <c r="U146" s="784"/>
    </row>
    <row r="147" spans="2:21" s="620" customFormat="1" hidden="1" outlineLevel="1" x14ac:dyDescent="0.25">
      <c r="B147" s="632"/>
      <c r="C147" s="632"/>
      <c r="D147" s="619"/>
      <c r="E147" s="779"/>
      <c r="F147" s="539"/>
      <c r="G147" s="819"/>
      <c r="H147" s="819"/>
      <c r="I147" s="838" t="str">
        <f ca="1">IF(H147=Hoja1!$J$2," ",(IF(MONTH(G147)=MONTH(TODAY()),IF(DAY(G147)&gt;DAY(TODAY()),"Quedan "&amp;ABS(DAY(G147)-DAY(TODAY()))&amp;" Días","Hace "&amp;ABS(DAY(G147)-DAY(TODAY()))&amp;" Días"),"")))</f>
        <v>Hace 18 Días</v>
      </c>
      <c r="J147" s="585"/>
      <c r="K147" s="585"/>
      <c r="L147" s="585"/>
      <c r="M147" s="585"/>
      <c r="N147" s="695"/>
      <c r="O147" s="618"/>
      <c r="P147" s="619"/>
      <c r="Q147" s="618"/>
      <c r="R147" s="618"/>
      <c r="S147" s="619"/>
      <c r="T147" s="727"/>
      <c r="U147" s="784"/>
    </row>
    <row r="148" spans="2:21" s="620" customFormat="1" hidden="1" outlineLevel="1" x14ac:dyDescent="0.25">
      <c r="B148" s="779"/>
      <c r="C148" s="780"/>
      <c r="D148" s="779"/>
      <c r="E148" s="779"/>
      <c r="F148" s="585"/>
      <c r="G148" s="817"/>
      <c r="H148" s="817"/>
      <c r="I148" s="539"/>
      <c r="J148" s="585"/>
      <c r="K148" s="617"/>
      <c r="L148" s="585"/>
      <c r="M148" s="585"/>
      <c r="N148" s="695"/>
      <c r="O148" s="618"/>
      <c r="P148" s="619"/>
      <c r="Q148" s="618"/>
      <c r="R148" s="618"/>
      <c r="S148" s="619"/>
      <c r="T148" s="727"/>
      <c r="U148" s="784"/>
    </row>
    <row r="149" spans="2:21" collapsed="1" x14ac:dyDescent="0.25">
      <c r="B149" s="1149" t="s">
        <v>1668</v>
      </c>
      <c r="C149" s="1149"/>
      <c r="D149" s="1149"/>
      <c r="E149" s="1149"/>
      <c r="F149" s="806"/>
      <c r="G149" s="829">
        <f>G150</f>
        <v>1</v>
      </c>
      <c r="H149" s="829">
        <f>H150</f>
        <v>0</v>
      </c>
      <c r="I149" s="791"/>
      <c r="J149" s="790">
        <f>+J150</f>
        <v>0</v>
      </c>
      <c r="K149" s="792" t="e">
        <f>J149/F149</f>
        <v>#DIV/0!</v>
      </c>
      <c r="L149" s="790">
        <f>+L150</f>
        <v>492336000</v>
      </c>
      <c r="M149" s="790">
        <f>+M150</f>
        <v>-492336000</v>
      </c>
      <c r="N149" s="793"/>
      <c r="O149" s="794" t="str">
        <f>IF(ISERROR(VLOOKUP(B149,'Base de Datos'!$C$7:$N$315,8,0))=TRUE," ",(VLOOKUP(B149,'Base de Datos'!$C$7:$N$315,8,0)))</f>
        <v xml:space="preserve"> </v>
      </c>
      <c r="P149" s="795"/>
      <c r="Q149" s="794" t="str">
        <f>IF(ISERROR(VLOOKUP(B149,'Base de Datos'!$C$7:$N$315,9,0))=TRUE," ",(VLOOKUP(B149,'Base de Datos'!$C$7:$N$315,9,0)))</f>
        <v xml:space="preserve"> </v>
      </c>
      <c r="R149" s="794" t="str">
        <f>IF(ISERROR(VLOOKUP(B149,'Base de Datos'!$C$7:$N$315,10,0))=TRUE," ",(VLOOKUP(B149,'Base de Datos'!$C$7:$N$315,10,0)))</f>
        <v xml:space="preserve"> </v>
      </c>
      <c r="S149" s="795"/>
      <c r="T149" s="727"/>
      <c r="U149" s="639"/>
    </row>
    <row r="150" spans="2:21" x14ac:dyDescent="0.25">
      <c r="B150" s="1151" t="s">
        <v>1669</v>
      </c>
      <c r="C150" s="1151"/>
      <c r="D150" s="1151"/>
      <c r="E150" s="1151"/>
      <c r="F150" s="790"/>
      <c r="G150" s="796">
        <f>COUNT(G152:G153)</f>
        <v>1</v>
      </c>
      <c r="H150" s="796">
        <f>COUNTIF(H152:H153,Hoja1!$J$2)</f>
        <v>0</v>
      </c>
      <c r="I150" s="791"/>
      <c r="J150" s="790">
        <f>SUM(J152)</f>
        <v>0</v>
      </c>
      <c r="K150" s="792" t="e">
        <f>J150/F150</f>
        <v>#DIV/0!</v>
      </c>
      <c r="L150" s="790">
        <f>SUM(L152)</f>
        <v>492336000</v>
      </c>
      <c r="M150" s="790">
        <f>+F150-J150-L150</f>
        <v>-492336000</v>
      </c>
      <c r="N150" s="793"/>
      <c r="O150" s="794" t="str">
        <f>IF(ISERROR(VLOOKUP(B150,'Base de Datos'!$C$7:$N$315,8,0))=TRUE," ",(VLOOKUP(B150,'Base de Datos'!$C$7:$N$315,8,0)))</f>
        <v xml:space="preserve"> </v>
      </c>
      <c r="P150" s="795"/>
      <c r="Q150" s="794" t="str">
        <f>IF(ISERROR(VLOOKUP(B150,'Base de Datos'!$C$7:$N$315,9,0))=TRUE," ",(VLOOKUP(B150,'Base de Datos'!$C$7:$N$315,9,0)))</f>
        <v xml:space="preserve"> </v>
      </c>
      <c r="R150" s="794" t="str">
        <f>IF(ISERROR(VLOOKUP(B150,'Base de Datos'!$C$7:$N$315,10,0))=TRUE," ",(VLOOKUP(B150,'Base de Datos'!$C$7:$N$315,10,0)))</f>
        <v xml:space="preserve"> </v>
      </c>
      <c r="S150" s="795"/>
      <c r="T150" s="727"/>
      <c r="U150" s="639"/>
    </row>
    <row r="151" spans="2:21" s="620" customFormat="1" ht="24" outlineLevel="1" x14ac:dyDescent="0.25">
      <c r="B151" s="632" t="s">
        <v>2348</v>
      </c>
      <c r="C151" s="632"/>
      <c r="D151" s="632" t="s">
        <v>912</v>
      </c>
      <c r="E151" s="632" t="s">
        <v>1825</v>
      </c>
      <c r="F151" s="781" t="s">
        <v>1849</v>
      </c>
      <c r="G151" s="817" t="s">
        <v>2350</v>
      </c>
      <c r="H151" s="817" t="s">
        <v>2354</v>
      </c>
      <c r="I151" s="539" t="s">
        <v>2355</v>
      </c>
      <c r="J151" s="632" t="s">
        <v>1848</v>
      </c>
      <c r="K151" s="617"/>
      <c r="L151" s="632" t="s">
        <v>1942</v>
      </c>
      <c r="M151" s="632" t="s">
        <v>1943</v>
      </c>
      <c r="N151" s="782" t="s">
        <v>1123</v>
      </c>
      <c r="O151" s="783" t="s">
        <v>1850</v>
      </c>
      <c r="P151" s="632" t="s">
        <v>1851</v>
      </c>
      <c r="Q151" s="632" t="s">
        <v>1852</v>
      </c>
      <c r="R151" s="632" t="s">
        <v>375</v>
      </c>
      <c r="S151" s="632" t="s">
        <v>1853</v>
      </c>
      <c r="T151" s="727"/>
      <c r="U151" s="784"/>
    </row>
    <row r="152" spans="2:21" s="620" customFormat="1" ht="24" outlineLevel="1" x14ac:dyDescent="0.25">
      <c r="B152" s="711">
        <v>228</v>
      </c>
      <c r="C152" s="632" t="str">
        <f>$W$6&amp;B152</f>
        <v>2016228</v>
      </c>
      <c r="D152" s="538" t="str">
        <f>IF(ISERROR(VLOOKUP(C152,'Base de Datos'!$D$7:$F$4345,2,0))=TRUE,"",(VLOOKUP(C152,'Base de Datos'!$D$7:$F$4345,2,0)))</f>
        <v/>
      </c>
      <c r="E152" s="712" t="s">
        <v>2334</v>
      </c>
      <c r="F152" s="713">
        <v>492336000</v>
      </c>
      <c r="G152" s="820">
        <v>42461</v>
      </c>
      <c r="H152" s="817"/>
      <c r="I152" s="838" t="str">
        <f ca="1">IF(H152=Hoja1!$J$2," ",(IF(MONTH(G152)=MONTH(TODAY()),IF(DAY(G152)&gt;DAY(TODAY()),"Quedan "&amp;ABS(DAY(G152)-DAY(TODAY()))&amp;" Días","Hace "&amp;ABS(DAY(G152)-DAY(TODAY()))&amp;" Días"),"")))</f>
        <v/>
      </c>
      <c r="J152" s="541" t="str">
        <f>IF(ISERROR(VLOOKUP(C152,'Base de Datos'!$D$7:$N$4345,6,0))=TRUE,"Sin Celebrar",(VLOOKUP(C152,'Base de Datos'!$D$7:$N$4345,6,0)))</f>
        <v>Sin Celebrar</v>
      </c>
      <c r="K152" s="714"/>
      <c r="L152" s="541">
        <f>IF(J152=$W$7,F152, " ")</f>
        <v>492336000</v>
      </c>
      <c r="M152" s="541" t="str">
        <f>IF(J152&lt;F152,(F152-J152)," ")</f>
        <v xml:space="preserve"> </v>
      </c>
      <c r="N152" s="724" t="str">
        <f>IF(ISERROR(VLOOKUP(C152,'Base de Datos'!$D$7:$K$1048576,7,0))=TRUE," ",(VLOOKUP(C152,'Base de Datos'!$D$7:$K$1048576,7,0)))</f>
        <v xml:space="preserve"> </v>
      </c>
      <c r="O152" s="556" t="str">
        <f>IF(ISERROR(VLOOKUP(C152,'Base de Datos'!$D$7:$N$4330,9,0))=TRUE," ",(VLOOKUP(C152,'Base de Datos'!$D$7:$N$4330,9,0)))</f>
        <v xml:space="preserve"> </v>
      </c>
      <c r="P152" s="618" t="e">
        <f>VLOOKUP(B152,#REF!,13,0)</f>
        <v>#REF!</v>
      </c>
      <c r="Q152" s="556" t="str">
        <f>IF(ISERROR(VLOOKUP(C152,'Base de Datos'!$D$7:$N$4330,10,0))=TRUE," ",(VLOOKUP(C152,'Base de Datos'!$D$7:$N$4330,10,0)))</f>
        <v xml:space="preserve"> </v>
      </c>
      <c r="R152" s="556" t="str">
        <f>IF(ISERROR(VLOOKUP(C152,'Base de Datos'!$D$7:$N$4330,11,0))=TRUE," ",(VLOOKUP(C152,'Base de Datos'!$D$7:$N$4330,11,0)))</f>
        <v xml:space="preserve"> </v>
      </c>
      <c r="S152" s="619" t="s">
        <v>2080</v>
      </c>
      <c r="T152" s="727"/>
      <c r="U152" s="784"/>
    </row>
    <row r="153" spans="2:21" s="620" customFormat="1" outlineLevel="1" x14ac:dyDescent="0.25">
      <c r="B153" s="816"/>
      <c r="C153" s="816"/>
      <c r="D153" s="816"/>
      <c r="E153" s="816"/>
      <c r="F153" s="585"/>
      <c r="G153" s="817"/>
      <c r="H153" s="817"/>
      <c r="I153" s="539"/>
      <c r="J153" s="585"/>
      <c r="K153" s="617"/>
      <c r="L153" s="585"/>
      <c r="M153" s="585"/>
      <c r="N153" s="695"/>
      <c r="O153" s="618"/>
      <c r="P153" s="619"/>
      <c r="Q153" s="618"/>
      <c r="R153" s="618"/>
      <c r="S153" s="619"/>
      <c r="T153" s="727"/>
      <c r="U153" s="784"/>
    </row>
    <row r="154" spans="2:21" x14ac:dyDescent="0.25">
      <c r="B154" s="1150" t="s">
        <v>1670</v>
      </c>
      <c r="C154" s="1150"/>
      <c r="D154" s="1150"/>
      <c r="E154" s="1150"/>
      <c r="F154" s="797"/>
      <c r="G154" s="796">
        <f>COUNT(G156:G157)</f>
        <v>2</v>
      </c>
      <c r="H154" s="796">
        <f>COUNTIF(H156:H158,Hoja1!$J$2)</f>
        <v>0</v>
      </c>
      <c r="I154" s="798"/>
      <c r="J154" s="797">
        <f>SUM(J156:J158)</f>
        <v>705344905</v>
      </c>
      <c r="K154" s="799" t="e">
        <f>J154/F154</f>
        <v>#DIV/0!</v>
      </c>
      <c r="L154" s="797">
        <f>SUM(L156:L158)</f>
        <v>0</v>
      </c>
      <c r="M154" s="797">
        <f>+F154-J154-L154</f>
        <v>-705344905</v>
      </c>
      <c r="N154" s="801"/>
      <c r="O154" s="802" t="str">
        <f>IF(ISERROR(VLOOKUP(B154,'Base de Datos'!$C$7:$N$315,8,0))=TRUE," ",(VLOOKUP(B154,'Base de Datos'!$C$7:$N$315,8,0)))</f>
        <v xml:space="preserve"> </v>
      </c>
      <c r="P154" s="803"/>
      <c r="Q154" s="802" t="str">
        <f>IF(ISERROR(VLOOKUP(B154,'Base de Datos'!$C$7:$N$315,9,0))=TRUE," ",(VLOOKUP(B154,'Base de Datos'!$C$7:$N$315,9,0)))</f>
        <v xml:space="preserve"> </v>
      </c>
      <c r="R154" s="802" t="str">
        <f>IF(ISERROR(VLOOKUP(B154,'Base de Datos'!$C$7:$N$315,10,0))=TRUE," ",(VLOOKUP(B154,'Base de Datos'!$C$7:$N$315,10,0)))</f>
        <v xml:space="preserve"> </v>
      </c>
      <c r="S154" s="795"/>
      <c r="T154" s="727"/>
      <c r="U154" s="639"/>
    </row>
    <row r="155" spans="2:21" s="620" customFormat="1" ht="24" outlineLevel="1" x14ac:dyDescent="0.25">
      <c r="B155" s="632" t="s">
        <v>2348</v>
      </c>
      <c r="C155" s="632"/>
      <c r="D155" s="632" t="s">
        <v>912</v>
      </c>
      <c r="E155" s="632" t="s">
        <v>1825</v>
      </c>
      <c r="F155" s="781" t="s">
        <v>1849</v>
      </c>
      <c r="G155" s="817" t="s">
        <v>2350</v>
      </c>
      <c r="H155" s="817" t="s">
        <v>2354</v>
      </c>
      <c r="I155" s="539" t="s">
        <v>2355</v>
      </c>
      <c r="J155" s="632" t="s">
        <v>1848</v>
      </c>
      <c r="K155" s="617"/>
      <c r="L155" s="632" t="s">
        <v>1942</v>
      </c>
      <c r="M155" s="632" t="s">
        <v>1943</v>
      </c>
      <c r="N155" s="782" t="s">
        <v>1123</v>
      </c>
      <c r="O155" s="783" t="s">
        <v>1850</v>
      </c>
      <c r="P155" s="632" t="s">
        <v>1851</v>
      </c>
      <c r="Q155" s="632" t="s">
        <v>1852</v>
      </c>
      <c r="R155" s="632" t="s">
        <v>375</v>
      </c>
      <c r="S155" s="632" t="s">
        <v>1853</v>
      </c>
      <c r="T155" s="727"/>
      <c r="U155" s="784"/>
    </row>
    <row r="156" spans="2:21" s="620" customFormat="1" ht="24" outlineLevel="1" x14ac:dyDescent="0.25">
      <c r="B156" s="632">
        <v>199</v>
      </c>
      <c r="C156" s="632" t="str">
        <f>$W$6&amp;B156</f>
        <v>2016199</v>
      </c>
      <c r="D156" s="538" t="str">
        <f>IF(ISERROR(VLOOKUP(C156,'Base de Datos'!$D$7:$F$4345,2,0))=TRUE,"",(VLOOKUP(C156,'Base de Datos'!$D$7:$F$4345,2,0)))</f>
        <v>160228-0-2016</v>
      </c>
      <c r="E156" s="712" t="s">
        <v>1427</v>
      </c>
      <c r="F156" s="585">
        <v>567285000</v>
      </c>
      <c r="G156" s="817">
        <v>42461</v>
      </c>
      <c r="H156" s="817"/>
      <c r="I156" s="838" t="str">
        <f ca="1">IF(H156=Hoja1!$J$2," ",(IF(MONTH(G156)=MONTH(TODAY()),IF(DAY(G156)&gt;DAY(TODAY()),"Quedan "&amp;ABS(DAY(G156)-DAY(TODAY()))&amp;" Días","Hace "&amp;ABS(DAY(G156)-DAY(TODAY()))&amp;" Días"),"")))</f>
        <v/>
      </c>
      <c r="J156" s="541">
        <f>IF(ISERROR(VLOOKUP(C156,'Base de Datos'!$D$7:$N$4345,6,0))=TRUE,"Sin Celebrar",(VLOOKUP(C156,'Base de Datos'!$D$7:$N$4345,6,0)))</f>
        <v>669493245</v>
      </c>
      <c r="K156" s="617"/>
      <c r="L156" s="541" t="str">
        <f>IF(J156=$W$7,F156, " ")</f>
        <v xml:space="preserve"> </v>
      </c>
      <c r="M156" s="541" t="str">
        <f>IF(J156&lt;F156,(F156-J156)," ")</f>
        <v xml:space="preserve"> </v>
      </c>
      <c r="N156" s="724" t="str">
        <f>IF(ISERROR(VLOOKUP(C156,'Base de Datos'!$D$7:$K$1048576,7,0))=TRUE," ",(VLOOKUP(C156,'Base de Datos'!$D$7:$K$1048576,7,0)))</f>
        <v>SDH-LP-04-2016</v>
      </c>
      <c r="O156" s="556">
        <f>IF(ISERROR(VLOOKUP(C156,'Base de Datos'!$D$7:$N$4330,9,0))=TRUE," ",(VLOOKUP(C156,'Base de Datos'!$D$7:$N$4330,9,0)))</f>
        <v>42632</v>
      </c>
      <c r="P156" s="618" t="e">
        <f>VLOOKUP(B156,#REF!,13,0)</f>
        <v>#REF!</v>
      </c>
      <c r="Q156" s="556">
        <f>IF(ISERROR(VLOOKUP(C156,'Base de Datos'!$D$7:$N$4330,10,0))=TRUE," ",(VLOOKUP(C156,'Base de Datos'!$D$7:$N$4330,10,0)))</f>
        <v>42647</v>
      </c>
      <c r="R156" s="556">
        <f>IF(ISERROR(VLOOKUP(C156,'Base de Datos'!$D$7:$N$4330,11,0))=TRUE," ",(VLOOKUP(C156,'Base de Datos'!$D$7:$N$4330,11,0)))</f>
        <v>42859</v>
      </c>
      <c r="S156" s="619" t="s">
        <v>981</v>
      </c>
      <c r="T156" s="727"/>
      <c r="U156" s="784"/>
    </row>
    <row r="157" spans="2:21" s="620" customFormat="1" ht="24" outlineLevel="1" x14ac:dyDescent="0.25">
      <c r="B157" s="632">
        <v>216</v>
      </c>
      <c r="C157" s="632" t="str">
        <f>$W$6&amp;B157</f>
        <v>2016216</v>
      </c>
      <c r="D157" s="538" t="str">
        <f>IF(ISERROR(VLOOKUP(C157,'Base de Datos'!$D$7:$F$4345,2,0))=TRUE,"",(VLOOKUP(C157,'Base de Datos'!$D$7:$F$4345,2,0)))</f>
        <v>160287-0-2016</v>
      </c>
      <c r="E157" s="712" t="s">
        <v>2335</v>
      </c>
      <c r="F157" s="585">
        <v>41200000</v>
      </c>
      <c r="G157" s="817">
        <v>42573</v>
      </c>
      <c r="H157" s="817"/>
      <c r="I157" s="838" t="str">
        <f ca="1">IF(H157=Hoja1!$J$2," ",(IF(MONTH(G157)=MONTH(TODAY()),IF(DAY(G157)&gt;DAY(TODAY()),"Quedan "&amp;ABS(DAY(G157)-DAY(TODAY()))&amp;" Días","Hace "&amp;ABS(DAY(G157)-DAY(TODAY()))&amp;" Días"),"")))</f>
        <v/>
      </c>
      <c r="J157" s="541">
        <f>IF(ISERROR(VLOOKUP(C157,'Base de Datos'!$D$7:$N$4345,6,0))=TRUE,"Sin Celebrar",(VLOOKUP(C157,'Base de Datos'!$D$7:$N$4345,6,0)))</f>
        <v>35851660</v>
      </c>
      <c r="K157" s="617"/>
      <c r="L157" s="541" t="str">
        <f>IF(J157=$W$7,F157, " ")</f>
        <v xml:space="preserve"> </v>
      </c>
      <c r="M157" s="541">
        <f>IF(J157&lt;F157,(F157-J157)," ")</f>
        <v>5348340</v>
      </c>
      <c r="N157" s="724" t="str">
        <f>IF(ISERROR(VLOOKUP(C157,'Base de Datos'!$D$7:$K$1048576,7,0))=TRUE," ",(VLOOKUP(C157,'Base de Datos'!$D$7:$K$1048576,7,0)))</f>
        <v>SDH-SAMC-06-2016</v>
      </c>
      <c r="O157" s="556">
        <f>IF(ISERROR(VLOOKUP(C157,'Base de Datos'!$D$7:$N$4330,9,0))=TRUE," ",(VLOOKUP(C157,'Base de Datos'!$D$7:$N$4330,9,0)))</f>
        <v>42703</v>
      </c>
      <c r="P157" s="618" t="e">
        <f>VLOOKUP(B157,#REF!,13,0)</f>
        <v>#REF!</v>
      </c>
      <c r="Q157" s="556">
        <f>IF(ISERROR(VLOOKUP(C157,'Base de Datos'!$D$7:$N$4330,10,0))=TRUE," ",(VLOOKUP(C157,'Base de Datos'!$D$7:$N$4330,10,0)))</f>
        <v>42710</v>
      </c>
      <c r="R157" s="556">
        <f>IF(ISERROR(VLOOKUP(C157,'Base de Datos'!$D$7:$N$4330,11,0))=TRUE," ",(VLOOKUP(C157,'Base de Datos'!$D$7:$N$4330,11,0)))</f>
        <v>42831</v>
      </c>
      <c r="S157" s="619" t="s">
        <v>981</v>
      </c>
      <c r="T157" s="727"/>
      <c r="U157" s="784"/>
    </row>
    <row r="158" spans="2:21" s="620" customFormat="1" outlineLevel="1" x14ac:dyDescent="0.25">
      <c r="B158" s="619"/>
      <c r="C158" s="619"/>
      <c r="D158" s="619"/>
      <c r="E158" s="619" t="s">
        <v>1938</v>
      </c>
      <c r="F158" s="585"/>
      <c r="G158" s="817"/>
      <c r="H158" s="817"/>
      <c r="I158" s="539"/>
      <c r="J158" s="585"/>
      <c r="K158" s="617"/>
      <c r="L158" s="713"/>
      <c r="M158" s="585" t="str">
        <f>IF(J158&lt;F158,(F158-J158)," ")</f>
        <v xml:space="preserve"> </v>
      </c>
      <c r="N158" s="814"/>
      <c r="O158" s="618" t="str">
        <f>IF(ISERROR(VLOOKUP(B158,'Base de Datos'!$C$7:$N$315,9,0))=TRUE," ",(VLOOKUP(B158,'Base de Datos'!$C$7:$N$315,9,0)))</f>
        <v xml:space="preserve"> </v>
      </c>
      <c r="P158" s="619"/>
      <c r="Q158" s="715" t="str">
        <f>IF(ISERROR(VLOOKUP(B158,'Base de Datos'!$C$7:$N$4330,10,0))=TRUE," ",(VLOOKUP(B158,'Base de Datos'!$C$7:$N$4330,10,0)))</f>
        <v xml:space="preserve"> </v>
      </c>
      <c r="R158" s="715" t="str">
        <f>IF(ISERROR(VLOOKUP(B158,'Base de Datos'!$C$7:$N$4330,11,0))=TRUE," ",(VLOOKUP(B158,'Base de Datos'!$C$7:$N$4330,11,0)))</f>
        <v xml:space="preserve"> </v>
      </c>
      <c r="S158" s="619"/>
      <c r="T158" s="727"/>
      <c r="U158" s="784"/>
    </row>
    <row r="159" spans="2:21" s="620" customFormat="1" outlineLevel="1" x14ac:dyDescent="0.25">
      <c r="B159" s="619"/>
      <c r="C159" s="619"/>
      <c r="D159" s="619"/>
      <c r="E159" s="619"/>
      <c r="F159" s="585"/>
      <c r="G159" s="817"/>
      <c r="H159" s="817"/>
      <c r="I159" s="539"/>
      <c r="J159" s="585"/>
      <c r="K159" s="617"/>
      <c r="L159" s="585"/>
      <c r="M159" s="585"/>
      <c r="N159" s="695"/>
      <c r="O159" s="618"/>
      <c r="P159" s="619"/>
      <c r="Q159" s="618"/>
      <c r="R159" s="618"/>
      <c r="S159" s="619"/>
      <c r="T159" s="727"/>
      <c r="U159" s="784"/>
    </row>
    <row r="160" spans="2:21" x14ac:dyDescent="0.25">
      <c r="B160" s="1150" t="s">
        <v>1671</v>
      </c>
      <c r="C160" s="1150"/>
      <c r="D160" s="1150"/>
      <c r="E160" s="1150"/>
      <c r="F160" s="797"/>
      <c r="G160" s="796">
        <f>COUNT(G162:G163)</f>
        <v>2</v>
      </c>
      <c r="H160" s="796">
        <f>COUNTIF(H162:H164,Hoja1!$J$2)</f>
        <v>0</v>
      </c>
      <c r="I160" s="798"/>
      <c r="J160" s="797">
        <f>SUM(J162:J164)</f>
        <v>162489000</v>
      </c>
      <c r="K160" s="799" t="e">
        <f>J160/F160</f>
        <v>#DIV/0!</v>
      </c>
      <c r="L160" s="797">
        <f>SUM(L162:L164)</f>
        <v>0</v>
      </c>
      <c r="M160" s="797">
        <f>+F160-J160-L160</f>
        <v>-162489000</v>
      </c>
      <c r="N160" s="801"/>
      <c r="O160" s="802" t="str">
        <f>IF(ISERROR(VLOOKUP(B160,'Base de Datos'!$C$7:$N$315,8,0))=TRUE," ",(VLOOKUP(B160,'Base de Datos'!$C$7:$N$315,8,0)))</f>
        <v xml:space="preserve"> </v>
      </c>
      <c r="P160" s="803"/>
      <c r="Q160" s="802" t="str">
        <f>IF(ISERROR(VLOOKUP(B160,'Base de Datos'!$C$7:$N$315,9,0))=TRUE," ",(VLOOKUP(B160,'Base de Datos'!$C$7:$N$315,9,0)))</f>
        <v xml:space="preserve"> </v>
      </c>
      <c r="R160" s="802" t="str">
        <f>IF(ISERROR(VLOOKUP(B160,'Base de Datos'!$C$7:$N$315,10,0))=TRUE," ",(VLOOKUP(B160,'Base de Datos'!$C$7:$N$315,10,0)))</f>
        <v xml:space="preserve"> </v>
      </c>
      <c r="S160" s="795"/>
      <c r="T160" s="727"/>
      <c r="U160" s="639"/>
    </row>
    <row r="161" spans="2:21" s="620" customFormat="1" ht="24" outlineLevel="1" x14ac:dyDescent="0.25">
      <c r="B161" s="632" t="s">
        <v>2348</v>
      </c>
      <c r="C161" s="632"/>
      <c r="D161" s="632" t="s">
        <v>912</v>
      </c>
      <c r="E161" s="632" t="s">
        <v>1825</v>
      </c>
      <c r="F161" s="781" t="s">
        <v>1849</v>
      </c>
      <c r="G161" s="817" t="s">
        <v>2350</v>
      </c>
      <c r="H161" s="817" t="s">
        <v>2354</v>
      </c>
      <c r="I161" s="539" t="s">
        <v>2355</v>
      </c>
      <c r="J161" s="632" t="s">
        <v>1848</v>
      </c>
      <c r="K161" s="617"/>
      <c r="L161" s="632" t="s">
        <v>1942</v>
      </c>
      <c r="M161" s="632" t="s">
        <v>1943</v>
      </c>
      <c r="N161" s="782" t="s">
        <v>1123</v>
      </c>
      <c r="O161" s="783" t="s">
        <v>1850</v>
      </c>
      <c r="P161" s="632" t="s">
        <v>1851</v>
      </c>
      <c r="Q161" s="632" t="s">
        <v>1852</v>
      </c>
      <c r="R161" s="632" t="s">
        <v>375</v>
      </c>
      <c r="S161" s="632" t="s">
        <v>1853</v>
      </c>
      <c r="T161" s="727"/>
      <c r="U161" s="784"/>
    </row>
    <row r="162" spans="2:21" s="620" customFormat="1" ht="24" outlineLevel="1" x14ac:dyDescent="0.25">
      <c r="B162" s="632">
        <v>227</v>
      </c>
      <c r="C162" s="632" t="str">
        <f>$W$6&amp;B162</f>
        <v>2016227</v>
      </c>
      <c r="D162" s="538" t="str">
        <f>IF(ISERROR(VLOOKUP(C162,'Base de Datos'!$D$7:$F$4345,2,0))=TRUE,"",(VLOOKUP(C162,'Base de Datos'!$D$7:$F$4345,2,0)))</f>
        <v>160124-0-2016</v>
      </c>
      <c r="E162" s="712" t="s">
        <v>2336</v>
      </c>
      <c r="F162" s="585">
        <v>130000000</v>
      </c>
      <c r="G162" s="817">
        <v>42381</v>
      </c>
      <c r="H162" s="817"/>
      <c r="I162" s="838" t="str">
        <f ca="1">IF(H162=Hoja1!$J$2," ",(IF(MONTH(G162)=MONTH(TODAY()),IF(DAY(G162)&gt;DAY(TODAY()),"Quedan "&amp;ABS(DAY(G162)-DAY(TODAY()))&amp;" Días","Hace "&amp;ABS(DAY(G162)-DAY(TODAY()))&amp;" Días"),"")))</f>
        <v>Hace 6 Días</v>
      </c>
      <c r="J162" s="541">
        <f>IF(ISERROR(VLOOKUP(C162,'Base de Datos'!$D$7:$N$4345,6,0))=TRUE,"Sin Celebrar",(VLOOKUP(C162,'Base de Datos'!$D$7:$N$4345,6,0)))</f>
        <v>108906000</v>
      </c>
      <c r="K162" s="617"/>
      <c r="L162" s="541" t="str">
        <f>IF(J162=$W$7,F162, " ")</f>
        <v xml:space="preserve"> </v>
      </c>
      <c r="M162" s="541">
        <f>IF(J162&lt;F162,(F162-J162)," ")</f>
        <v>21094000</v>
      </c>
      <c r="N162" s="724" t="str">
        <f>IF(ISERROR(VLOOKUP(C162,'Base de Datos'!$D$7:$K$1048576,7,0))=TRUE," ",(VLOOKUP(C162,'Base de Datos'!$D$7:$K$1048576,7,0)))</f>
        <v>SDH-SAMC-01-2016</v>
      </c>
      <c r="O162" s="556">
        <f>IF(ISERROR(VLOOKUP(C162,'Base de Datos'!$D$7:$N$4330,9,0))=TRUE," ",(VLOOKUP(C162,'Base de Datos'!$D$7:$N$4330,9,0)))</f>
        <v>42523</v>
      </c>
      <c r="P162" s="618" t="e">
        <f>VLOOKUP(B162,#REF!,13,0)</f>
        <v>#REF!</v>
      </c>
      <c r="Q162" s="556">
        <f>IF(ISERROR(VLOOKUP(C162,'Base de Datos'!$D$7:$N$4330,10,0))=TRUE," ",(VLOOKUP(C162,'Base de Datos'!$D$7:$N$4330,10,0)))</f>
        <v>42531</v>
      </c>
      <c r="R162" s="556">
        <f>IF(ISERROR(VLOOKUP(C162,'Base de Datos'!$D$7:$N$4330,11,0))=TRUE," ",(VLOOKUP(C162,'Base de Datos'!$D$7:$N$4330,11,0)))</f>
        <v>42835</v>
      </c>
      <c r="S162" s="619"/>
      <c r="T162" s="727"/>
      <c r="U162" s="784"/>
    </row>
    <row r="163" spans="2:21" s="620" customFormat="1" ht="24" outlineLevel="1" x14ac:dyDescent="0.25">
      <c r="B163" s="632">
        <v>147</v>
      </c>
      <c r="C163" s="632" t="str">
        <f>$W$6&amp;B163</f>
        <v>2016147</v>
      </c>
      <c r="D163" s="538" t="str">
        <f>IF(ISERROR(VLOOKUP(C163,'Base de Datos'!$D$7:$F$4345,2,0))=TRUE,"",(VLOOKUP(C163,'Base de Datos'!$D$7:$F$4345,2,0)))</f>
        <v>160156-0-2016</v>
      </c>
      <c r="E163" s="712" t="s">
        <v>2337</v>
      </c>
      <c r="F163" s="585">
        <v>29870000</v>
      </c>
      <c r="G163" s="817">
        <v>42095</v>
      </c>
      <c r="H163" s="817"/>
      <c r="I163" s="838" t="str">
        <f ca="1">IF(H163=Hoja1!$J$2," ",(IF(MONTH(G163)=MONTH(TODAY()),IF(DAY(G163)&gt;DAY(TODAY()),"Quedan "&amp;ABS(DAY(G163)-DAY(TODAY()))&amp;" Días","Hace "&amp;ABS(DAY(G163)-DAY(TODAY()))&amp;" Días"),"")))</f>
        <v/>
      </c>
      <c r="J163" s="541">
        <f>IF(ISERROR(VLOOKUP(C163,'Base de Datos'!$D$7:$N$4345,6,0))=TRUE,"Sin Celebrar",(VLOOKUP(C163,'Base de Datos'!$D$7:$N$4345,6,0)))</f>
        <v>53583000</v>
      </c>
      <c r="K163" s="617"/>
      <c r="L163" s="541" t="str">
        <f>IF(J163=$W$7,F163, " ")</f>
        <v xml:space="preserve"> </v>
      </c>
      <c r="M163" s="541" t="str">
        <f>IF(J163&lt;F163,(F163-J163)," ")</f>
        <v xml:space="preserve"> </v>
      </c>
      <c r="N163" s="724" t="str">
        <f>IF(ISERROR(VLOOKUP(C163,'Base de Datos'!$D$7:$K$1048576,7,0))=TRUE," ",(VLOOKUP(C163,'Base de Datos'!$D$7:$K$1048576,7,0)))</f>
        <v>SDH-SMINC-17-2016</v>
      </c>
      <c r="O163" s="556">
        <f>IF(ISERROR(VLOOKUP(C163,'Base de Datos'!$D$7:$N$4330,9,0))=TRUE," ",(VLOOKUP(C163,'Base de Datos'!$D$7:$N$4330,9,0)))</f>
        <v>42556</v>
      </c>
      <c r="P163" s="618" t="e">
        <f>VLOOKUP(B163,#REF!,13,0)</f>
        <v>#REF!</v>
      </c>
      <c r="Q163" s="556">
        <f>IF(ISERROR(VLOOKUP(C163,'Base de Datos'!$D$7:$N$4330,10,0))=TRUE," ",(VLOOKUP(C163,'Base de Datos'!$D$7:$N$4330,10,0)))</f>
        <v>42579</v>
      </c>
      <c r="R163" s="556">
        <f>IF(ISERROR(VLOOKUP(C163,'Base de Datos'!$D$7:$N$4330,11,0))=TRUE," ",(VLOOKUP(C163,'Base de Datos'!$D$7:$N$4330,11,0)))</f>
        <v>42794</v>
      </c>
      <c r="S163" s="619" t="s">
        <v>2357</v>
      </c>
      <c r="T163" s="727"/>
      <c r="U163" s="784"/>
    </row>
    <row r="164" spans="2:21" s="620" customFormat="1" outlineLevel="1" x14ac:dyDescent="0.25">
      <c r="B164" s="619"/>
      <c r="C164" s="619"/>
      <c r="D164" s="619"/>
      <c r="E164" s="619" t="s">
        <v>1938</v>
      </c>
      <c r="F164" s="585"/>
      <c r="G164" s="817"/>
      <c r="H164" s="817"/>
      <c r="I164" s="539"/>
      <c r="J164" s="585"/>
      <c r="K164" s="617"/>
      <c r="L164" s="713"/>
      <c r="M164" s="713" t="str">
        <f>IF(J164&lt;F164,(F164-J164)," ")</f>
        <v xml:space="preserve"> </v>
      </c>
      <c r="N164" s="814"/>
      <c r="O164" s="618" t="str">
        <f>IF(ISERROR(VLOOKUP(B164,'Base de Datos'!$C$7:$N$315,9,0))=TRUE," ",(VLOOKUP(B164,'Base de Datos'!$C$7:$N$315,9,0)))</f>
        <v xml:space="preserve"> </v>
      </c>
      <c r="P164" s="619"/>
      <c r="Q164" s="715" t="str">
        <f>IF(ISERROR(VLOOKUP(B164,'Base de Datos'!$C$7:$N$315,10,0))=TRUE," ",(VLOOKUP(B164,'Base de Datos'!$C$7:$N$315,10,0)))</f>
        <v xml:space="preserve"> </v>
      </c>
      <c r="R164" s="715" t="str">
        <f>IF(ISERROR(VLOOKUP(B164,'Base de Datos'!$C$7:$N$315,11,0))=TRUE," ",(VLOOKUP(B164,'Base de Datos'!$C$7:$N$315,11,0)))</f>
        <v xml:space="preserve"> </v>
      </c>
      <c r="S164" s="619"/>
      <c r="T164" s="727"/>
      <c r="U164" s="784"/>
    </row>
    <row r="165" spans="2:21" s="620" customFormat="1" outlineLevel="1" x14ac:dyDescent="0.25">
      <c r="B165" s="619"/>
      <c r="C165" s="619"/>
      <c r="D165" s="619"/>
      <c r="E165" s="619"/>
      <c r="F165" s="585"/>
      <c r="G165" s="817"/>
      <c r="H165" s="817"/>
      <c r="I165" s="539"/>
      <c r="J165" s="585"/>
      <c r="K165" s="617"/>
      <c r="L165" s="585"/>
      <c r="M165" s="585"/>
      <c r="N165" s="695"/>
      <c r="O165" s="618"/>
      <c r="P165" s="619"/>
      <c r="Q165" s="618"/>
      <c r="R165" s="618"/>
      <c r="S165" s="619"/>
      <c r="T165" s="727"/>
      <c r="U165" s="784"/>
    </row>
    <row r="166" spans="2:21" x14ac:dyDescent="0.25">
      <c r="B166" s="1150" t="s">
        <v>1672</v>
      </c>
      <c r="C166" s="1150"/>
      <c r="D166" s="1150"/>
      <c r="E166" s="1150"/>
      <c r="F166" s="797"/>
      <c r="G166" s="796">
        <f>COUNT(G168:G171)</f>
        <v>4</v>
      </c>
      <c r="H166" s="796">
        <f>COUNTIF(H168:H171,Hoja1!$J$2)</f>
        <v>0</v>
      </c>
      <c r="I166" s="798"/>
      <c r="J166" s="797">
        <f>SUM(J168:J172)</f>
        <v>31415000</v>
      </c>
      <c r="K166" s="799" t="e">
        <f>J166/F166</f>
        <v>#DIV/0!</v>
      </c>
      <c r="L166" s="797">
        <f>SUM(L168:L172)</f>
        <v>53964000</v>
      </c>
      <c r="M166" s="797">
        <f>+F166-J166-L166</f>
        <v>-85379000</v>
      </c>
      <c r="N166" s="801"/>
      <c r="O166" s="802" t="str">
        <f>IF(ISERROR(VLOOKUP(B166,'Base de Datos'!$C$7:$N$315,8,0))=TRUE," ",(VLOOKUP(B166,'Base de Datos'!$C$7:$N$315,8,0)))</f>
        <v xml:space="preserve"> </v>
      </c>
      <c r="P166" s="803"/>
      <c r="Q166" s="802" t="str">
        <f>IF(ISERROR(VLOOKUP(B166,'Base de Datos'!$C$7:$N$315,9,0))=TRUE," ",(VLOOKUP(B166,'Base de Datos'!$C$7:$N$315,9,0)))</f>
        <v xml:space="preserve"> </v>
      </c>
      <c r="R166" s="802" t="str">
        <f>IF(ISERROR(VLOOKUP(B166,'Base de Datos'!$C$7:$N$315,10,0))=TRUE," ",(VLOOKUP(B166,'Base de Datos'!$C$7:$N$315,10,0)))</f>
        <v xml:space="preserve"> </v>
      </c>
      <c r="S166" s="795"/>
      <c r="T166" s="727"/>
      <c r="U166" s="639"/>
    </row>
    <row r="167" spans="2:21" s="620" customFormat="1" ht="24" outlineLevel="1" x14ac:dyDescent="0.25">
      <c r="B167" s="632" t="s">
        <v>2348</v>
      </c>
      <c r="C167" s="632"/>
      <c r="D167" s="632" t="s">
        <v>912</v>
      </c>
      <c r="E167" s="632" t="s">
        <v>1825</v>
      </c>
      <c r="F167" s="781" t="s">
        <v>1849</v>
      </c>
      <c r="G167" s="817" t="s">
        <v>2350</v>
      </c>
      <c r="H167" s="817" t="s">
        <v>2354</v>
      </c>
      <c r="I167" s="539" t="s">
        <v>2355</v>
      </c>
      <c r="J167" s="632" t="s">
        <v>1848</v>
      </c>
      <c r="K167" s="617"/>
      <c r="L167" s="632" t="s">
        <v>1942</v>
      </c>
      <c r="M167" s="632" t="s">
        <v>1943</v>
      </c>
      <c r="N167" s="782" t="s">
        <v>1123</v>
      </c>
      <c r="O167" s="783" t="s">
        <v>1850</v>
      </c>
      <c r="P167" s="632" t="s">
        <v>1851</v>
      </c>
      <c r="Q167" s="632" t="s">
        <v>1852</v>
      </c>
      <c r="R167" s="632" t="s">
        <v>375</v>
      </c>
      <c r="S167" s="632" t="s">
        <v>1853</v>
      </c>
      <c r="T167" s="727"/>
      <c r="U167" s="784"/>
    </row>
    <row r="168" spans="2:21" s="620" customFormat="1" ht="24" outlineLevel="1" x14ac:dyDescent="0.25">
      <c r="B168" s="632">
        <v>229</v>
      </c>
      <c r="C168" s="632" t="str">
        <f>$W$6&amp;B168</f>
        <v>2016229</v>
      </c>
      <c r="D168" s="538" t="str">
        <f>IF(ISERROR(VLOOKUP(C168,'Base de Datos'!$D$7:$F$4345,2,0))=TRUE,"",(VLOOKUP(C168,'Base de Datos'!$D$7:$F$4345,2,0)))</f>
        <v>160195-0-2016</v>
      </c>
      <c r="E168" s="712" t="s">
        <v>1305</v>
      </c>
      <c r="F168" s="585">
        <v>20806000</v>
      </c>
      <c r="G168" s="817">
        <v>42444</v>
      </c>
      <c r="H168" s="817"/>
      <c r="I168" s="838" t="str">
        <f ca="1">IF(H168=Hoja1!$J$2," ",(IF(MONTH(G168)=MONTH(TODAY()),IF(DAY(G168)&gt;DAY(TODAY()),"Quedan "&amp;ABS(DAY(G168)-DAY(TODAY()))&amp;" Días","Hace "&amp;ABS(DAY(G168)-DAY(TODAY()))&amp;" Días"),"")))</f>
        <v/>
      </c>
      <c r="J168" s="541">
        <f>IF(ISERROR(VLOOKUP(C168,'Base de Datos'!$D$7:$N$4345,6,0))=TRUE,"Sin Celebrar",(VLOOKUP(C168,'Base de Datos'!$D$7:$N$4345,6,0)))</f>
        <v>20806000</v>
      </c>
      <c r="K168" s="617"/>
      <c r="L168" s="541" t="str">
        <f>IF(J168=$W$7,F168, " ")</f>
        <v xml:space="preserve"> </v>
      </c>
      <c r="M168" s="541" t="str">
        <f>IF(J168&lt;F168,(F168-J168)," ")</f>
        <v xml:space="preserve"> </v>
      </c>
      <c r="N168" s="724" t="str">
        <f>IF(ISERROR(VLOOKUP(C168,'Base de Datos'!$D$7:$K$1048576,7,0))=TRUE," ",(VLOOKUP(C168,'Base de Datos'!$D$7:$K$1048576,7,0)))</f>
        <v>SDH-SMINC-24-2016</v>
      </c>
      <c r="O168" s="556">
        <f>IF(ISERROR(VLOOKUP(C168,'Base de Datos'!$D$7:$N$4330,9,0))=TRUE," ",(VLOOKUP(C168,'Base de Datos'!$D$7:$N$4330,9,0)))</f>
        <v>42585</v>
      </c>
      <c r="P168" s="618" t="e">
        <f>VLOOKUP(B168,#REF!,13,0)</f>
        <v>#REF!</v>
      </c>
      <c r="Q168" s="556">
        <f>IF(ISERROR(VLOOKUP(C168,'Base de Datos'!$D$7:$N$4330,10,0))=TRUE," ",(VLOOKUP(C168,'Base de Datos'!$D$7:$N$4330,10,0)))</f>
        <v>42598</v>
      </c>
      <c r="R168" s="556">
        <f>IF(ISERROR(VLOOKUP(C168,'Base de Datos'!$D$7:$N$4330,11,0))=TRUE," ",(VLOOKUP(C168,'Base de Datos'!$D$7:$N$4330,11,0)))</f>
        <v>42720</v>
      </c>
      <c r="S168" s="619" t="s">
        <v>2357</v>
      </c>
      <c r="T168" s="727"/>
      <c r="U168" s="784"/>
    </row>
    <row r="169" spans="2:21" s="620" customFormat="1" ht="24" outlineLevel="1" x14ac:dyDescent="0.25">
      <c r="B169" s="632">
        <v>224</v>
      </c>
      <c r="C169" s="632" t="str">
        <f>$W$6&amp;B169</f>
        <v>2016224</v>
      </c>
      <c r="D169" s="538" t="str">
        <f>IF(ISERROR(VLOOKUP(C169,'Base de Datos'!$D$7:$F$4345,2,0))=TRUE,"",(VLOOKUP(C169,'Base de Datos'!$D$7:$F$4345,2,0)))</f>
        <v>160185-0-2016</v>
      </c>
      <c r="E169" s="712" t="s">
        <v>2338</v>
      </c>
      <c r="F169" s="585">
        <v>4429000</v>
      </c>
      <c r="G169" s="817">
        <v>42096</v>
      </c>
      <c r="H169" s="817"/>
      <c r="I169" s="838" t="str">
        <f ca="1">IF(H169=Hoja1!$J$2," ",(IF(MONTH(G169)=MONTH(TODAY()),IF(DAY(G169)&gt;DAY(TODAY()),"Quedan "&amp;ABS(DAY(G169)-DAY(TODAY()))&amp;" Días","Hace "&amp;ABS(DAY(G169)-DAY(TODAY()))&amp;" Días"),"")))</f>
        <v/>
      </c>
      <c r="J169" s="541">
        <f>IF(ISERROR(VLOOKUP(C169,'Base de Datos'!$D$7:$N$4345,6,0))=TRUE,"Sin Celebrar",(VLOOKUP(C169,'Base de Datos'!$D$7:$N$4345,6,0)))</f>
        <v>4429000</v>
      </c>
      <c r="K169" s="617"/>
      <c r="L169" s="541" t="str">
        <f>IF(J169=$W$7,F169, " ")</f>
        <v xml:space="preserve"> </v>
      </c>
      <c r="M169" s="541" t="str">
        <f>IF(J169&lt;F169,(F169-J169)," ")</f>
        <v xml:space="preserve"> </v>
      </c>
      <c r="N169" s="724" t="str">
        <f>IF(ISERROR(VLOOKUP(C169,'Base de Datos'!$D$7:$K$1048576,7,0))=TRUE," ",(VLOOKUP(C169,'Base de Datos'!$D$7:$K$1048576,7,0)))</f>
        <v>SDH-SMINC-28-2016</v>
      </c>
      <c r="O169" s="556">
        <f>IF(ISERROR(VLOOKUP(C169,'Base de Datos'!$D$7:$N$4330,9,0))=TRUE," ",(VLOOKUP(C169,'Base de Datos'!$D$7:$N$4330,9,0)))</f>
        <v>42578</v>
      </c>
      <c r="P169" s="618" t="e">
        <f>VLOOKUP(B169,#REF!,13,0)</f>
        <v>#REF!</v>
      </c>
      <c r="Q169" s="556">
        <f>IF(ISERROR(VLOOKUP(C169,'Base de Datos'!$D$7:$N$4330,10,0))=TRUE," ",(VLOOKUP(C169,'Base de Datos'!$D$7:$N$4330,10,0)))</f>
        <v>42608</v>
      </c>
      <c r="R169" s="556">
        <f>IF(ISERROR(VLOOKUP(C169,'Base de Datos'!$D$7:$N$4330,11,0))=TRUE," ",(VLOOKUP(C169,'Base de Datos'!$D$7:$N$4330,11,0)))</f>
        <v>42700</v>
      </c>
      <c r="S169" s="619" t="s">
        <v>2356</v>
      </c>
      <c r="T169" s="727"/>
      <c r="U169" s="784"/>
    </row>
    <row r="170" spans="2:21" s="620" customFormat="1" ht="24" outlineLevel="1" x14ac:dyDescent="0.25">
      <c r="B170" s="711">
        <v>230</v>
      </c>
      <c r="C170" s="632" t="str">
        <f>$W$6&amp;B170</f>
        <v>2016230</v>
      </c>
      <c r="D170" s="538" t="str">
        <f>IF(ISERROR(VLOOKUP(C170,'Base de Datos'!$D$7:$F$4345,2,0))=TRUE,"",(VLOOKUP(C170,'Base de Datos'!$D$7:$F$4345,2,0)))</f>
        <v>160176-0-2016</v>
      </c>
      <c r="E170" s="712" t="s">
        <v>2339</v>
      </c>
      <c r="F170" s="713">
        <v>6180000</v>
      </c>
      <c r="G170" s="820">
        <v>42494</v>
      </c>
      <c r="H170" s="817"/>
      <c r="I170" s="838" t="str">
        <f ca="1">IF(H170=Hoja1!$J$2," ",(IF(MONTH(G170)=MONTH(TODAY()),IF(DAY(G170)&gt;DAY(TODAY()),"Quedan "&amp;ABS(DAY(G170)-DAY(TODAY()))&amp;" Días","Hace "&amp;ABS(DAY(G170)-DAY(TODAY()))&amp;" Días"),"")))</f>
        <v/>
      </c>
      <c r="J170" s="541">
        <f>IF(ISERROR(VLOOKUP(C170,'Base de Datos'!$D$7:$N$4345,6,0))=TRUE,"Sin Celebrar",(VLOOKUP(C170,'Base de Datos'!$D$7:$N$4345,6,0)))</f>
        <v>6180000</v>
      </c>
      <c r="K170" s="714"/>
      <c r="L170" s="541" t="str">
        <f>IF(J170=$W$7,F170, " ")</f>
        <v xml:space="preserve"> </v>
      </c>
      <c r="M170" s="541" t="str">
        <f>IF(J170&lt;F170,(F170-J170)," ")</f>
        <v xml:space="preserve"> </v>
      </c>
      <c r="N170" s="724" t="str">
        <f>IF(ISERROR(VLOOKUP(C170,'Base de Datos'!$D$7:$K$1048576,7,0))=TRUE," ",(VLOOKUP(C170,'Base de Datos'!$D$7:$K$1048576,7,0)))</f>
        <v>SDH-SMINC-23-2016</v>
      </c>
      <c r="O170" s="556">
        <f>IF(ISERROR(VLOOKUP(C170,'Base de Datos'!$D$7:$N$4330,9,0))=TRUE," ",(VLOOKUP(C170,'Base de Datos'!$D$7:$N$4330,9,0)))</f>
        <v>42570</v>
      </c>
      <c r="P170" s="618" t="e">
        <f>VLOOKUP(B170,#REF!,13,0)</f>
        <v>#REF!</v>
      </c>
      <c r="Q170" s="556">
        <f>IF(ISERROR(VLOOKUP(C170,'Base de Datos'!$D$7:$N$4330,10,0))=TRUE," ",(VLOOKUP(C170,'Base de Datos'!$D$7:$N$4330,10,0)))</f>
        <v>42590</v>
      </c>
      <c r="R170" s="556">
        <f>IF(ISERROR(VLOOKUP(C170,'Base de Datos'!$D$7:$N$4330,11,0))=TRUE," ",(VLOOKUP(C170,'Base de Datos'!$D$7:$N$4330,11,0)))</f>
        <v>42682</v>
      </c>
      <c r="S170" s="619" t="s">
        <v>2356</v>
      </c>
      <c r="T170" s="727"/>
      <c r="U170" s="784"/>
    </row>
    <row r="171" spans="2:21" s="620" customFormat="1" ht="24" outlineLevel="1" x14ac:dyDescent="0.25">
      <c r="B171" s="711">
        <v>231</v>
      </c>
      <c r="C171" s="632" t="str">
        <f>$W$6&amp;B171</f>
        <v>2016231</v>
      </c>
      <c r="D171" s="538" t="str">
        <f>IF(ISERROR(VLOOKUP(C171,'Base de Datos'!$D$7:$F$4345,2,0))=TRUE,"",(VLOOKUP(C171,'Base de Datos'!$D$7:$F$4345,2,0)))</f>
        <v/>
      </c>
      <c r="E171" s="712" t="s">
        <v>2340</v>
      </c>
      <c r="F171" s="713">
        <v>53964000</v>
      </c>
      <c r="G171" s="820">
        <v>42384</v>
      </c>
      <c r="H171" s="817"/>
      <c r="I171" s="838" t="str">
        <f ca="1">IF(H171=Hoja1!$J$2," ",(IF(MONTH(G171)=MONTH(TODAY()),IF(DAY(G171)&gt;DAY(TODAY()),"Quedan "&amp;ABS(DAY(G171)-DAY(TODAY()))&amp;" Días","Hace "&amp;ABS(DAY(G171)-DAY(TODAY()))&amp;" Días"),"")))</f>
        <v>Hace 3 Días</v>
      </c>
      <c r="J171" s="541" t="str">
        <f>IF(ISERROR(VLOOKUP(C171,'Base de Datos'!$D$7:$N$4345,6,0))=TRUE,"Sin Celebrar",(VLOOKUP(C171,'Base de Datos'!$D$7:$N$4345,6,0)))</f>
        <v>Sin Celebrar</v>
      </c>
      <c r="K171" s="714"/>
      <c r="L171" s="541">
        <f>IF(J171=$W$7,F171, " ")</f>
        <v>53964000</v>
      </c>
      <c r="M171" s="541" t="str">
        <f>IF(J171&lt;F171,(F171-J171)," ")</f>
        <v xml:space="preserve"> </v>
      </c>
      <c r="N171" s="724" t="str">
        <f>IF(ISERROR(VLOOKUP(C171,'Base de Datos'!$D$7:$K$1048576,7,0))=TRUE," ",(VLOOKUP(C171,'Base de Datos'!$D$7:$K$1048576,7,0)))</f>
        <v xml:space="preserve"> </v>
      </c>
      <c r="O171" s="556" t="str">
        <f>IF(ISERROR(VLOOKUP(C171,'Base de Datos'!$D$7:$N$4330,9,0))=TRUE," ",(VLOOKUP(C171,'Base de Datos'!$D$7:$N$4330,9,0)))</f>
        <v xml:space="preserve"> </v>
      </c>
      <c r="P171" s="618" t="e">
        <f>VLOOKUP(B171,#REF!,13,0)</f>
        <v>#REF!</v>
      </c>
      <c r="Q171" s="556" t="str">
        <f>IF(ISERROR(VLOOKUP(C171,'Base de Datos'!$D$7:$N$4330,10,0))=TRUE," ",(VLOOKUP(C171,'Base de Datos'!$D$7:$N$4330,10,0)))</f>
        <v xml:space="preserve"> </v>
      </c>
      <c r="R171" s="556" t="str">
        <f>IF(ISERROR(VLOOKUP(C171,'Base de Datos'!$D$7:$N$4330,11,0))=TRUE," ",(VLOOKUP(C171,'Base de Datos'!$D$7:$N$4330,11,0)))</f>
        <v xml:space="preserve"> </v>
      </c>
      <c r="S171" s="619" t="s">
        <v>2356</v>
      </c>
      <c r="T171" s="727"/>
      <c r="U171" s="784"/>
    </row>
    <row r="172" spans="2:21" s="620" customFormat="1" outlineLevel="1" x14ac:dyDescent="0.25">
      <c r="B172" s="816"/>
      <c r="C172" s="816"/>
      <c r="D172" s="816"/>
      <c r="E172" s="619" t="s">
        <v>1938</v>
      </c>
      <c r="F172" s="585"/>
      <c r="G172" s="817"/>
      <c r="H172" s="817"/>
      <c r="I172" s="539"/>
      <c r="J172" s="713"/>
      <c r="K172" s="617"/>
      <c r="L172" s="713"/>
      <c r="M172" s="713" t="str">
        <f>IF(J172&lt;F172,(F172-J172)," ")</f>
        <v xml:space="preserve"> </v>
      </c>
      <c r="N172" s="785" t="str">
        <f>IF(ISERROR(VLOOKUP(B172,'Base de Datos'!$C$7:$K$1048576,7,0))=TRUE," ",(VLOOKUP(B172,'Base de Datos'!$C$7:$K$1048576,7,0)))</f>
        <v xml:space="preserve"> </v>
      </c>
      <c r="O172" s="618" t="str">
        <f>IF(ISERROR(VLOOKUP(B172,'Base de Datos'!$C$7:$N$315,9,0))=TRUE," ",(VLOOKUP(B172,'Base de Datos'!$C$7:$N$315,9,0)))</f>
        <v xml:space="preserve"> </v>
      </c>
      <c r="P172" s="619"/>
      <c r="Q172" s="715" t="str">
        <f>IF(ISERROR(VLOOKUP(B172,'Base de Datos'!$C$7:$N$315,10,0))=TRUE," ",(VLOOKUP(B172,'Base de Datos'!$C$7:$N$315,10,0)))</f>
        <v xml:space="preserve"> </v>
      </c>
      <c r="R172" s="715" t="str">
        <f>IF(ISERROR(VLOOKUP(B172,'Base de Datos'!$C$7:$N$315,11,0))=TRUE," ",(VLOOKUP(B172,'Base de Datos'!$C$7:$N$315,11,0)))</f>
        <v xml:space="preserve"> </v>
      </c>
      <c r="S172" s="619"/>
      <c r="T172" s="727"/>
      <c r="U172" s="784"/>
    </row>
    <row r="173" spans="2:21" s="620" customFormat="1" outlineLevel="1" x14ac:dyDescent="0.25">
      <c r="B173" s="816"/>
      <c r="C173" s="816"/>
      <c r="D173" s="816"/>
      <c r="E173" s="816"/>
      <c r="F173" s="585"/>
      <c r="G173" s="817"/>
      <c r="H173" s="817"/>
      <c r="I173" s="539"/>
      <c r="J173" s="585"/>
      <c r="K173" s="617"/>
      <c r="L173" s="585"/>
      <c r="M173" s="585"/>
      <c r="N173" s="695"/>
      <c r="O173" s="618"/>
      <c r="P173" s="619"/>
      <c r="Q173" s="618"/>
      <c r="R173" s="618"/>
      <c r="S173" s="619"/>
      <c r="T173" s="727"/>
      <c r="U173" s="784"/>
    </row>
    <row r="174" spans="2:21" x14ac:dyDescent="0.25">
      <c r="B174" s="1150" t="s">
        <v>1673</v>
      </c>
      <c r="C174" s="1150"/>
      <c r="D174" s="1150"/>
      <c r="E174" s="1150"/>
      <c r="F174" s="805"/>
      <c r="G174" s="833">
        <f>+G175</f>
        <v>0</v>
      </c>
      <c r="H174" s="833">
        <f>+H175</f>
        <v>0</v>
      </c>
      <c r="I174" s="798"/>
      <c r="J174" s="797">
        <f>+J175</f>
        <v>0</v>
      </c>
      <c r="K174" s="799" t="e">
        <f>J174/F174</f>
        <v>#DIV/0!</v>
      </c>
      <c r="L174" s="797"/>
      <c r="M174" s="797">
        <f>SUM(M175)</f>
        <v>0</v>
      </c>
      <c r="N174" s="801"/>
      <c r="O174" s="802" t="str">
        <f>IF(ISERROR(VLOOKUP(B174,'Base de Datos'!$C$7:$N$315,8,0))=TRUE," ",(VLOOKUP(B174,'Base de Datos'!$C$7:$N$315,8,0)))</f>
        <v xml:space="preserve"> </v>
      </c>
      <c r="P174" s="803"/>
      <c r="Q174" s="802" t="str">
        <f>IF(ISERROR(VLOOKUP(B174,'Base de Datos'!$C$7:$N$315,9,0))=TRUE," ",(VLOOKUP(B174,'Base de Datos'!$C$7:$N$315,9,0)))</f>
        <v xml:space="preserve"> </v>
      </c>
      <c r="R174" s="802" t="str">
        <f>IF(ISERROR(VLOOKUP(B174,'Base de Datos'!$C$7:$N$315,10,0))=TRUE," ",(VLOOKUP(B174,'Base de Datos'!$C$7:$N$315,10,0)))</f>
        <v xml:space="preserve"> </v>
      </c>
      <c r="S174" s="795"/>
      <c r="T174" s="727"/>
      <c r="U174" s="639"/>
    </row>
    <row r="175" spans="2:21" x14ac:dyDescent="0.25">
      <c r="B175" s="1151" t="s">
        <v>1842</v>
      </c>
      <c r="C175" s="1151"/>
      <c r="D175" s="1151"/>
      <c r="E175" s="1151"/>
      <c r="F175" s="790"/>
      <c r="G175" s="796">
        <f>COUNT(G177)</f>
        <v>0</v>
      </c>
      <c r="H175" s="796">
        <f>COUNTIF(H177:H178,Hoja1!$J$2)</f>
        <v>0</v>
      </c>
      <c r="I175" s="791"/>
      <c r="J175" s="790">
        <f>+J177</f>
        <v>0</v>
      </c>
      <c r="K175" s="792" t="e">
        <f>J175/F175</f>
        <v>#DIV/0!</v>
      </c>
      <c r="L175" s="790"/>
      <c r="M175" s="790"/>
      <c r="N175" s="793"/>
      <c r="O175" s="794" t="str">
        <f>IF(ISERROR(VLOOKUP(B175,'Base de Datos'!$C$7:$N$315,8,0))=TRUE," ",(VLOOKUP(B175,'Base de Datos'!$C$7:$N$315,8,0)))</f>
        <v xml:space="preserve"> </v>
      </c>
      <c r="P175" s="795"/>
      <c r="Q175" s="794" t="str">
        <f>IF(ISERROR(VLOOKUP(B175,'Base de Datos'!$C$7:$N$315,9,0))=TRUE," ",(VLOOKUP(B175,'Base de Datos'!$C$7:$N$315,9,0)))</f>
        <v xml:space="preserve"> </v>
      </c>
      <c r="R175" s="794" t="str">
        <f>IF(ISERROR(VLOOKUP(B175,'Base de Datos'!$C$7:$N$315,10,0))=TRUE," ",(VLOOKUP(B175,'Base de Datos'!$C$7:$N$315,10,0)))</f>
        <v xml:space="preserve"> </v>
      </c>
      <c r="S175" s="795"/>
      <c r="T175" s="727"/>
      <c r="U175" s="639"/>
    </row>
    <row r="176" spans="2:21" s="620" customFormat="1" ht="24" outlineLevel="1" x14ac:dyDescent="0.25">
      <c r="B176" s="632" t="s">
        <v>2348</v>
      </c>
      <c r="C176" s="632"/>
      <c r="D176" s="632" t="s">
        <v>912</v>
      </c>
      <c r="E176" s="632" t="s">
        <v>1825</v>
      </c>
      <c r="F176" s="781" t="s">
        <v>1849</v>
      </c>
      <c r="G176" s="817" t="s">
        <v>2350</v>
      </c>
      <c r="H176" s="817" t="s">
        <v>2354</v>
      </c>
      <c r="I176" s="539" t="s">
        <v>2355</v>
      </c>
      <c r="J176" s="632" t="s">
        <v>1848</v>
      </c>
      <c r="K176" s="617"/>
      <c r="L176" s="632" t="s">
        <v>1942</v>
      </c>
      <c r="M176" s="632" t="s">
        <v>1943</v>
      </c>
      <c r="N176" s="782" t="s">
        <v>1123</v>
      </c>
      <c r="O176" s="783" t="s">
        <v>1850</v>
      </c>
      <c r="P176" s="632" t="s">
        <v>1851</v>
      </c>
      <c r="Q176" s="632" t="s">
        <v>1852</v>
      </c>
      <c r="R176" s="632" t="s">
        <v>375</v>
      </c>
      <c r="S176" s="632" t="s">
        <v>1853</v>
      </c>
      <c r="T176" s="727"/>
      <c r="U176" s="784"/>
    </row>
    <row r="177" spans="2:21" s="620" customFormat="1" outlineLevel="1" x14ac:dyDescent="0.25">
      <c r="B177" s="632"/>
      <c r="C177" s="632"/>
      <c r="D177" s="619"/>
      <c r="E177" s="619"/>
      <c r="F177" s="539"/>
      <c r="G177" s="819"/>
      <c r="H177" s="819"/>
      <c r="I177" s="838" t="str">
        <f ca="1">IF(H177=Hoja1!$J$2," ",(IF(MONTH(G177)=MONTH(TODAY()),IF(DAY(G177)&gt;DAY(TODAY()),"Quedan "&amp;ABS(DAY(G177)-DAY(TODAY()))&amp;" Días","Hace "&amp;ABS(DAY(G177)-DAY(TODAY()))&amp;" Días"),"")))</f>
        <v>Hace 18 Días</v>
      </c>
      <c r="J177" s="585"/>
      <c r="K177" s="617"/>
      <c r="L177" s="585"/>
      <c r="M177" s="585"/>
      <c r="N177" s="695"/>
      <c r="O177" s="618"/>
      <c r="P177" s="619"/>
      <c r="Q177" s="618"/>
      <c r="R177" s="618"/>
      <c r="S177" s="619"/>
      <c r="T177" s="727"/>
      <c r="U177" s="784"/>
    </row>
    <row r="178" spans="2:21" s="620" customFormat="1" outlineLevel="1" x14ac:dyDescent="0.25">
      <c r="B178" s="779"/>
      <c r="C178" s="780"/>
      <c r="D178" s="779"/>
      <c r="E178" s="779"/>
      <c r="F178" s="585"/>
      <c r="G178" s="817"/>
      <c r="H178" s="817"/>
      <c r="I178" s="539"/>
      <c r="J178" s="585"/>
      <c r="K178" s="617"/>
      <c r="L178" s="585"/>
      <c r="M178" s="585"/>
      <c r="N178" s="695"/>
      <c r="O178" s="618"/>
      <c r="P178" s="619"/>
      <c r="Q178" s="618"/>
      <c r="R178" s="618"/>
      <c r="S178" s="619"/>
      <c r="T178" s="727"/>
      <c r="U178" s="784"/>
    </row>
    <row r="179" spans="2:21" x14ac:dyDescent="0.25">
      <c r="B179" s="1149" t="s">
        <v>1675</v>
      </c>
      <c r="C179" s="1149"/>
      <c r="D179" s="1149"/>
      <c r="E179" s="1149"/>
      <c r="F179" s="790"/>
      <c r="G179" s="796">
        <f>COUNT(G181:G182)</f>
        <v>2</v>
      </c>
      <c r="H179" s="796">
        <f>COUNTIF(H181:H182,Hoja1!$J$2)</f>
        <v>0</v>
      </c>
      <c r="I179" s="791"/>
      <c r="J179" s="790">
        <f>SUM(J181:J182)</f>
        <v>1148500000</v>
      </c>
      <c r="K179" s="792" t="e">
        <f>J179/F179</f>
        <v>#DIV/0!</v>
      </c>
      <c r="L179" s="790">
        <f>SUM(L181:L182)</f>
        <v>400000000</v>
      </c>
      <c r="M179" s="790">
        <f>+F179-J179-L179</f>
        <v>-1548500000</v>
      </c>
      <c r="N179" s="793"/>
      <c r="O179" s="794" t="str">
        <f>IF(ISERROR(VLOOKUP(B179,'Base de Datos'!$C$7:$N$315,8,0))=TRUE," ",(VLOOKUP(B179,'Base de Datos'!$C$7:$N$315,8,0)))</f>
        <v xml:space="preserve"> </v>
      </c>
      <c r="P179" s="795"/>
      <c r="Q179" s="794" t="str">
        <f>IF(ISERROR(VLOOKUP(B179,'Base de Datos'!$C$7:$N$315,9,0))=TRUE," ",(VLOOKUP(B179,'Base de Datos'!$C$7:$N$315,9,0)))</f>
        <v xml:space="preserve"> </v>
      </c>
      <c r="R179" s="794" t="str">
        <f>IF(ISERROR(VLOOKUP(B179,'Base de Datos'!$C$7:$N$315,10,0))=TRUE," ",(VLOOKUP(B179,'Base de Datos'!$C$7:$N$315,10,0)))</f>
        <v xml:space="preserve"> </v>
      </c>
      <c r="S179" s="795"/>
      <c r="T179" s="727"/>
      <c r="U179" s="639"/>
    </row>
    <row r="180" spans="2:21" s="620" customFormat="1" ht="24" outlineLevel="1" x14ac:dyDescent="0.25">
      <c r="B180" s="632" t="s">
        <v>2348</v>
      </c>
      <c r="C180" s="632"/>
      <c r="D180" s="632" t="s">
        <v>912</v>
      </c>
      <c r="E180" s="632" t="s">
        <v>1825</v>
      </c>
      <c r="F180" s="781" t="s">
        <v>1849</v>
      </c>
      <c r="G180" s="817" t="s">
        <v>2350</v>
      </c>
      <c r="H180" s="817" t="s">
        <v>2354</v>
      </c>
      <c r="I180" s="539" t="s">
        <v>2355</v>
      </c>
      <c r="J180" s="632" t="s">
        <v>1848</v>
      </c>
      <c r="K180" s="617"/>
      <c r="L180" s="632" t="s">
        <v>1942</v>
      </c>
      <c r="M180" s="632" t="s">
        <v>1943</v>
      </c>
      <c r="N180" s="782" t="s">
        <v>1123</v>
      </c>
      <c r="O180" s="783" t="s">
        <v>1850</v>
      </c>
      <c r="P180" s="632" t="s">
        <v>1851</v>
      </c>
      <c r="Q180" s="632" t="s">
        <v>1852</v>
      </c>
      <c r="R180" s="632" t="s">
        <v>375</v>
      </c>
      <c r="S180" s="632" t="s">
        <v>1853</v>
      </c>
      <c r="T180" s="727"/>
      <c r="U180" s="784"/>
    </row>
    <row r="181" spans="2:21" s="620" customFormat="1" ht="24" outlineLevel="1" x14ac:dyDescent="0.25">
      <c r="B181" s="632">
        <v>148</v>
      </c>
      <c r="C181" s="632" t="str">
        <f>$W$6&amp;B181</f>
        <v>2016148</v>
      </c>
      <c r="D181" s="538" t="str">
        <f>IF(ISERROR(VLOOKUP(C181,'Base de Datos'!$D$7:$F$4345,2,0))=TRUE,"",(VLOOKUP(C181,'Base de Datos'!$D$7:$F$4345,2,0)))</f>
        <v/>
      </c>
      <c r="E181" s="619" t="s">
        <v>2341</v>
      </c>
      <c r="F181" s="585">
        <v>400000000</v>
      </c>
      <c r="G181" s="817">
        <v>42489</v>
      </c>
      <c r="H181" s="817"/>
      <c r="I181" s="838" t="str">
        <f ca="1">IF(H181=Hoja1!$J$2," ",(IF(MONTH(G181)=MONTH(TODAY()),IF(DAY(G181)&gt;DAY(TODAY()),"Quedan "&amp;ABS(DAY(G181)-DAY(TODAY()))&amp;" Días","Hace "&amp;ABS(DAY(G181)-DAY(TODAY()))&amp;" Días"),"")))</f>
        <v/>
      </c>
      <c r="J181" s="541" t="str">
        <f>IF(ISERROR(VLOOKUP(C181,'Base de Datos'!$D$7:$N$4345,6,0))=TRUE,"Sin Celebrar",(VLOOKUP(C181,'Base de Datos'!$D$7:$N$4345,6,0)))</f>
        <v>Sin Celebrar</v>
      </c>
      <c r="K181" s="617"/>
      <c r="L181" s="541">
        <f>IF(J181=$W$7,F181, " ")</f>
        <v>400000000</v>
      </c>
      <c r="M181" s="541" t="str">
        <f>IF(J181&lt;F181,(F181-J181)," ")</f>
        <v xml:space="preserve"> </v>
      </c>
      <c r="N181" s="724" t="str">
        <f>IF(ISERROR(VLOOKUP(C181,'Base de Datos'!$D$7:$K$1048576,7,0))=TRUE," ",(VLOOKUP(C181,'Base de Datos'!$D$7:$K$1048576,7,0)))</f>
        <v xml:space="preserve"> </v>
      </c>
      <c r="O181" s="556" t="str">
        <f>IF(ISERROR(VLOOKUP(C181,'Base de Datos'!$D$7:$N$4330,9,0))=TRUE," ",(VLOOKUP(C181,'Base de Datos'!$D$7:$N$4330,9,0)))</f>
        <v xml:space="preserve"> </v>
      </c>
      <c r="P181" s="618" t="e">
        <f>VLOOKUP(B181,#REF!,13,0)</f>
        <v>#REF!</v>
      </c>
      <c r="Q181" s="556" t="str">
        <f>IF(ISERROR(VLOOKUP(C181,'Base de Datos'!$D$7:$N$4330,10,0))=TRUE," ",(VLOOKUP(C181,'Base de Datos'!$D$7:$N$4330,10,0)))</f>
        <v xml:space="preserve"> </v>
      </c>
      <c r="R181" s="556" t="str">
        <f>IF(ISERROR(VLOOKUP(C181,'Base de Datos'!$D$7:$N$4330,11,0))=TRUE," ",(VLOOKUP(C181,'Base de Datos'!$D$7:$N$4330,11,0)))</f>
        <v xml:space="preserve"> </v>
      </c>
      <c r="S181" s="619" t="s">
        <v>2080</v>
      </c>
      <c r="T181" s="727"/>
      <c r="U181" s="784"/>
    </row>
    <row r="182" spans="2:21" s="620" customFormat="1" ht="24" outlineLevel="1" x14ac:dyDescent="0.25">
      <c r="B182" s="711">
        <v>149</v>
      </c>
      <c r="C182" s="632" t="str">
        <f>$W$6&amp;B182</f>
        <v>2016149</v>
      </c>
      <c r="D182" s="538" t="str">
        <f>IF(ISERROR(VLOOKUP(C182,'Base de Datos'!$D$7:$F$4345,2,0))=TRUE,"",(VLOOKUP(C182,'Base de Datos'!$D$7:$F$4345,2,0)))</f>
        <v>160082-0-2016</v>
      </c>
      <c r="E182" s="712" t="s">
        <v>2342</v>
      </c>
      <c r="F182" s="713">
        <v>1626407000</v>
      </c>
      <c r="G182" s="820">
        <v>42371</v>
      </c>
      <c r="H182" s="817"/>
      <c r="I182" s="838" t="str">
        <f ca="1">IF(H182=Hoja1!$J$2," ",(IF(MONTH(G182)=MONTH(TODAY()),IF(DAY(G182)&gt;DAY(TODAY()),"Quedan "&amp;ABS(DAY(G182)-DAY(TODAY()))&amp;" Días","Hace "&amp;ABS(DAY(G182)-DAY(TODAY()))&amp;" Días"),"")))</f>
        <v>Hace 16 Días</v>
      </c>
      <c r="J182" s="541">
        <f>IF(ISERROR(VLOOKUP(C182,'Base de Datos'!$D$7:$N$4345,6,0))=TRUE,"Sin Celebrar",(VLOOKUP(C182,'Base de Datos'!$D$7:$N$4345,6,0)))</f>
        <v>1148500000</v>
      </c>
      <c r="K182" s="714"/>
      <c r="L182" s="541" t="str">
        <f>IF(J182=$W$7,F182, " ")</f>
        <v xml:space="preserve"> </v>
      </c>
      <c r="M182" s="541">
        <f>IF(J182&lt;F182,(F182-J182)," ")</f>
        <v>477907000</v>
      </c>
      <c r="N182" s="724" t="str">
        <f>IF(ISERROR(VLOOKUP(C182,'Base de Datos'!$D$7:$K$1048576,7,0))=TRUE," ",(VLOOKUP(C182,'Base de Datos'!$D$7:$K$1048576,7,0)))</f>
        <v>160082-0-2016</v>
      </c>
      <c r="O182" s="556">
        <f>IF(ISERROR(VLOOKUP(C182,'Base de Datos'!$D$7:$N$4330,9,0))=TRUE," ",(VLOOKUP(C182,'Base de Datos'!$D$7:$N$4330,9,0)))</f>
        <v>42480</v>
      </c>
      <c r="P182" s="618" t="e">
        <f>VLOOKUP(B182,#REF!,13,0)</f>
        <v>#REF!</v>
      </c>
      <c r="Q182" s="556">
        <f>IF(ISERROR(VLOOKUP(C182,'Base de Datos'!$D$7:$N$4330,10,0))=TRUE," ",(VLOOKUP(C182,'Base de Datos'!$D$7:$N$4330,10,0)))</f>
        <v>42481</v>
      </c>
      <c r="R182" s="556">
        <f>IF(ISERROR(VLOOKUP(C182,'Base de Datos'!$D$7:$N$4330,11,0))=TRUE," ",(VLOOKUP(C182,'Base de Datos'!$D$7:$N$4330,11,0)))</f>
        <v>42787</v>
      </c>
      <c r="S182" s="619" t="s">
        <v>981</v>
      </c>
      <c r="T182" s="727"/>
      <c r="U182" s="784"/>
    </row>
    <row r="183" spans="2:21" s="620" customFormat="1" outlineLevel="1" x14ac:dyDescent="0.25">
      <c r="B183" s="632"/>
      <c r="C183" s="632"/>
      <c r="D183" s="816"/>
      <c r="E183" s="619" t="s">
        <v>1938</v>
      </c>
      <c r="F183" s="585"/>
      <c r="G183" s="817"/>
      <c r="H183" s="817"/>
      <c r="I183" s="539"/>
      <c r="J183" s="585"/>
      <c r="K183" s="617"/>
      <c r="L183" s="713"/>
      <c r="M183" s="585"/>
      <c r="N183" s="785" t="str">
        <f>IF(ISERROR(VLOOKUP(B183,'Base de Datos'!$C$7:$K$1048576,7,0))=TRUE," ",(VLOOKUP(B183,'Base de Datos'!$C$7:$K$1048576,7,0)))</f>
        <v xml:space="preserve"> </v>
      </c>
      <c r="O183" s="618"/>
      <c r="P183" s="619"/>
      <c r="Q183" s="715"/>
      <c r="R183" s="715"/>
      <c r="S183" s="619"/>
      <c r="T183" s="727"/>
      <c r="U183" s="784"/>
    </row>
    <row r="184" spans="2:21" s="620" customFormat="1" outlineLevel="1" x14ac:dyDescent="0.25">
      <c r="B184" s="816"/>
      <c r="C184" s="816"/>
      <c r="D184" s="816"/>
      <c r="E184" s="816"/>
      <c r="F184" s="585"/>
      <c r="G184" s="817"/>
      <c r="H184" s="817"/>
      <c r="I184" s="539"/>
      <c r="J184" s="585"/>
      <c r="K184" s="617"/>
      <c r="L184" s="585"/>
      <c r="M184" s="585"/>
      <c r="N184" s="695"/>
      <c r="O184" s="618"/>
      <c r="P184" s="619"/>
      <c r="Q184" s="618"/>
      <c r="R184" s="618"/>
      <c r="S184" s="619"/>
      <c r="T184" s="727"/>
      <c r="U184" s="784"/>
    </row>
    <row r="185" spans="2:21" x14ac:dyDescent="0.25">
      <c r="B185" s="1129" t="s">
        <v>1676</v>
      </c>
      <c r="C185" s="1129"/>
      <c r="D185" s="1129"/>
      <c r="E185" s="1129"/>
      <c r="F185" s="786"/>
      <c r="G185" s="837">
        <f>+G186</f>
        <v>0</v>
      </c>
      <c r="H185" s="837">
        <f>+H186</f>
        <v>0</v>
      </c>
      <c r="I185" s="593"/>
      <c r="J185" s="592">
        <f>+J186</f>
        <v>0</v>
      </c>
      <c r="K185" s="612" t="e">
        <f>J185/F185</f>
        <v>#DIV/0!</v>
      </c>
      <c r="L185" s="592">
        <f>+L186</f>
        <v>0</v>
      </c>
      <c r="M185" s="592">
        <f>SUM(M186)</f>
        <v>0</v>
      </c>
      <c r="N185" s="687"/>
      <c r="O185" s="594" t="str">
        <f>IF(ISERROR(VLOOKUP(B185,'Base de Datos'!$C$7:$N$315,8,0))=TRUE," ",(VLOOKUP(B185,'Base de Datos'!$C$7:$N$315,8,0)))</f>
        <v xml:space="preserve"> </v>
      </c>
      <c r="P185" s="595"/>
      <c r="Q185" s="594" t="str">
        <f>IF(ISERROR(VLOOKUP(B185,'Base de Datos'!$C$7:$N$315,9,0))=TRUE," ",(VLOOKUP(B185,'Base de Datos'!$C$7:$N$315,9,0)))</f>
        <v xml:space="preserve"> </v>
      </c>
      <c r="R185" s="594" t="str">
        <f>IF(ISERROR(VLOOKUP(B185,'Base de Datos'!$C$7:$N$315,10,0))=TRUE," ",(VLOOKUP(B185,'Base de Datos'!$C$7:$N$315,10,0)))</f>
        <v xml:space="preserve"> </v>
      </c>
      <c r="S185" s="597"/>
      <c r="T185" s="727"/>
      <c r="U185" s="639"/>
    </row>
    <row r="186" spans="2:21" x14ac:dyDescent="0.25">
      <c r="B186" s="1151" t="s">
        <v>1841</v>
      </c>
      <c r="C186" s="1151"/>
      <c r="D186" s="1151"/>
      <c r="E186" s="1151"/>
      <c r="F186" s="790"/>
      <c r="G186" s="796">
        <f>COUNT(G188)</f>
        <v>0</v>
      </c>
      <c r="H186" s="796">
        <f>COUNTIF(H188:H189,Hoja1!$J$2)</f>
        <v>0</v>
      </c>
      <c r="I186" s="791"/>
      <c r="J186" s="790">
        <f>+J188</f>
        <v>0</v>
      </c>
      <c r="K186" s="792" t="e">
        <f>J186/F186</f>
        <v>#DIV/0!</v>
      </c>
      <c r="L186" s="790">
        <f>+L188</f>
        <v>0</v>
      </c>
      <c r="M186" s="790">
        <f>SUM(M188)</f>
        <v>0</v>
      </c>
      <c r="N186" s="793"/>
      <c r="O186" s="794" t="str">
        <f>IF(ISERROR(VLOOKUP(B186,'Base de Datos'!$C$7:$N$315,8,0))=TRUE," ",(VLOOKUP(B186,'Base de Datos'!$C$7:$N$315,8,0)))</f>
        <v xml:space="preserve"> </v>
      </c>
      <c r="P186" s="795"/>
      <c r="Q186" s="794" t="str">
        <f>IF(ISERROR(VLOOKUP(B186,'Base de Datos'!$C$7:$N$315,9,0))=TRUE," ",(VLOOKUP(B186,'Base de Datos'!$C$7:$N$315,9,0)))</f>
        <v xml:space="preserve"> </v>
      </c>
      <c r="R186" s="794" t="str">
        <f>IF(ISERROR(VLOOKUP(B186,'Base de Datos'!$C$7:$N$315,10,0))=TRUE," ",(VLOOKUP(B186,'Base de Datos'!$C$7:$N$315,10,0)))</f>
        <v xml:space="preserve"> </v>
      </c>
      <c r="S186" s="795"/>
      <c r="T186" s="727"/>
      <c r="U186" s="639"/>
    </row>
    <row r="187" spans="2:21" s="620" customFormat="1" ht="24" outlineLevel="1" x14ac:dyDescent="0.25">
      <c r="B187" s="632" t="s">
        <v>2348</v>
      </c>
      <c r="C187" s="632"/>
      <c r="D187" s="632" t="s">
        <v>912</v>
      </c>
      <c r="E187" s="632" t="s">
        <v>1825</v>
      </c>
      <c r="F187" s="781" t="s">
        <v>1849</v>
      </c>
      <c r="G187" s="817" t="s">
        <v>2350</v>
      </c>
      <c r="H187" s="817" t="s">
        <v>2354</v>
      </c>
      <c r="I187" s="539" t="s">
        <v>2355</v>
      </c>
      <c r="J187" s="632" t="s">
        <v>1848</v>
      </c>
      <c r="K187" s="617"/>
      <c r="L187" s="632" t="s">
        <v>1942</v>
      </c>
      <c r="M187" s="632" t="s">
        <v>1943</v>
      </c>
      <c r="N187" s="782" t="s">
        <v>1123</v>
      </c>
      <c r="O187" s="783" t="s">
        <v>1850</v>
      </c>
      <c r="P187" s="632" t="s">
        <v>1851</v>
      </c>
      <c r="Q187" s="632" t="s">
        <v>1852</v>
      </c>
      <c r="R187" s="632" t="s">
        <v>375</v>
      </c>
      <c r="S187" s="632" t="s">
        <v>1853</v>
      </c>
      <c r="T187" s="727"/>
      <c r="U187" s="784"/>
    </row>
    <row r="188" spans="2:21" s="620" customFormat="1" outlineLevel="1" x14ac:dyDescent="0.25">
      <c r="B188" s="632"/>
      <c r="C188" s="632"/>
      <c r="D188" s="619"/>
      <c r="E188" s="619"/>
      <c r="F188" s="585"/>
      <c r="G188" s="817"/>
      <c r="H188" s="817"/>
      <c r="I188" s="838" t="str">
        <f ca="1">IF(H188=Hoja1!$J$2," ",(IF(MONTH(G188)=MONTH(TODAY()),IF(DAY(G188)&gt;DAY(TODAY()),"Quedan "&amp;ABS(DAY(G188)-DAY(TODAY()))&amp;" Días","Hace "&amp;ABS(DAY(G188)-DAY(TODAY()))&amp;" Días"),"")))</f>
        <v>Hace 18 Días</v>
      </c>
      <c r="J188" s="585"/>
      <c r="K188" s="617"/>
      <c r="L188" s="585"/>
      <c r="M188" s="619"/>
      <c r="N188" s="700"/>
      <c r="O188" s="618"/>
      <c r="P188" s="619"/>
      <c r="Q188" s="618"/>
      <c r="R188" s="618"/>
      <c r="S188" s="619"/>
      <c r="T188" s="727"/>
      <c r="U188" s="784"/>
    </row>
    <row r="189" spans="2:21" s="620" customFormat="1" outlineLevel="1" x14ac:dyDescent="0.25">
      <c r="B189" s="632"/>
      <c r="C189" s="632"/>
      <c r="D189" s="619"/>
      <c r="E189" s="619"/>
      <c r="F189" s="585"/>
      <c r="G189" s="817"/>
      <c r="H189" s="817"/>
      <c r="I189" s="585"/>
      <c r="J189" s="585"/>
      <c r="K189" s="617"/>
      <c r="L189" s="585"/>
      <c r="M189" s="619"/>
      <c r="N189" s="700"/>
      <c r="O189" s="618"/>
      <c r="P189" s="619"/>
      <c r="Q189" s="618"/>
      <c r="R189" s="618"/>
      <c r="S189" s="619"/>
      <c r="T189" s="727"/>
      <c r="U189" s="784"/>
    </row>
    <row r="190" spans="2:21" x14ac:dyDescent="0.25">
      <c r="B190" s="1125" t="s">
        <v>1691</v>
      </c>
      <c r="C190" s="1125"/>
      <c r="D190" s="1125"/>
      <c r="E190" s="1125"/>
      <c r="F190" s="546"/>
      <c r="G190" s="834">
        <f t="shared" ref="G190:H194" si="14">+G191</f>
        <v>9</v>
      </c>
      <c r="H190" s="834">
        <f t="shared" si="14"/>
        <v>0</v>
      </c>
      <c r="I190" s="547"/>
      <c r="J190" s="546">
        <f t="shared" ref="J190:M194" si="15">+J191</f>
        <v>4598191000</v>
      </c>
      <c r="K190" s="588" t="e">
        <f t="shared" si="15"/>
        <v>#DIV/0!</v>
      </c>
      <c r="L190" s="546">
        <f t="shared" si="15"/>
        <v>610960000</v>
      </c>
      <c r="M190" s="546">
        <f t="shared" si="15"/>
        <v>-5209151000</v>
      </c>
      <c r="N190" s="679"/>
      <c r="O190" s="581"/>
      <c r="P190" s="576"/>
      <c r="Q190" s="582" t="str">
        <f>IF(ISERROR(VLOOKUP(B190,'Base de Datos'!$C$7:$N$315,9,0))=TRUE," ",(VLOOKUP(B190,'Base de Datos'!$C$7:$N$315,9,0)))</f>
        <v xml:space="preserve"> </v>
      </c>
      <c r="R190" s="582" t="str">
        <f>IF(ISERROR(VLOOKUP(B190,'Base de Datos'!$C$7:$N$315,10,0))=TRUE," ",(VLOOKUP(B190,'Base de Datos'!$C$7:$N$315,10,0)))</f>
        <v xml:space="preserve"> </v>
      </c>
      <c r="S190" s="576"/>
      <c r="T190" s="727"/>
      <c r="U190" s="639"/>
    </row>
    <row r="191" spans="2:21" x14ac:dyDescent="0.25">
      <c r="B191" s="1121" t="s">
        <v>1690</v>
      </c>
      <c r="C191" s="1121"/>
      <c r="D191" s="1121"/>
      <c r="E191" s="1121"/>
      <c r="F191" s="544"/>
      <c r="G191" s="835">
        <f t="shared" si="14"/>
        <v>9</v>
      </c>
      <c r="H191" s="835">
        <f t="shared" si="14"/>
        <v>0</v>
      </c>
      <c r="I191" s="545"/>
      <c r="J191" s="548">
        <f t="shared" si="15"/>
        <v>4598191000</v>
      </c>
      <c r="K191" s="606" t="e">
        <f t="shared" si="15"/>
        <v>#DIV/0!</v>
      </c>
      <c r="L191" s="548">
        <f t="shared" si="15"/>
        <v>610960000</v>
      </c>
      <c r="M191" s="548">
        <f t="shared" si="15"/>
        <v>-5209151000</v>
      </c>
      <c r="N191" s="694"/>
      <c r="O191" s="580" t="str">
        <f>IF(ISERROR(VLOOKUP(B191,'Base de Datos'!$C$7:$N$315,8,0))=TRUE," ",(VLOOKUP(B191,'Base de Datos'!$C$7:$N$315,8,0)))</f>
        <v xml:space="preserve"> </v>
      </c>
      <c r="P191" s="574"/>
      <c r="Q191" s="580" t="str">
        <f>IF(ISERROR(VLOOKUP(B191,'Base de Datos'!$C$7:$N$315,9,0))=TRUE," ",(VLOOKUP(B191,'Base de Datos'!$C$7:$N$315,9,0)))</f>
        <v xml:space="preserve"> </v>
      </c>
      <c r="R191" s="580" t="str">
        <f>IF(ISERROR(VLOOKUP(B191,'Base de Datos'!$C$7:$N$315,10,0))=TRUE," ",(VLOOKUP(B191,'Base de Datos'!$C$7:$N$315,10,0)))</f>
        <v xml:space="preserve"> </v>
      </c>
      <c r="S191" s="574"/>
      <c r="T191" s="727"/>
      <c r="U191" s="639"/>
    </row>
    <row r="192" spans="2:21" x14ac:dyDescent="0.25">
      <c r="B192" s="1121" t="s">
        <v>1679</v>
      </c>
      <c r="C192" s="1121"/>
      <c r="D192" s="1121"/>
      <c r="E192" s="1121"/>
      <c r="F192" s="548"/>
      <c r="G192" s="828">
        <f t="shared" si="14"/>
        <v>9</v>
      </c>
      <c r="H192" s="828">
        <f t="shared" si="14"/>
        <v>0</v>
      </c>
      <c r="I192" s="545"/>
      <c r="J192" s="548">
        <f t="shared" si="15"/>
        <v>4598191000</v>
      </c>
      <c r="K192" s="606" t="e">
        <f t="shared" si="15"/>
        <v>#DIV/0!</v>
      </c>
      <c r="L192" s="548">
        <f t="shared" si="15"/>
        <v>610960000</v>
      </c>
      <c r="M192" s="548">
        <f t="shared" si="15"/>
        <v>-5209151000</v>
      </c>
      <c r="N192" s="694"/>
      <c r="O192" s="580" t="str">
        <f>IF(ISERROR(VLOOKUP(B192,'Base de Datos'!$C$7:$N$315,8,0))=TRUE," ",(VLOOKUP(B192,'Base de Datos'!$C$7:$N$315,8,0)))</f>
        <v xml:space="preserve"> </v>
      </c>
      <c r="P192" s="574"/>
      <c r="Q192" s="580" t="str">
        <f>IF(ISERROR(VLOOKUP(B192,'Base de Datos'!$C$7:$N$315,9,0))=TRUE," ",(VLOOKUP(B192,'Base de Datos'!$C$7:$N$315,9,0)))</f>
        <v xml:space="preserve"> </v>
      </c>
      <c r="R192" s="580" t="str">
        <f>IF(ISERROR(VLOOKUP(B192,'Base de Datos'!$C$7:$N$315,10,0))=TRUE," ",(VLOOKUP(B192,'Base de Datos'!$C$7:$N$315,10,0)))</f>
        <v xml:space="preserve"> </v>
      </c>
      <c r="S192" s="574"/>
      <c r="T192" s="727"/>
      <c r="U192" s="639"/>
    </row>
    <row r="193" spans="2:21" x14ac:dyDescent="0.25">
      <c r="B193" s="1119" t="s">
        <v>1840</v>
      </c>
      <c r="C193" s="1119"/>
      <c r="D193" s="1119"/>
      <c r="E193" s="1119"/>
      <c r="F193" s="548"/>
      <c r="G193" s="828">
        <f t="shared" si="14"/>
        <v>9</v>
      </c>
      <c r="H193" s="828">
        <f t="shared" si="14"/>
        <v>0</v>
      </c>
      <c r="I193" s="545"/>
      <c r="J193" s="548">
        <f t="shared" si="15"/>
        <v>4598191000</v>
      </c>
      <c r="K193" s="606" t="e">
        <f t="shared" si="15"/>
        <v>#DIV/0!</v>
      </c>
      <c r="L193" s="548">
        <f t="shared" si="15"/>
        <v>610960000</v>
      </c>
      <c r="M193" s="548">
        <f t="shared" si="15"/>
        <v>-5209151000</v>
      </c>
      <c r="N193" s="694"/>
      <c r="O193" s="580" t="str">
        <f>IF(ISERROR(VLOOKUP(B193,'Base de Datos'!$C$7:$N$315,8,0))=TRUE," ",(VLOOKUP(B193,'Base de Datos'!$C$7:$N$315,8,0)))</f>
        <v xml:space="preserve"> </v>
      </c>
      <c r="P193" s="574"/>
      <c r="Q193" s="580" t="str">
        <f>IF(ISERROR(VLOOKUP(B193,'Base de Datos'!$C$7:$N$315,9,0))=TRUE," ",(VLOOKUP(B193,'Base de Datos'!$C$7:$N$315,9,0)))</f>
        <v xml:space="preserve"> </v>
      </c>
      <c r="R193" s="580" t="str">
        <f>IF(ISERROR(VLOOKUP(B193,'Base de Datos'!$C$7:$N$315,10,0))=TRUE," ",(VLOOKUP(B193,'Base de Datos'!$C$7:$N$315,10,0)))</f>
        <v xml:space="preserve"> </v>
      </c>
      <c r="S193" s="574"/>
      <c r="T193" s="727"/>
      <c r="U193" s="639"/>
    </row>
    <row r="194" spans="2:21" x14ac:dyDescent="0.25">
      <c r="B194" s="1119" t="s">
        <v>1839</v>
      </c>
      <c r="C194" s="1119"/>
      <c r="D194" s="1119"/>
      <c r="E194" s="1119"/>
      <c r="F194" s="548"/>
      <c r="G194" s="828">
        <f t="shared" si="14"/>
        <v>9</v>
      </c>
      <c r="H194" s="828">
        <f t="shared" si="14"/>
        <v>0</v>
      </c>
      <c r="I194" s="545"/>
      <c r="J194" s="548">
        <f t="shared" si="15"/>
        <v>4598191000</v>
      </c>
      <c r="K194" s="606" t="e">
        <f t="shared" si="15"/>
        <v>#DIV/0!</v>
      </c>
      <c r="L194" s="548">
        <f t="shared" si="15"/>
        <v>610960000</v>
      </c>
      <c r="M194" s="548">
        <f t="shared" si="15"/>
        <v>-5209151000</v>
      </c>
      <c r="N194" s="694"/>
      <c r="O194" s="580" t="str">
        <f>IF(ISERROR(VLOOKUP(B194,'Base de Datos'!$C$7:$N$315,8,0))=TRUE," ",(VLOOKUP(B194,'Base de Datos'!$C$7:$N$315,8,0)))</f>
        <v xml:space="preserve"> </v>
      </c>
      <c r="P194" s="574"/>
      <c r="Q194" s="580" t="str">
        <f>IF(ISERROR(VLOOKUP(B194,'Base de Datos'!$C$7:$N$315,9,0))=TRUE," ",(VLOOKUP(B194,'Base de Datos'!$C$7:$N$315,9,0)))</f>
        <v xml:space="preserve"> </v>
      </c>
      <c r="R194" s="580" t="str">
        <f>IF(ISERROR(VLOOKUP(B194,'Base de Datos'!$C$7:$N$315,10,0))=TRUE," ",(VLOOKUP(B194,'Base de Datos'!$C$7:$N$315,10,0)))</f>
        <v xml:space="preserve"> </v>
      </c>
      <c r="S194" s="574"/>
      <c r="T194" s="727"/>
      <c r="U194" s="639"/>
    </row>
    <row r="195" spans="2:21" x14ac:dyDescent="0.25">
      <c r="B195" s="1118" t="s">
        <v>1682</v>
      </c>
      <c r="C195" s="1118"/>
      <c r="D195" s="1118"/>
      <c r="E195" s="1118"/>
      <c r="F195" s="586"/>
      <c r="G195" s="789">
        <f>+G197+G200</f>
        <v>9</v>
      </c>
      <c r="H195" s="789">
        <f>+H197+H200</f>
        <v>0</v>
      </c>
      <c r="I195" s="591"/>
      <c r="J195" s="586">
        <f>+J197+J200</f>
        <v>4598191000</v>
      </c>
      <c r="K195" s="608" t="e">
        <f>J195/F195</f>
        <v>#DIV/0!</v>
      </c>
      <c r="L195" s="586">
        <f>+L197+L200</f>
        <v>610960000</v>
      </c>
      <c r="M195" s="586">
        <f>+F195-J195-L195</f>
        <v>-5209151000</v>
      </c>
      <c r="N195" s="689"/>
      <c r="O195" s="596" t="str">
        <f>IF(ISERROR(VLOOKUP(B195,'Base de Datos'!$C$7:$N$315,8,0))=TRUE," ",(VLOOKUP(B195,'Base de Datos'!$C$7:$N$315,8,0)))</f>
        <v xml:space="preserve"> </v>
      </c>
      <c r="P195" s="597"/>
      <c r="Q195" s="596" t="str">
        <f>IF(ISERROR(VLOOKUP(B195,'Base de Datos'!$C$7:$N$315,9,0))=TRUE," ",(VLOOKUP(B195,'Base de Datos'!$C$7:$N$315,9,0)))</f>
        <v xml:space="preserve"> </v>
      </c>
      <c r="R195" s="596" t="str">
        <f>IF(ISERROR(VLOOKUP(B195,'Base de Datos'!$C$7:$N$315,10,0))=TRUE," ",(VLOOKUP(B195,'Base de Datos'!$C$7:$N$315,10,0)))</f>
        <v xml:space="preserve"> </v>
      </c>
      <c r="S195" s="597"/>
      <c r="T195" s="727"/>
      <c r="U195" s="639"/>
    </row>
    <row r="196" spans="2:21" ht="24" outlineLevel="1" x14ac:dyDescent="0.25">
      <c r="B196" s="632" t="s">
        <v>2348</v>
      </c>
      <c r="C196" s="632"/>
      <c r="D196" s="632" t="s">
        <v>912</v>
      </c>
      <c r="E196" s="632" t="s">
        <v>1825</v>
      </c>
      <c r="F196" s="781" t="s">
        <v>1849</v>
      </c>
      <c r="G196" s="817" t="s">
        <v>2350</v>
      </c>
      <c r="H196" s="817" t="s">
        <v>2354</v>
      </c>
      <c r="I196" s="539" t="s">
        <v>2355</v>
      </c>
      <c r="J196" s="632" t="s">
        <v>1848</v>
      </c>
      <c r="K196" s="617"/>
      <c r="L196" s="632" t="s">
        <v>1942</v>
      </c>
      <c r="M196" s="632" t="s">
        <v>1943</v>
      </c>
      <c r="N196" s="782" t="s">
        <v>1123</v>
      </c>
      <c r="O196" s="783" t="s">
        <v>1850</v>
      </c>
      <c r="P196" s="632" t="s">
        <v>1851</v>
      </c>
      <c r="Q196" s="632" t="s">
        <v>1852</v>
      </c>
      <c r="R196" s="632" t="s">
        <v>375</v>
      </c>
      <c r="S196" s="632" t="s">
        <v>1853</v>
      </c>
      <c r="T196" s="727"/>
      <c r="U196" s="639"/>
    </row>
    <row r="197" spans="2:21" outlineLevel="1" x14ac:dyDescent="0.25">
      <c r="B197" s="621"/>
      <c r="C197" s="621"/>
      <c r="D197" s="1121" t="s">
        <v>1913</v>
      </c>
      <c r="E197" s="1121"/>
      <c r="F197" s="623">
        <f>+F198</f>
        <v>0</v>
      </c>
      <c r="G197" s="828">
        <f>G198</f>
        <v>0</v>
      </c>
      <c r="H197" s="828">
        <f>H198</f>
        <v>0</v>
      </c>
      <c r="I197" s="545"/>
      <c r="J197" s="627">
        <f>+J198</f>
        <v>0</v>
      </c>
      <c r="K197" s="606" t="e">
        <f>+J197/F197</f>
        <v>#DIV/0!</v>
      </c>
      <c r="L197" s="627">
        <f>+L198</f>
        <v>0</v>
      </c>
      <c r="M197" s="627">
        <f>+M198</f>
        <v>0</v>
      </c>
      <c r="N197" s="697"/>
      <c r="O197" s="580" t="str">
        <f>IF(ISERROR(VLOOKUP(B197,'Base de Datos'!$C$7:$N$315,8,0))=TRUE," ",(VLOOKUP(B197,'Base de Datos'!$C$7:$N$315,8,0)))</f>
        <v xml:space="preserve"> </v>
      </c>
      <c r="P197" s="574"/>
      <c r="Q197" s="580" t="str">
        <f>IF(ISERROR(VLOOKUP(B197,'Base de Datos'!$C$7:$N$315,9,0))=TRUE," ",(VLOOKUP(B197,'Base de Datos'!$C$7:$N$315,9,0)))</f>
        <v xml:space="preserve"> </v>
      </c>
      <c r="R197" s="580" t="str">
        <f>IF(ISERROR(VLOOKUP(B197,'Base de Datos'!$C$7:$N$315,10,0))=TRUE," ",(VLOOKUP(B197,'Base de Datos'!$C$7:$N$315,10,0)))</f>
        <v xml:space="preserve"> </v>
      </c>
      <c r="S197" s="574"/>
      <c r="T197" s="727"/>
      <c r="U197" s="639"/>
    </row>
    <row r="198" spans="2:21" ht="24.75" customHeight="1" outlineLevel="1" x14ac:dyDescent="0.25">
      <c r="B198" s="542"/>
      <c r="C198" s="839"/>
      <c r="D198" s="1140" t="s">
        <v>1914</v>
      </c>
      <c r="E198" s="1141"/>
      <c r="F198" s="669"/>
      <c r="G198" s="826">
        <f>COUNT(G199)</f>
        <v>0</v>
      </c>
      <c r="H198" s="826">
        <f>COUNTIF(H199:H199,Hoja1!$J$2)</f>
        <v>0</v>
      </c>
      <c r="I198" s="626"/>
      <c r="J198" s="625">
        <f>SUM(J199)</f>
        <v>0</v>
      </c>
      <c r="K198" s="669"/>
      <c r="L198" s="625">
        <f>SUM(L199)</f>
        <v>0</v>
      </c>
      <c r="M198" s="625">
        <f>+F198-J198-L198</f>
        <v>0</v>
      </c>
      <c r="N198" s="701"/>
      <c r="O198" s="630" t="str">
        <f>IF(ISERROR(VLOOKUP(B198,'Base de Datos'!$C$7:$N$315,8,0))=TRUE," ",(VLOOKUP(B198,'Base de Datos'!$C$7:$N$315,8,0)))</f>
        <v xml:space="preserve"> </v>
      </c>
      <c r="P198" s="777"/>
      <c r="Q198" s="630" t="str">
        <f>IF(ISERROR(VLOOKUP(B198,'Base de Datos'!$C$7:$N$315,9,0))=TRUE," ",(VLOOKUP(B198,'Base de Datos'!$C$7:$N$315,9,0)))</f>
        <v xml:space="preserve"> </v>
      </c>
      <c r="R198" s="630" t="str">
        <f>IF(ISERROR(VLOOKUP(B198,'Base de Datos'!$C$7:$N$315,10,0))=TRUE," ",(VLOOKUP(B198,'Base de Datos'!$C$7:$N$315,10,0)))</f>
        <v xml:space="preserve"> </v>
      </c>
      <c r="S198" s="777"/>
      <c r="T198" s="727"/>
      <c r="U198" s="639"/>
    </row>
    <row r="199" spans="2:21" outlineLevel="1" x14ac:dyDescent="0.25">
      <c r="B199" s="542"/>
      <c r="C199" s="542"/>
      <c r="D199" s="538"/>
      <c r="E199" s="622"/>
      <c r="F199" s="541"/>
      <c r="G199" s="818"/>
      <c r="H199" s="817"/>
      <c r="I199" s="838" t="str">
        <f ca="1">IF(H199=Hoja1!$J$2," ",(IF(MONTH(G199)=MONTH(TODAY()),IF(DAY(G199)&gt;DAY(TODAY()),"Quedan "&amp;ABS(DAY(G199)-DAY(TODAY()))&amp;" Días","Hace "&amp;ABS(DAY(G199)-DAY(TODAY()))&amp;" Días"),"")))</f>
        <v>Hace 18 Días</v>
      </c>
      <c r="J199" s="541" t="str">
        <f>IF(ISERROR(VLOOKUP(C199,'Base de Datos'!$D$7:$N$4345,6,0))=TRUE,"Sin Celebrar",(VLOOKUP(C199,'Base de Datos'!$D$7:$N$4345,6,0)))</f>
        <v>Sin Celebrar</v>
      </c>
      <c r="K199" s="541"/>
      <c r="L199" s="541">
        <f>IF(J199=$W$7,F199, " ")</f>
        <v>0</v>
      </c>
      <c r="M199" s="541" t="str">
        <f>IF(J199&lt;F199,(F199-J199)," ")</f>
        <v xml:space="preserve"> </v>
      </c>
      <c r="N199" s="724" t="str">
        <f>IF(ISERROR(VLOOKUP(C199,'Base de Datos'!$D$7:$K$1048576,7,0))=TRUE," ",(VLOOKUP(C199,'Base de Datos'!$D$7:$K$1048576,7,0)))</f>
        <v xml:space="preserve"> </v>
      </c>
      <c r="O199" s="724" t="str">
        <f>IF(ISERROR(VLOOKUP(C199,'Base de Datos'!$D$7:$K$1048576,9,0))=TRUE," ",(VLOOKUP(C199,'Base de Datos'!$D$7:$K$1048576,9,0)))</f>
        <v xml:space="preserve"> </v>
      </c>
      <c r="P199" s="632"/>
      <c r="Q199" s="556" t="str">
        <f>IF(ISERROR(VLOOKUP(C199,'Base de Datos'!$D$7:$N$4330,10,0))=TRUE," ",(VLOOKUP(C199,'Base de Datos'!$D$7:$N$4330,10,0)))</f>
        <v xml:space="preserve"> </v>
      </c>
      <c r="R199" s="556" t="str">
        <f>IF(ISERROR(VLOOKUP(C199,'Base de Datos'!$D$7:$N$4330,11,0))=TRUE," ",(VLOOKUP(C199,'Base de Datos'!$D$7:$N$4330,11,0)))</f>
        <v xml:space="preserve"> </v>
      </c>
      <c r="S199" s="538"/>
      <c r="T199" s="727"/>
      <c r="U199" s="639"/>
    </row>
    <row r="200" spans="2:21" outlineLevel="1" x14ac:dyDescent="0.25">
      <c r="B200" s="621"/>
      <c r="C200" s="621"/>
      <c r="D200" s="1121" t="s">
        <v>1917</v>
      </c>
      <c r="E200" s="1121"/>
      <c r="F200" s="548">
        <f>+F201+F204+F207+F209+F220</f>
        <v>5332060000</v>
      </c>
      <c r="G200" s="828">
        <f>G201+G204+G207+G209+G220</f>
        <v>9</v>
      </c>
      <c r="H200" s="828">
        <f>H201+H204+H207+H209+H220</f>
        <v>0</v>
      </c>
      <c r="I200" s="636"/>
      <c r="J200" s="548">
        <f>+J201+J204+J207+J209+J220</f>
        <v>4598191000</v>
      </c>
      <c r="K200" s="606">
        <f>+J200/F200</f>
        <v>0.86236670255023384</v>
      </c>
      <c r="L200" s="548">
        <f>+L201+L204+L207+L209+L220</f>
        <v>610960000</v>
      </c>
      <c r="M200" s="548">
        <f>+F200-J200-L200</f>
        <v>122909000</v>
      </c>
      <c r="N200" s="694"/>
      <c r="O200" s="580" t="str">
        <f>IF(ISERROR(VLOOKUP(B200,'Base de Datos'!$C$7:$N$315,8,0))=TRUE," ",(VLOOKUP(B200,'Base de Datos'!$C$7:$N$315,8,0)))</f>
        <v xml:space="preserve"> </v>
      </c>
      <c r="P200" s="574"/>
      <c r="Q200" s="580" t="str">
        <f>IF(ISERROR(VLOOKUP(B200,'Base de Datos'!$C$7:$N$315,9,0))=TRUE," ",(VLOOKUP(B200,'Base de Datos'!$C$7:$N$315,9,0)))</f>
        <v xml:space="preserve"> </v>
      </c>
      <c r="R200" s="580" t="str">
        <f>IF(ISERROR(VLOOKUP(B200,'Base de Datos'!$C$7:$N$315,10,0))=TRUE," ",(VLOOKUP(B200,'Base de Datos'!$C$7:$N$315,10,0)))</f>
        <v xml:space="preserve"> </v>
      </c>
      <c r="S200" s="574"/>
      <c r="T200" s="727"/>
      <c r="U200" s="639"/>
    </row>
    <row r="201" spans="2:21" ht="23.25" customHeight="1" outlineLevel="1" x14ac:dyDescent="0.25">
      <c r="B201" s="542"/>
      <c r="C201" s="542"/>
      <c r="D201" s="1126" t="s">
        <v>1918</v>
      </c>
      <c r="E201" s="1126"/>
      <c r="F201" s="624">
        <f>+F203</f>
        <v>0</v>
      </c>
      <c r="G201" s="826">
        <f>COUNT(G203)</f>
        <v>0</v>
      </c>
      <c r="H201" s="826">
        <f>COUNTIF(H203:H203,Hoja1!$J$2)</f>
        <v>0</v>
      </c>
      <c r="I201" s="777"/>
      <c r="J201" s="625">
        <f>SUM(J203)</f>
        <v>0</v>
      </c>
      <c r="K201" s="628" t="e">
        <f>+J201/F201</f>
        <v>#DIV/0!</v>
      </c>
      <c r="L201" s="625">
        <f>SUM(L203)</f>
        <v>0</v>
      </c>
      <c r="M201" s="654">
        <f>SUM(M203)</f>
        <v>0</v>
      </c>
      <c r="N201" s="699"/>
      <c r="O201" s="630" t="str">
        <f>IF(ISERROR(VLOOKUP(B201,'Base de Datos'!$C$7:$N$315,8,0))=TRUE," ",(VLOOKUP(B201,'Base de Datos'!$C$7:$N$315,8,0)))</f>
        <v xml:space="preserve"> </v>
      </c>
      <c r="P201" s="777"/>
      <c r="Q201" s="630" t="str">
        <f>IF(ISERROR(VLOOKUP(B201,'Base de Datos'!$C$7:$N$315,9,0))=TRUE," ",(VLOOKUP(B201,'Base de Datos'!$C$7:$N$315,9,0)))</f>
        <v xml:space="preserve"> </v>
      </c>
      <c r="R201" s="630" t="str">
        <f>IF(ISERROR(VLOOKUP(B201,'Base de Datos'!$C$7:$N$315,10,0))=TRUE," ",(VLOOKUP(B201,'Base de Datos'!$C$7:$N$315,10,0)))</f>
        <v xml:space="preserve"> </v>
      </c>
      <c r="S201" s="777"/>
      <c r="T201" s="727"/>
      <c r="U201" s="639"/>
    </row>
    <row r="202" spans="2:21" s="620" customFormat="1" outlineLevel="1" x14ac:dyDescent="0.25">
      <c r="B202" s="632">
        <v>154</v>
      </c>
      <c r="C202" s="632"/>
      <c r="D202" s="633"/>
      <c r="E202" s="633" t="s">
        <v>2410</v>
      </c>
      <c r="F202" s="585">
        <v>360000000</v>
      </c>
      <c r="G202" s="817">
        <v>42384</v>
      </c>
      <c r="H202" s="817"/>
      <c r="I202" s="838" t="str">
        <f ca="1">IF(H202=Hoja1!$J$2," ",(IF(MONTH(G202)=MONTH(TODAY()),IF(DAY(G202)&gt;DAY(TODAY()),"Quedan "&amp;ABS(DAY(G202)-DAY(TODAY()))&amp;" Días","Hace "&amp;ABS(DAY(G202)-DAY(TODAY()))&amp;" Días"),"")))</f>
        <v>Hace 3 Días</v>
      </c>
      <c r="J202" s="541" t="str">
        <f>IF(ISERROR(VLOOKUP(C202,'Base de Datos'!$D$7:$N$4345,6,0))=TRUE,"Sin Celebrar",(VLOOKUP(C202,'Base de Datos'!$D$7:$N$4345,6,0)))</f>
        <v>Sin Celebrar</v>
      </c>
      <c r="K202" s="541"/>
      <c r="L202" s="541">
        <f>IF(J202=$W$7,F202, " ")</f>
        <v>360000000</v>
      </c>
      <c r="M202" s="541" t="str">
        <f>IF(J202&lt;F202,(F202-J202)," ")</f>
        <v xml:space="preserve"> </v>
      </c>
      <c r="N202" s="724" t="str">
        <f>IF(ISERROR(VLOOKUP(C202,'Base de Datos'!$D$7:$K$1048576,7,0))=TRUE," ",(VLOOKUP(C202,'Base de Datos'!$D$7:$K$1048576,7,0)))</f>
        <v xml:space="preserve"> </v>
      </c>
      <c r="O202" s="556" t="str">
        <f>IF(ISERROR(VLOOKUP(C202,'Base de Datos'!$D$7:$N$4330,9,0))=TRUE," ",(VLOOKUP(C202,'Base de Datos'!$D$7:$N$4330,9,0)))</f>
        <v xml:space="preserve"> </v>
      </c>
      <c r="P202" s="618" t="e">
        <f>VLOOKUP(B202,#REF!,13,0)</f>
        <v>#REF!</v>
      </c>
      <c r="Q202" s="556" t="str">
        <f>IF(ISERROR(VLOOKUP(C202,'Base de Datos'!$D$7:$N$4330,10,0))=TRUE," ",(VLOOKUP(C202,'Base de Datos'!$D$7:$N$4330,10,0)))</f>
        <v xml:space="preserve"> </v>
      </c>
      <c r="R202" s="556" t="str">
        <f>IF(ISERROR(VLOOKUP(C202,'Base de Datos'!$D$7:$N$4330,11,0))=TRUE," ",(VLOOKUP(C202,'Base de Datos'!$D$7:$N$4330,11,0)))</f>
        <v xml:space="preserve"> </v>
      </c>
      <c r="S202" s="538"/>
      <c r="T202" s="727"/>
      <c r="U202" s="784"/>
    </row>
    <row r="203" spans="2:21" outlineLevel="1" x14ac:dyDescent="0.25">
      <c r="B203" s="542"/>
      <c r="C203" s="542"/>
      <c r="D203" s="622"/>
      <c r="E203" s="622"/>
      <c r="F203" s="585"/>
      <c r="G203" s="817"/>
      <c r="H203" s="817"/>
      <c r="I203" s="838" t="str">
        <f ca="1">IF(H203=Hoja1!$J$2," ",(IF(MONTH(G203)=MONTH(TODAY()),IF(DAY(G203)&gt;DAY(TODAY()),"Quedan "&amp;ABS(DAY(G203)-DAY(TODAY()))&amp;" Días","Hace "&amp;ABS(DAY(G203)-DAY(TODAY()))&amp;" Días"),"")))</f>
        <v>Hace 18 Días</v>
      </c>
      <c r="J203" s="541" t="str">
        <f>IF(ISERROR(VLOOKUP(C203,'Base de Datos'!$D$7:$N$4345,6,0))=TRUE,"Sin Celebrar",(VLOOKUP(C203,'Base de Datos'!$D$7:$N$4345,6,0)))</f>
        <v>Sin Celebrar</v>
      </c>
      <c r="K203" s="541"/>
      <c r="L203" s="541">
        <f>IF(J203=$W$7,F203, " ")</f>
        <v>0</v>
      </c>
      <c r="M203" s="541" t="str">
        <f>IF(J203&lt;F203,(F203-J203)," ")</f>
        <v xml:space="preserve"> </v>
      </c>
      <c r="N203" s="724" t="str">
        <f>IF(ISERROR(VLOOKUP(C203,'Base de Datos'!$D$7:$K$1048576,7,0))=TRUE," ",(VLOOKUP(C203,'Base de Datos'!$D$7:$K$1048576,7,0)))</f>
        <v xml:space="preserve"> </v>
      </c>
      <c r="O203" s="724" t="str">
        <f>IF(ISERROR(VLOOKUP(C203,'Base de Datos'!$D$7:$K$1048576,9,0))=TRUE," ",(VLOOKUP(C203,'Base de Datos'!$D$7:$K$1048576,9,0)))</f>
        <v xml:space="preserve"> </v>
      </c>
      <c r="P203" s="632"/>
      <c r="Q203" s="556" t="str">
        <f>IF(ISERROR(VLOOKUP(C203,'Base de Datos'!$D$7:$N$4330,10,0))=TRUE," ",(VLOOKUP(C203,'Base de Datos'!$D$7:$N$4330,10,0)))</f>
        <v xml:space="preserve"> </v>
      </c>
      <c r="R203" s="556" t="str">
        <f>IF(ISERROR(VLOOKUP(C203,'Base de Datos'!$D$7:$N$4330,11,0))=TRUE," ",(VLOOKUP(C203,'Base de Datos'!$D$7:$N$4330,11,0)))</f>
        <v xml:space="preserve"> </v>
      </c>
      <c r="S203" s="538"/>
      <c r="T203" s="727"/>
      <c r="U203" s="639"/>
    </row>
    <row r="204" spans="2:21" ht="24.75" customHeight="1" outlineLevel="1" x14ac:dyDescent="0.25">
      <c r="B204" s="542"/>
      <c r="C204" s="542"/>
      <c r="D204" s="1126" t="s">
        <v>1920</v>
      </c>
      <c r="E204" s="1126"/>
      <c r="F204" s="624">
        <f>SUM(F205:F206)</f>
        <v>444960000</v>
      </c>
      <c r="G204" s="826">
        <f>COUNT(G205:G205)</f>
        <v>1</v>
      </c>
      <c r="H204" s="826">
        <f>COUNTIF(H205:H205,Hoja1!$J$2)</f>
        <v>0</v>
      </c>
      <c r="I204" s="626"/>
      <c r="J204" s="624">
        <f>SUM(J205:J206)</f>
        <v>0</v>
      </c>
      <c r="K204" s="628">
        <f>+J204/F204</f>
        <v>0</v>
      </c>
      <c r="L204" s="624">
        <f>SUM(L205:L206)</f>
        <v>444960000</v>
      </c>
      <c r="M204" s="624">
        <f>+F204-J204-L204</f>
        <v>0</v>
      </c>
      <c r="N204" s="699"/>
      <c r="O204" s="630" t="str">
        <f>IF(ISERROR(VLOOKUP(B204,'Base de Datos'!$C$7:$N$315,8,0))=TRUE," ",(VLOOKUP(B204,'Base de Datos'!$C$7:$N$315,8,0)))</f>
        <v xml:space="preserve"> </v>
      </c>
      <c r="P204" s="777"/>
      <c r="Q204" s="630" t="str">
        <f>IF(ISERROR(VLOOKUP(B204,'Base de Datos'!$C$7:$N$315,9,0))=TRUE," ",(VLOOKUP(B204,'Base de Datos'!$C$7:$N$315,9,0)))</f>
        <v xml:space="preserve"> </v>
      </c>
      <c r="R204" s="630" t="str">
        <f>IF(ISERROR(VLOOKUP(B204,'Base de Datos'!$C$7:$N$315,10,0))=TRUE," ",(VLOOKUP(B204,'Base de Datos'!$C$7:$N$315,10,0)))</f>
        <v xml:space="preserve"> </v>
      </c>
      <c r="S204" s="777"/>
      <c r="T204" s="727"/>
      <c r="U204" s="639"/>
    </row>
    <row r="205" spans="2:21" s="620" customFormat="1" ht="24" outlineLevel="1" x14ac:dyDescent="0.25">
      <c r="B205" s="632">
        <v>151</v>
      </c>
      <c r="C205" s="632" t="str">
        <f>$W$6&amp;B205</f>
        <v>2016151</v>
      </c>
      <c r="D205" s="538" t="str">
        <f>IF(ISERROR(VLOOKUP(C205,'Base de Datos'!$D$7:$F$4345,2,0))=TRUE,"",(VLOOKUP(C205,'Base de Datos'!$D$7:$F$4345,2,0)))</f>
        <v/>
      </c>
      <c r="E205" s="633" t="s">
        <v>2343</v>
      </c>
      <c r="F205" s="585">
        <v>444960000</v>
      </c>
      <c r="G205" s="817">
        <v>42375</v>
      </c>
      <c r="H205" s="817"/>
      <c r="I205" s="838" t="str">
        <f ca="1">IF(H205=Hoja1!$J$2," ",(IF(MONTH(G205)=MONTH(TODAY()),IF(DAY(G205)&gt;DAY(TODAY()),"Quedan "&amp;ABS(DAY(G205)-DAY(TODAY()))&amp;" Días","Hace "&amp;ABS(DAY(G205)-DAY(TODAY()))&amp;" Días"),"")))</f>
        <v>Hace 12 Días</v>
      </c>
      <c r="J205" s="541" t="str">
        <f>IF(ISERROR(VLOOKUP(C205,'Base de Datos'!$D$7:$N$4345,6,0))=TRUE,"Sin Celebrar",(VLOOKUP(C205,'Base de Datos'!$D$7:$N$4345,6,0)))</f>
        <v>Sin Celebrar</v>
      </c>
      <c r="K205" s="585"/>
      <c r="L205" s="541">
        <f>IF(J205=$W$7,F205, " ")</f>
        <v>444960000</v>
      </c>
      <c r="M205" s="541" t="str">
        <f>IF(J205&lt;F205,(F205-J205)," ")</f>
        <v xml:space="preserve"> </v>
      </c>
      <c r="N205" s="724" t="str">
        <f>IF(ISERROR(VLOOKUP(C205,'Base de Datos'!$D$7:$K$1048576,7,0))=TRUE," ",(VLOOKUP(C205,'Base de Datos'!$D$7:$K$1048576,7,0)))</f>
        <v xml:space="preserve"> </v>
      </c>
      <c r="O205" s="556" t="str">
        <f>IF(ISERROR(VLOOKUP(C205,'Base de Datos'!$D$7:$N$4330,9,0))=TRUE," ",(VLOOKUP(C205,'Base de Datos'!$D$7:$N$4330,9,0)))</f>
        <v xml:space="preserve"> </v>
      </c>
      <c r="P205" s="618" t="e">
        <f>VLOOKUP(B205,#REF!,13,0)</f>
        <v>#REF!</v>
      </c>
      <c r="Q205" s="556" t="str">
        <f>IF(ISERROR(VLOOKUP(C205,'Base de Datos'!$D$7:$N$4330,10,0))=TRUE," ",(VLOOKUP(C205,'Base de Datos'!$D$7:$N$4330,10,0)))</f>
        <v xml:space="preserve"> </v>
      </c>
      <c r="R205" s="556" t="str">
        <f>IF(ISERROR(VLOOKUP(C205,'Base de Datos'!$D$7:$N$4330,11,0))=TRUE," ",(VLOOKUP(C205,'Base de Datos'!$D$7:$N$4330,11,0)))</f>
        <v xml:space="preserve"> </v>
      </c>
      <c r="S205" s="619" t="s">
        <v>2080</v>
      </c>
      <c r="T205" s="727"/>
      <c r="U205" s="784"/>
    </row>
    <row r="206" spans="2:21" s="620" customFormat="1" outlineLevel="1" x14ac:dyDescent="0.25">
      <c r="B206" s="632"/>
      <c r="C206" s="711"/>
      <c r="D206" s="712"/>
      <c r="E206" s="633"/>
      <c r="F206" s="585"/>
      <c r="G206" s="817"/>
      <c r="H206" s="817"/>
      <c r="I206" s="539"/>
      <c r="J206" s="585"/>
      <c r="K206" s="585"/>
      <c r="L206" s="585"/>
      <c r="M206" s="585"/>
      <c r="N206" s="785"/>
      <c r="O206" s="618"/>
      <c r="P206" s="619"/>
      <c r="Q206" s="715"/>
      <c r="R206" s="715"/>
      <c r="S206" s="619"/>
      <c r="T206" s="727"/>
      <c r="U206" s="784"/>
    </row>
    <row r="207" spans="2:21" ht="26.25" customHeight="1" outlineLevel="1" x14ac:dyDescent="0.25">
      <c r="B207" s="542"/>
      <c r="C207" s="542"/>
      <c r="D207" s="1126" t="s">
        <v>1926</v>
      </c>
      <c r="E207" s="1126"/>
      <c r="F207" s="624">
        <f>+F208</f>
        <v>0</v>
      </c>
      <c r="G207" s="826">
        <f>COUNT(G208)</f>
        <v>0</v>
      </c>
      <c r="H207" s="826">
        <f>COUNTIF(H208:H208,Hoja1!$J$2)</f>
        <v>0</v>
      </c>
      <c r="I207" s="626"/>
      <c r="J207" s="624">
        <f>SUM(J208)</f>
        <v>0</v>
      </c>
      <c r="K207" s="628" t="e">
        <f>+J207/F207</f>
        <v>#DIV/0!</v>
      </c>
      <c r="L207" s="624">
        <f>SUM(L208)</f>
        <v>0</v>
      </c>
      <c r="M207" s="624">
        <f>+F207-J207-L207</f>
        <v>0</v>
      </c>
      <c r="N207" s="699"/>
      <c r="O207" s="630" t="str">
        <f>IF(ISERROR(VLOOKUP(B207,'Base de Datos'!$C$7:$N$315,8,0))=TRUE," ",(VLOOKUP(B207,'Base de Datos'!$C$7:$N$315,8,0)))</f>
        <v xml:space="preserve"> </v>
      </c>
      <c r="P207" s="777"/>
      <c r="Q207" s="630" t="str">
        <f>IF(ISERROR(VLOOKUP(B207,'Base de Datos'!$C$7:$N$315,9,0))=TRUE," ",(VLOOKUP(B207,'Base de Datos'!$C$7:$N$315,9,0)))</f>
        <v xml:space="preserve"> </v>
      </c>
      <c r="R207" s="630" t="str">
        <f>IF(ISERROR(VLOOKUP(B207,'Base de Datos'!$C$7:$N$315,10,0))=TRUE," ",(VLOOKUP(B207,'Base de Datos'!$C$7:$N$315,10,0)))</f>
        <v xml:space="preserve"> </v>
      </c>
      <c r="S207" s="777"/>
      <c r="T207" s="727"/>
      <c r="U207" s="639"/>
    </row>
    <row r="208" spans="2:21" s="620" customFormat="1" outlineLevel="1" x14ac:dyDescent="0.25">
      <c r="B208" s="632"/>
      <c r="C208" s="711"/>
      <c r="D208" s="712"/>
      <c r="E208" s="633"/>
      <c r="F208" s="585"/>
      <c r="G208" s="817"/>
      <c r="H208" s="817"/>
      <c r="I208" s="838" t="str">
        <f ca="1">IF(H208=Hoja1!$J$2," ",(IF(MONTH(G208)=MONTH(TODAY()),IF(DAY(G208)&gt;DAY(TODAY()),"Quedan "&amp;ABS(DAY(G208)-DAY(TODAY()))&amp;" Días","Hace "&amp;ABS(DAY(G208)-DAY(TODAY()))&amp;" Días"),"")))</f>
        <v>Hace 18 Días</v>
      </c>
      <c r="J208" s="541" t="str">
        <f>IF(ISERROR(VLOOKUP(C208,'Base de Datos'!$D$7:$N$4345,6,0))=TRUE,"Sin Celebrar",(VLOOKUP(C208,'Base de Datos'!$D$7:$N$4345,6,0)))</f>
        <v>Sin Celebrar</v>
      </c>
      <c r="K208" s="585"/>
      <c r="L208" s="541">
        <f>IF(J208=$W$7,F208, " ")</f>
        <v>0</v>
      </c>
      <c r="M208" s="585"/>
      <c r="N208" s="724" t="str">
        <f>IF(ISERROR(VLOOKUP(C208,'Base de Datos'!$D$7:$K$1048576,7,0))=TRUE," ",(VLOOKUP(C208,'Base de Datos'!$D$7:$K$1048576,7,0)))</f>
        <v xml:space="preserve"> </v>
      </c>
      <c r="O208" s="724" t="str">
        <f>IF(ISERROR(VLOOKUP(C208,'Base de Datos'!$D$7:$K$1048576,9,0))=TRUE," ",(VLOOKUP(C208,'Base de Datos'!$D$7:$K$1048576,9,0)))</f>
        <v xml:space="preserve"> </v>
      </c>
      <c r="P208" s="632"/>
      <c r="Q208" s="556" t="str">
        <f>IF(ISERROR(VLOOKUP(C208,'Base de Datos'!$D$7:$N$4330,10,0))=TRUE," ",(VLOOKUP(C208,'Base de Datos'!$D$7:$N$4330,10,0)))</f>
        <v xml:space="preserve"> </v>
      </c>
      <c r="R208" s="556" t="str">
        <f>IF(ISERROR(VLOOKUP(C208,'Base de Datos'!$D$7:$N$4330,11,0))=TRUE," ",(VLOOKUP(C208,'Base de Datos'!$D$7:$N$4330,11,0)))</f>
        <v xml:space="preserve"> </v>
      </c>
      <c r="S208" s="619"/>
      <c r="T208" s="727"/>
      <c r="U208" s="784"/>
    </row>
    <row r="209" spans="2:21" outlineLevel="1" x14ac:dyDescent="0.25">
      <c r="B209" s="542"/>
      <c r="C209" s="542"/>
      <c r="D209" s="1124" t="s">
        <v>1928</v>
      </c>
      <c r="E209" s="1124"/>
      <c r="F209" s="624">
        <f>SUM(F210:F216)</f>
        <v>1148400000</v>
      </c>
      <c r="G209" s="826">
        <f>COUNT(G210:G216)</f>
        <v>7</v>
      </c>
      <c r="H209" s="826">
        <f>COUNTIF(H210:H216,Hoja1!$J$2)</f>
        <v>0</v>
      </c>
      <c r="I209" s="626"/>
      <c r="J209" s="624">
        <f>SUM(J210:J216)</f>
        <v>1143536000</v>
      </c>
      <c r="K209" s="628">
        <f>+J209/F209</f>
        <v>0.99576454197143849</v>
      </c>
      <c r="L209" s="624">
        <f>SUM(L210:L216)</f>
        <v>166000000</v>
      </c>
      <c r="M209" s="624">
        <f>+F209-J209-L209</f>
        <v>-161136000</v>
      </c>
      <c r="N209" s="699"/>
      <c r="O209" s="630" t="str">
        <f>IF(ISERROR(VLOOKUP(B209,'Base de Datos'!$C$7:$N$315,8,0))=TRUE," ",(VLOOKUP(B209,'Base de Datos'!$C$7:$N$315,8,0)))</f>
        <v xml:space="preserve"> </v>
      </c>
      <c r="P209" s="777"/>
      <c r="Q209" s="630" t="str">
        <f>IF(ISERROR(VLOOKUP(B209,'Base de Datos'!$C$7:$N$315,9,0))=TRUE," ",(VLOOKUP(B209,'Base de Datos'!$C$7:$N$315,9,0)))</f>
        <v xml:space="preserve"> </v>
      </c>
      <c r="R209" s="630" t="str">
        <f>IF(ISERROR(VLOOKUP(B209,'Base de Datos'!$C$7:$N$315,10,0))=TRUE," ",(VLOOKUP(B209,'Base de Datos'!$C$7:$N$315,10,0)))</f>
        <v xml:space="preserve"> </v>
      </c>
      <c r="S209" s="777"/>
      <c r="T209" s="727"/>
      <c r="U209" s="639"/>
    </row>
    <row r="210" spans="2:21" s="620" customFormat="1" ht="24" outlineLevel="1" x14ac:dyDescent="0.25">
      <c r="B210" s="632">
        <v>95</v>
      </c>
      <c r="C210" s="632" t="str">
        <f t="shared" ref="C210:C218" si="16">$W$6&amp;B210</f>
        <v>201695</v>
      </c>
      <c r="D210" s="538" t="str">
        <f>IF(ISERROR(VLOOKUP(C210,'Base de Datos'!$D$7:$F$4345,2,0))=TRUE,"",(VLOOKUP(C210,'Base de Datos'!$D$7:$F$4345,2,0)))</f>
        <v>160304-0-2016</v>
      </c>
      <c r="E210" s="712" t="s">
        <v>2344</v>
      </c>
      <c r="F210" s="585">
        <v>400000000</v>
      </c>
      <c r="G210" s="817">
        <v>42444</v>
      </c>
      <c r="H210" s="817"/>
      <c r="I210" s="838" t="str">
        <f ca="1">IF(H210=Hoja1!$J$2," ",(IF(MONTH(G210)=MONTH(TODAY()),IF(DAY(G210)&gt;DAY(TODAY()),"Quedan "&amp;ABS(DAY(G210)-DAY(TODAY()))&amp;" Días","Hace "&amp;ABS(DAY(G210)-DAY(TODAY()))&amp;" Días"),"")))</f>
        <v/>
      </c>
      <c r="J210" s="541">
        <f>IF(ISERROR(VLOOKUP(C210,'Base de Datos'!$D$7:$N$4345,6,0))=TRUE,"Sin Celebrar",(VLOOKUP(C210,'Base de Datos'!$D$7:$N$4345,6,0)))</f>
        <v>475686000</v>
      </c>
      <c r="K210" s="585"/>
      <c r="L210" s="541" t="str">
        <f t="shared" ref="L210:L216" si="17">IF(J210=$W$7,F210, " ")</f>
        <v xml:space="preserve"> </v>
      </c>
      <c r="M210" s="541" t="str">
        <f t="shared" ref="M210:M216" si="18">IF(J210&lt;F210,(F210-J210)," ")</f>
        <v xml:space="preserve"> </v>
      </c>
      <c r="N210" s="724" t="str">
        <f>IF(ISERROR(VLOOKUP(C210,'Base de Datos'!$D$7:$K$1048576,7,0))=TRUE," ",(VLOOKUP(C210,'Base de Datos'!$D$7:$K$1048576,7,0)))</f>
        <v>SDH-SIE-20-2016</v>
      </c>
      <c r="O210" s="556">
        <f>IF(ISERROR(VLOOKUP(C210,'Base de Datos'!$D$7:$N$4330,9,0))=TRUE," ",(VLOOKUP(C210,'Base de Datos'!$D$7:$N$4330,9,0)))</f>
        <v>42725</v>
      </c>
      <c r="P210" s="618" t="e">
        <f>VLOOKUP(B210,#REF!,13,0)</f>
        <v>#REF!</v>
      </c>
      <c r="Q210" s="556">
        <f>IF(ISERROR(VLOOKUP(C210,'Base de Datos'!$D$7:$N$4330,10,0))=TRUE," ",(VLOOKUP(C210,'Base de Datos'!$D$7:$N$4330,10,0)))</f>
        <v>42752</v>
      </c>
      <c r="R210" s="556">
        <f>IF(ISERROR(VLOOKUP(C210,'Base de Datos'!$D$7:$N$4330,11,0))=TRUE," ",(VLOOKUP(C210,'Base de Datos'!$D$7:$N$4330,11,0)))</f>
        <v>42872</v>
      </c>
      <c r="S210" s="619" t="s">
        <v>1995</v>
      </c>
      <c r="T210" s="727"/>
      <c r="U210" s="784"/>
    </row>
    <row r="211" spans="2:21" s="620" customFormat="1" ht="24" outlineLevel="1" x14ac:dyDescent="0.25">
      <c r="B211" s="632">
        <v>232</v>
      </c>
      <c r="C211" s="632" t="str">
        <f t="shared" si="16"/>
        <v>2016232</v>
      </c>
      <c r="D211" s="538" t="str">
        <f>IF(ISERROR(VLOOKUP(C211,'Base de Datos'!$D$7:$F$4345,2,0))=TRUE,"",(VLOOKUP(C211,'Base de Datos'!$D$7:$F$4345,2,0)))</f>
        <v>160316-0-2016</v>
      </c>
      <c r="E211" s="712" t="s">
        <v>2411</v>
      </c>
      <c r="F211" s="585">
        <v>105000000</v>
      </c>
      <c r="G211" s="817">
        <v>42415</v>
      </c>
      <c r="H211" s="817"/>
      <c r="I211" s="838" t="str">
        <f ca="1">IF(H211=Hoja1!$J$2," ",(IF(MONTH(G211)=MONTH(TODAY()),IF(DAY(G211)&gt;DAY(TODAY()),"Quedan "&amp;ABS(DAY(G211)-DAY(TODAY()))&amp;" Días","Hace "&amp;ABS(DAY(G211)-DAY(TODAY()))&amp;" Días"),"")))</f>
        <v/>
      </c>
      <c r="J211" s="541">
        <f>IF(ISERROR(VLOOKUP(C211,'Base de Datos'!$D$7:$N$4345,6,0))=TRUE,"Sin Celebrar",(VLOOKUP(C211,'Base de Datos'!$D$7:$N$4345,6,0)))</f>
        <v>46500000</v>
      </c>
      <c r="K211" s="585"/>
      <c r="L211" s="541" t="str">
        <f t="shared" si="17"/>
        <v xml:space="preserve"> </v>
      </c>
      <c r="M211" s="541">
        <f t="shared" si="18"/>
        <v>58500000</v>
      </c>
      <c r="N211" s="724" t="str">
        <f>IF(ISERROR(VLOOKUP(C211,'Base de Datos'!$D$7:$K$1048576,7,0))=TRUE," ",(VLOOKUP(C211,'Base de Datos'!$D$7:$K$1048576,7,0)))</f>
        <v>SDH-SIE-22-2016</v>
      </c>
      <c r="O211" s="556">
        <f>IF(ISERROR(VLOOKUP(C211,'Base de Datos'!$D$7:$N$4330,9,0))=TRUE," ",(VLOOKUP(C211,'Base de Datos'!$D$7:$N$4330,9,0)))</f>
        <v>42733</v>
      </c>
      <c r="P211" s="618" t="e">
        <f>VLOOKUP(B211,#REF!,13,0)</f>
        <v>#REF!</v>
      </c>
      <c r="Q211" s="556">
        <f>IF(ISERROR(VLOOKUP(C211,'Base de Datos'!$D$7:$N$4330,10,0))=TRUE," ",(VLOOKUP(C211,'Base de Datos'!$D$7:$N$4330,10,0)))</f>
        <v>42751</v>
      </c>
      <c r="R211" s="556">
        <f>IF(ISERROR(VLOOKUP(C211,'Base de Datos'!$D$7:$N$4330,11,0))=TRUE," ",(VLOOKUP(C211,'Base de Datos'!$D$7:$N$4330,11,0)))</f>
        <v>42871</v>
      </c>
      <c r="S211" s="619" t="s">
        <v>1995</v>
      </c>
      <c r="T211" s="727"/>
      <c r="U211" s="784"/>
    </row>
    <row r="212" spans="2:21" s="620" customFormat="1" ht="24" outlineLevel="1" x14ac:dyDescent="0.25">
      <c r="B212" s="632">
        <v>96</v>
      </c>
      <c r="C212" s="632" t="str">
        <f t="shared" si="16"/>
        <v>201696</v>
      </c>
      <c r="D212" s="538" t="str">
        <f>IF(ISERROR(VLOOKUP(C212,'Base de Datos'!$D$7:$F$4345,2,0))=TRUE,"",(VLOOKUP(C212,'Base de Datos'!$D$7:$F$4345,2,0)))</f>
        <v/>
      </c>
      <c r="E212" s="712" t="s">
        <v>2345</v>
      </c>
      <c r="F212" s="635">
        <v>150000000</v>
      </c>
      <c r="G212" s="783">
        <v>42461</v>
      </c>
      <c r="H212" s="817"/>
      <c r="I212" s="838" t="str">
        <f ca="1">IF(H212=Hoja1!$J$2," ",(IF(MONTH(G212)=MONTH(TODAY()),IF(DAY(G212)&gt;DAY(TODAY()),"Quedan "&amp;ABS(DAY(G212)-DAY(TODAY()))&amp;" Días","Hace "&amp;ABS(DAY(G212)-DAY(TODAY()))&amp;" Días"),"")))</f>
        <v/>
      </c>
      <c r="J212" s="541" t="str">
        <f>IF(ISERROR(VLOOKUP(C212,'Base de Datos'!$D$7:$N$4345,6,0))=TRUE,"Sin Celebrar",(VLOOKUP(C212,'Base de Datos'!$D$7:$N$4345,6,0)))</f>
        <v>Sin Celebrar</v>
      </c>
      <c r="K212" s="619"/>
      <c r="L212" s="541">
        <f t="shared" si="17"/>
        <v>150000000</v>
      </c>
      <c r="M212" s="541" t="str">
        <f t="shared" si="18"/>
        <v xml:space="preserve"> </v>
      </c>
      <c r="N212" s="724" t="str">
        <f>IF(ISERROR(VLOOKUP(C212,'Base de Datos'!$D$7:$K$1048576,7,0))=TRUE," ",(VLOOKUP(C212,'Base de Datos'!$D$7:$K$1048576,7,0)))</f>
        <v xml:space="preserve"> </v>
      </c>
      <c r="O212" s="556" t="str">
        <f>IF(ISERROR(VLOOKUP(C212,'Base de Datos'!$D$7:$N$4330,9,0))=TRUE," ",(VLOOKUP(C212,'Base de Datos'!$D$7:$N$4330,9,0)))</f>
        <v xml:space="preserve"> </v>
      </c>
      <c r="P212" s="618" t="e">
        <f>VLOOKUP(B212,#REF!,13,0)</f>
        <v>#REF!</v>
      </c>
      <c r="Q212" s="556" t="str">
        <f>IF(ISERROR(VLOOKUP(C212,'Base de Datos'!$D$7:$N$4330,10,0))=TRUE," ",(VLOOKUP(C212,'Base de Datos'!$D$7:$N$4330,10,0)))</f>
        <v xml:space="preserve"> </v>
      </c>
      <c r="R212" s="556" t="str">
        <f>IF(ISERROR(VLOOKUP(C212,'Base de Datos'!$D$7:$N$4330,11,0))=TRUE," ",(VLOOKUP(C212,'Base de Datos'!$D$7:$N$4330,11,0)))</f>
        <v xml:space="preserve"> </v>
      </c>
      <c r="S212" s="619" t="s">
        <v>1995</v>
      </c>
      <c r="T212" s="727"/>
      <c r="U212" s="784"/>
    </row>
    <row r="213" spans="2:21" s="620" customFormat="1" ht="24" outlineLevel="1" x14ac:dyDescent="0.25">
      <c r="B213" s="632">
        <v>235</v>
      </c>
      <c r="C213" s="632" t="str">
        <f t="shared" si="16"/>
        <v>2016235</v>
      </c>
      <c r="D213" s="538" t="str">
        <f>IF(ISERROR(VLOOKUP(C213,'Base de Datos'!$D$7:$F$4345,2,0))=TRUE,"",(VLOOKUP(C213,'Base de Datos'!$D$7:$F$4345,2,0)))</f>
        <v/>
      </c>
      <c r="E213" s="712" t="s">
        <v>2414</v>
      </c>
      <c r="F213" s="635">
        <v>10000000</v>
      </c>
      <c r="G213" s="783">
        <v>42415</v>
      </c>
      <c r="H213" s="817"/>
      <c r="I213" s="838" t="str">
        <f ca="1">IF(H213=Hoja1!$J$2," ",(IF(MONTH(G213)=MONTH(TODAY()),IF(DAY(G213)&gt;DAY(TODAY()),"Quedan "&amp;ABS(DAY(G213)-DAY(TODAY()))&amp;" Días","Hace "&amp;ABS(DAY(G213)-DAY(TODAY()))&amp;" Días"),"")))</f>
        <v/>
      </c>
      <c r="J213" s="541" t="str">
        <f>IF(ISERROR(VLOOKUP(C213,'Base de Datos'!$D$7:$N$4345,6,0))=TRUE,"Sin Celebrar",(VLOOKUP(C213,'Base de Datos'!$D$7:$N$4345,6,0)))</f>
        <v>Sin Celebrar</v>
      </c>
      <c r="K213" s="619"/>
      <c r="L213" s="541">
        <f t="shared" si="17"/>
        <v>10000000</v>
      </c>
      <c r="M213" s="541" t="str">
        <f t="shared" si="18"/>
        <v xml:space="preserve"> </v>
      </c>
      <c r="N213" s="724" t="str">
        <f>IF(ISERROR(VLOOKUP(C213,'Base de Datos'!$D$7:$K$1048576,7,0))=TRUE," ",(VLOOKUP(C213,'Base de Datos'!$D$7:$K$1048576,7,0)))</f>
        <v xml:space="preserve"> </v>
      </c>
      <c r="O213" s="556" t="str">
        <f>IF(ISERROR(VLOOKUP(C213,'Base de Datos'!$D$7:$N$4330,9,0))=TRUE," ",(VLOOKUP(C213,'Base de Datos'!$D$7:$N$4330,9,0)))</f>
        <v xml:space="preserve"> </v>
      </c>
      <c r="P213" s="618" t="e">
        <f>VLOOKUP(B213,#REF!,13,0)</f>
        <v>#REF!</v>
      </c>
      <c r="Q213" s="556" t="str">
        <f>IF(ISERROR(VLOOKUP(C213,'Base de Datos'!$D$7:$N$4330,10,0))=TRUE," ",(VLOOKUP(C213,'Base de Datos'!$D$7:$N$4330,10,0)))</f>
        <v xml:space="preserve"> </v>
      </c>
      <c r="R213" s="556" t="str">
        <f>IF(ISERROR(VLOOKUP(C213,'Base de Datos'!$D$7:$N$4330,11,0))=TRUE," ",(VLOOKUP(C213,'Base de Datos'!$D$7:$N$4330,11,0)))</f>
        <v xml:space="preserve"> </v>
      </c>
      <c r="S213" s="619" t="s">
        <v>1995</v>
      </c>
      <c r="T213" s="727"/>
      <c r="U213" s="784"/>
    </row>
    <row r="214" spans="2:21" s="620" customFormat="1" ht="24" outlineLevel="1" x14ac:dyDescent="0.25">
      <c r="B214" s="632">
        <v>98</v>
      </c>
      <c r="C214" s="632" t="str">
        <f t="shared" si="16"/>
        <v>201698</v>
      </c>
      <c r="D214" s="538" t="str">
        <f>IF(ISERROR(VLOOKUP(C214,'Base de Datos'!$D$7:$F$4345,2,0))=TRUE,"",(VLOOKUP(C214,'Base de Datos'!$D$7:$F$4345,2,0)))</f>
        <v>160066-0-2016</v>
      </c>
      <c r="E214" s="712" t="s">
        <v>2346</v>
      </c>
      <c r="F214" s="635">
        <v>56650000</v>
      </c>
      <c r="G214" s="783">
        <v>42415</v>
      </c>
      <c r="H214" s="817"/>
      <c r="I214" s="838" t="str">
        <f ca="1">IF(H214=Hoja1!$J$2," ",(IF(MONTH(G214)=MONTH(TODAY()),IF(DAY(G214)&gt;DAY(TODAY()),"Quedan "&amp;ABS(DAY(G214)-DAY(TODAY()))&amp;" Días","Hace "&amp;ABS(DAY(G214)-DAY(TODAY()))&amp;" Días"),"")))</f>
        <v/>
      </c>
      <c r="J214" s="541">
        <f>IF(ISERROR(VLOOKUP(C214,'Base de Datos'!$D$7:$N$4345,6,0))=TRUE,"Sin Celebrar",(VLOOKUP(C214,'Base de Datos'!$D$7:$N$4345,6,0)))</f>
        <v>56650000</v>
      </c>
      <c r="K214" s="619"/>
      <c r="L214" s="541" t="str">
        <f t="shared" si="17"/>
        <v xml:space="preserve"> </v>
      </c>
      <c r="M214" s="541" t="str">
        <f t="shared" si="18"/>
        <v xml:space="preserve"> </v>
      </c>
      <c r="N214" s="724" t="str">
        <f>IF(ISERROR(VLOOKUP(C214,'Base de Datos'!$D$7:$K$1048576,7,0))=TRUE," ",(VLOOKUP(C214,'Base de Datos'!$D$7:$K$1048576,7,0)))</f>
        <v>160066-0-2016</v>
      </c>
      <c r="O214" s="556">
        <f>IF(ISERROR(VLOOKUP(C214,'Base de Datos'!$D$7:$N$4330,9,0))=TRUE," ",(VLOOKUP(C214,'Base de Datos'!$D$7:$N$4330,9,0)))</f>
        <v>42466</v>
      </c>
      <c r="P214" s="618" t="e">
        <f>VLOOKUP(B214,#REF!,13,0)</f>
        <v>#REF!</v>
      </c>
      <c r="Q214" s="556">
        <f>IF(ISERROR(VLOOKUP(C214,'Base de Datos'!$D$7:$N$4330,10,0))=TRUE," ",(VLOOKUP(C214,'Base de Datos'!$D$7:$N$4330,10,0)))</f>
        <v>42466</v>
      </c>
      <c r="R214" s="556">
        <f>IF(ISERROR(VLOOKUP(C214,'Base de Datos'!$D$7:$N$4330,11,0))=TRUE," ",(VLOOKUP(C214,'Base de Datos'!$D$7:$N$4330,11,0)))</f>
        <v>42772</v>
      </c>
      <c r="S214" s="619" t="s">
        <v>1995</v>
      </c>
      <c r="T214" s="727"/>
      <c r="U214" s="784"/>
    </row>
    <row r="215" spans="2:21" s="620" customFormat="1" ht="24" outlineLevel="1" x14ac:dyDescent="0.25">
      <c r="B215" s="632">
        <v>233</v>
      </c>
      <c r="C215" s="632" t="str">
        <f t="shared" si="16"/>
        <v>2016233</v>
      </c>
      <c r="D215" s="538" t="str">
        <f>IF(ISERROR(VLOOKUP(C215,'Base de Datos'!$D$7:$F$4345,2,0))=TRUE,"",(VLOOKUP(C215,'Base de Datos'!$D$7:$F$4345,2,0)))</f>
        <v>160319-0-2016</v>
      </c>
      <c r="E215" s="712" t="s">
        <v>2412</v>
      </c>
      <c r="F215" s="635">
        <v>420750000</v>
      </c>
      <c r="G215" s="783">
        <v>42449</v>
      </c>
      <c r="H215" s="817"/>
      <c r="I215" s="838" t="str">
        <f ca="1">IF(H215=Hoja1!$J$2," ",(IF(MONTH(G215)=MONTH(TODAY()),IF(DAY(G215)&gt;DAY(TODAY()),"Quedan "&amp;ABS(DAY(G215)-DAY(TODAY()))&amp;" Días","Hace "&amp;ABS(DAY(G215)-DAY(TODAY()))&amp;" Días"),"")))</f>
        <v/>
      </c>
      <c r="J215" s="541">
        <f>IF(ISERROR(VLOOKUP(C215,'Base de Datos'!$D$7:$N$4345,6,0))=TRUE,"Sin Celebrar",(VLOOKUP(C215,'Base de Datos'!$D$7:$N$4345,6,0)))</f>
        <v>564700000</v>
      </c>
      <c r="K215" s="619"/>
      <c r="L215" s="541" t="str">
        <f t="shared" si="17"/>
        <v xml:space="preserve"> </v>
      </c>
      <c r="M215" s="541" t="str">
        <f t="shared" si="18"/>
        <v xml:space="preserve"> </v>
      </c>
      <c r="N215" s="724" t="str">
        <f>IF(ISERROR(VLOOKUP(C215,'Base de Datos'!$D$7:$K$1048576,7,0))=TRUE," ",(VLOOKUP(C215,'Base de Datos'!$D$7:$K$1048576,7,0)))</f>
        <v>SDH-SIE-19-2016</v>
      </c>
      <c r="O215" s="556">
        <f>IF(ISERROR(VLOOKUP(C215,'Base de Datos'!$D$7:$N$4330,9,0))=TRUE," ",(VLOOKUP(C215,'Base de Datos'!$D$7:$N$4330,9,0)))</f>
        <v>42734</v>
      </c>
      <c r="P215" s="618" t="e">
        <f>VLOOKUP(B215,#REF!,13,0)</f>
        <v>#REF!</v>
      </c>
      <c r="Q215" s="556">
        <f>IF(ISERROR(VLOOKUP(C215,'Base de Datos'!$D$7:$N$4330,10,0))=TRUE," ",(VLOOKUP(C215,'Base de Datos'!$D$7:$N$4330,10,0)))</f>
        <v>42747</v>
      </c>
      <c r="R215" s="556">
        <f>IF(ISERROR(VLOOKUP(C215,'Base de Datos'!$D$7:$N$4330,11,0))=TRUE," ",(VLOOKUP(C215,'Base de Datos'!$D$7:$N$4330,11,0)))</f>
        <v>42837</v>
      </c>
      <c r="S215" s="619" t="s">
        <v>1995</v>
      </c>
      <c r="T215" s="727"/>
      <c r="U215" s="784"/>
    </row>
    <row r="216" spans="2:21" s="620" customFormat="1" ht="24" outlineLevel="1" x14ac:dyDescent="0.25">
      <c r="B216" s="632">
        <v>97</v>
      </c>
      <c r="C216" s="632" t="str">
        <f t="shared" si="16"/>
        <v>201697</v>
      </c>
      <c r="D216" s="538" t="str">
        <f>IF(ISERROR(VLOOKUP(C216,'Base de Datos'!$D$7:$F$4345,2,0))=TRUE,"",(VLOOKUP(C216,'Base de Datos'!$D$7:$F$4345,2,0)))</f>
        <v/>
      </c>
      <c r="E216" s="712" t="s">
        <v>2347</v>
      </c>
      <c r="F216" s="635">
        <v>6000000</v>
      </c>
      <c r="G216" s="783">
        <v>42415</v>
      </c>
      <c r="H216" s="817"/>
      <c r="I216" s="838" t="str">
        <f ca="1">IF(H216=Hoja1!$J$2," ",(IF(MONTH(G216)=MONTH(TODAY()),IF(DAY(G216)&gt;DAY(TODAY()),"Quedan "&amp;ABS(DAY(G216)-DAY(TODAY()))&amp;" Días","Hace "&amp;ABS(DAY(G216)-DAY(TODAY()))&amp;" Días"),"")))</f>
        <v/>
      </c>
      <c r="J216" s="541" t="str">
        <f>IF(ISERROR(VLOOKUP(C216,'Base de Datos'!$D$7:$N$4345,6,0))=TRUE,"Sin Celebrar",(VLOOKUP(C216,'Base de Datos'!$D$7:$N$4345,6,0)))</f>
        <v>Sin Celebrar</v>
      </c>
      <c r="K216" s="619"/>
      <c r="L216" s="541">
        <f t="shared" si="17"/>
        <v>6000000</v>
      </c>
      <c r="M216" s="541" t="str">
        <f t="shared" si="18"/>
        <v xml:space="preserve"> </v>
      </c>
      <c r="N216" s="724" t="str">
        <f>IF(ISERROR(VLOOKUP(C216,'Base de Datos'!$D$7:$K$1048576,7,0))=TRUE," ",(VLOOKUP(C216,'Base de Datos'!$D$7:$K$1048576,7,0)))</f>
        <v xml:space="preserve"> </v>
      </c>
      <c r="O216" s="556" t="str">
        <f>IF(ISERROR(VLOOKUP(C216,'Base de Datos'!$D$7:$N$4330,9,0))=TRUE," ",(VLOOKUP(C216,'Base de Datos'!$D$7:$N$4330,9,0)))</f>
        <v xml:space="preserve"> </v>
      </c>
      <c r="P216" s="618" t="e">
        <f>VLOOKUP(B216,#REF!,13,0)</f>
        <v>#REF!</v>
      </c>
      <c r="Q216" s="556" t="str">
        <f>IF(ISERROR(VLOOKUP(C216,'Base de Datos'!$D$7:$N$4330,10,0))=TRUE," ",(VLOOKUP(C216,'Base de Datos'!$D$7:$N$4330,10,0)))</f>
        <v xml:space="preserve"> </v>
      </c>
      <c r="R216" s="556" t="str">
        <f>IF(ISERROR(VLOOKUP(C216,'Base de Datos'!$D$7:$N$4330,11,0))=TRUE," ",(VLOOKUP(C216,'Base de Datos'!$D$7:$N$4330,11,0)))</f>
        <v xml:space="preserve"> </v>
      </c>
      <c r="S216" s="619" t="s">
        <v>1995</v>
      </c>
      <c r="T216" s="727"/>
      <c r="U216" s="784"/>
    </row>
    <row r="217" spans="2:21" s="620" customFormat="1" ht="24" outlineLevel="1" x14ac:dyDescent="0.25">
      <c r="B217" s="632">
        <v>150</v>
      </c>
      <c r="C217" s="632" t="str">
        <f t="shared" si="16"/>
        <v>2016150</v>
      </c>
      <c r="D217" s="538"/>
      <c r="E217" s="712" t="s">
        <v>2409</v>
      </c>
      <c r="F217" s="635">
        <v>550000000</v>
      </c>
      <c r="G217" s="783">
        <v>42019</v>
      </c>
      <c r="H217" s="817"/>
      <c r="I217" s="838" t="str">
        <f ca="1">IF(H217=Hoja1!$J$2," ",(IF(MONTH(G217)=MONTH(TODAY()),IF(DAY(G217)&gt;DAY(TODAY()),"Quedan "&amp;ABS(DAY(G217)-DAY(TODAY()))&amp;" Días","Hace "&amp;ABS(DAY(G217)-DAY(TODAY()))&amp;" Días"),"")))</f>
        <v>Hace 3 Días</v>
      </c>
      <c r="J217" s="541" t="str">
        <f>IF(ISERROR(VLOOKUP(C217,'Base de Datos'!$D$7:$N$4345,6,0))=TRUE,"Sin Celebrar",(VLOOKUP(C217,'Base de Datos'!$D$7:$N$4345,6,0)))</f>
        <v>Sin Celebrar</v>
      </c>
      <c r="K217" s="619"/>
      <c r="L217" s="541">
        <f>IF(J217=$W$7,F217, " ")</f>
        <v>550000000</v>
      </c>
      <c r="M217" s="541" t="str">
        <f>IF(J217&lt;F217,(F217-J217)," ")</f>
        <v xml:space="preserve"> </v>
      </c>
      <c r="N217" s="724" t="str">
        <f>IF(ISERROR(VLOOKUP(C217,'Base de Datos'!$D$7:$K$1048576,7,0))=TRUE," ",(VLOOKUP(C217,'Base de Datos'!$D$7:$K$1048576,7,0)))</f>
        <v xml:space="preserve"> </v>
      </c>
      <c r="O217" s="556" t="str">
        <f>IF(ISERROR(VLOOKUP(C217,'Base de Datos'!$D$7:$N$4330,9,0))=TRUE," ",(VLOOKUP(C217,'Base de Datos'!$D$7:$N$4330,9,0)))</f>
        <v xml:space="preserve"> </v>
      </c>
      <c r="P217" s="618" t="e">
        <f>VLOOKUP(B217,#REF!,13,0)</f>
        <v>#REF!</v>
      </c>
      <c r="Q217" s="556" t="str">
        <f>IF(ISERROR(VLOOKUP(C217,'Base de Datos'!$D$7:$N$4330,10,0))=TRUE," ",(VLOOKUP(C217,'Base de Datos'!$D$7:$N$4330,10,0)))</f>
        <v xml:space="preserve"> </v>
      </c>
      <c r="R217" s="556" t="str">
        <f>IF(ISERROR(VLOOKUP(C217,'Base de Datos'!$D$7:$N$4330,11,0))=TRUE," ",(VLOOKUP(C217,'Base de Datos'!$D$7:$N$4330,11,0)))</f>
        <v xml:space="preserve"> </v>
      </c>
      <c r="S217" s="619" t="s">
        <v>1995</v>
      </c>
      <c r="T217" s="727"/>
      <c r="U217" s="784"/>
    </row>
    <row r="218" spans="2:21" s="620" customFormat="1" ht="24" outlineLevel="1" x14ac:dyDescent="0.25">
      <c r="B218" s="632">
        <v>234</v>
      </c>
      <c r="C218" s="632" t="str">
        <f t="shared" si="16"/>
        <v>2016234</v>
      </c>
      <c r="D218" s="538"/>
      <c r="E218" s="712" t="s">
        <v>2413</v>
      </c>
      <c r="F218" s="635">
        <v>162400000</v>
      </c>
      <c r="G218" s="783">
        <v>42439</v>
      </c>
      <c r="H218" s="817"/>
      <c r="I218" s="838" t="str">
        <f ca="1">IF(H218=Hoja1!$J$2," ",(IF(MONTH(G218)=MONTH(TODAY()),IF(DAY(G218)&gt;DAY(TODAY()),"Quedan "&amp;ABS(DAY(G218)-DAY(TODAY()))&amp;" Días","Hace "&amp;ABS(DAY(G218)-DAY(TODAY()))&amp;" Días"),"")))</f>
        <v/>
      </c>
      <c r="J218" s="541">
        <f>IF(ISERROR(VLOOKUP(C218,'Base de Datos'!$D$7:$N$4345,6,0))=TRUE,"Sin Celebrar",(VLOOKUP(C218,'Base de Datos'!$D$7:$N$4345,6,0)))</f>
        <v>112554160</v>
      </c>
      <c r="K218" s="619"/>
      <c r="L218" s="541" t="str">
        <f>IF(J218=$W$7,F218, " ")</f>
        <v xml:space="preserve"> </v>
      </c>
      <c r="M218" s="541">
        <f>IF(J218&lt;F218,(F218-J218)," ")</f>
        <v>49845840</v>
      </c>
      <c r="N218" s="724" t="str">
        <f>IF(ISERROR(VLOOKUP(C218,'Base de Datos'!$D$7:$K$1048576,7,0))=TRUE," ",(VLOOKUP(C218,'Base de Datos'!$D$7:$K$1048576,7,0)))</f>
        <v>Orden de compra No.. 12051</v>
      </c>
      <c r="O218" s="556">
        <f>IF(ISERROR(VLOOKUP(C218,'Base de Datos'!$D$7:$N$4330,9,0))=TRUE," ",(VLOOKUP(C218,'Base de Datos'!$D$7:$N$4330,9,0)))</f>
        <v>42696</v>
      </c>
      <c r="P218" s="618" t="e">
        <f>VLOOKUP(B218,#REF!,13,0)</f>
        <v>#REF!</v>
      </c>
      <c r="Q218" s="556">
        <f>IF(ISERROR(VLOOKUP(C218,'Base de Datos'!$D$7:$N$4330,10,0))=TRUE," ",(VLOOKUP(C218,'Base de Datos'!$D$7:$N$4330,10,0)))</f>
        <v>42696</v>
      </c>
      <c r="R218" s="556">
        <f>IF(ISERROR(VLOOKUP(C218,'Base de Datos'!$D$7:$N$4330,11,0))=TRUE," ",(VLOOKUP(C218,'Base de Datos'!$D$7:$N$4330,11,0)))</f>
        <v>42726</v>
      </c>
      <c r="S218" s="619" t="s">
        <v>1995</v>
      </c>
      <c r="T218" s="727"/>
      <c r="U218" s="784"/>
    </row>
    <row r="219" spans="2:21" s="620" customFormat="1" outlineLevel="1" x14ac:dyDescent="0.25">
      <c r="B219" s="619"/>
      <c r="C219" s="619"/>
      <c r="D219" s="619"/>
      <c r="E219" s="619"/>
      <c r="F219" s="635"/>
      <c r="G219" s="783"/>
      <c r="H219" s="783"/>
      <c r="I219" s="619"/>
      <c r="J219" s="619"/>
      <c r="K219" s="619"/>
      <c r="L219" s="619"/>
      <c r="M219" s="635"/>
      <c r="N219" s="700"/>
      <c r="O219" s="634"/>
      <c r="P219" s="619"/>
      <c r="Q219" s="619"/>
      <c r="R219" s="619"/>
      <c r="S219" s="619"/>
      <c r="T219" s="727"/>
      <c r="U219" s="639"/>
    </row>
    <row r="220" spans="2:21" ht="45.75" customHeight="1" outlineLevel="1" x14ac:dyDescent="0.25">
      <c r="B220" s="538"/>
      <c r="C220" s="538"/>
      <c r="D220" s="1124" t="s">
        <v>1936</v>
      </c>
      <c r="E220" s="1124"/>
      <c r="F220" s="625">
        <f>+F221</f>
        <v>3738700000</v>
      </c>
      <c r="G220" s="827">
        <f>COUNT(G221)</f>
        <v>1</v>
      </c>
      <c r="H220" s="826">
        <f>COUNTIF(H221:H221,Hoja1!$J$2)</f>
        <v>0</v>
      </c>
      <c r="I220" s="777"/>
      <c r="J220" s="625">
        <f>SUM(J221)</f>
        <v>3454655000</v>
      </c>
      <c r="K220" s="628">
        <f>+J220/F220</f>
        <v>0.92402573086901862</v>
      </c>
      <c r="L220" s="625">
        <f>SUM(L221)</f>
        <v>0</v>
      </c>
      <c r="M220" s="625">
        <f>+M221</f>
        <v>284045000</v>
      </c>
      <c r="N220" s="701"/>
      <c r="O220" s="631"/>
      <c r="P220" s="777"/>
      <c r="Q220" s="777"/>
      <c r="R220" s="777"/>
      <c r="S220" s="777"/>
      <c r="T220" s="727"/>
      <c r="U220" s="639"/>
    </row>
    <row r="221" spans="2:21" ht="24" outlineLevel="1" x14ac:dyDescent="0.25">
      <c r="B221" s="542">
        <v>152</v>
      </c>
      <c r="C221" s="632" t="str">
        <f>$W$6&amp;B221</f>
        <v>2016152</v>
      </c>
      <c r="D221" s="538" t="str">
        <f>IF(ISERROR(VLOOKUP(C221,'Base de Datos'!$D$7:$F$4345,2,0))=TRUE,"",(VLOOKUP(C221,'Base de Datos'!$D$7:$F$4345,2,0)))</f>
        <v>160069-0-2016</v>
      </c>
      <c r="E221" s="619" t="s">
        <v>1509</v>
      </c>
      <c r="F221" s="541">
        <v>3738700000</v>
      </c>
      <c r="G221" s="818">
        <v>42401</v>
      </c>
      <c r="H221" s="817"/>
      <c r="I221" s="838" t="str">
        <f ca="1">IF(H221=Hoja1!$J$2," ",(IF(MONTH(G221)=MONTH(TODAY()),IF(DAY(G221)&gt;DAY(TODAY()),"Quedan "&amp;ABS(DAY(G221)-DAY(TODAY()))&amp;" Días","Hace "&amp;ABS(DAY(G221)-DAY(TODAY()))&amp;" Días"),"")))</f>
        <v/>
      </c>
      <c r="J221" s="541">
        <f>IF(ISERROR(VLOOKUP(C221,'Base de Datos'!$D$7:$N$4345,6,0))=TRUE,"Sin Celebrar",(VLOOKUP(C221,'Base de Datos'!$D$7:$N$4345,6,0)))</f>
        <v>3454655000</v>
      </c>
      <c r="K221" s="541"/>
      <c r="L221" s="541" t="str">
        <f>IF(J221=$W$7,F221, " ")</f>
        <v xml:space="preserve"> </v>
      </c>
      <c r="M221" s="541">
        <f>IF(J221&lt;F221,(F221-J221)," ")</f>
        <v>284045000</v>
      </c>
      <c r="N221" s="724" t="str">
        <f>IF(ISERROR(VLOOKUP(C221,'Base de Datos'!$D$7:$K$1048576,7,0))=TRUE," ",(VLOOKUP(C221,'Base de Datos'!$D$7:$K$1048576,7,0)))</f>
        <v>160069-0-2016</v>
      </c>
      <c r="O221" s="556">
        <f>IF(ISERROR(VLOOKUP(C221,'Base de Datos'!$D$7:$N$4330,9,0))=TRUE," ",(VLOOKUP(C221,'Base de Datos'!$D$7:$N$4330,9,0)))</f>
        <v>42468</v>
      </c>
      <c r="P221" s="618" t="e">
        <f>VLOOKUP(B221,#REF!,13,0)</f>
        <v>#REF!</v>
      </c>
      <c r="Q221" s="556">
        <f>IF(ISERROR(VLOOKUP(C221,'Base de Datos'!$D$7:$N$4330,10,0))=TRUE," ",(VLOOKUP(C221,'Base de Datos'!$D$7:$N$4330,10,0)))</f>
        <v>42468</v>
      </c>
      <c r="R221" s="556">
        <f>IF(ISERROR(VLOOKUP(C221,'Base de Datos'!$D$7:$N$4330,11,0))=TRUE," ",(VLOOKUP(C221,'Base de Datos'!$D$7:$N$4330,11,0)))</f>
        <v>42735</v>
      </c>
      <c r="S221" s="538" t="s">
        <v>2357</v>
      </c>
      <c r="T221" s="727"/>
      <c r="U221" s="639"/>
    </row>
    <row r="222" spans="2:21" x14ac:dyDescent="0.25">
      <c r="B222" s="767"/>
      <c r="C222" s="767"/>
      <c r="D222" s="768"/>
      <c r="E222" s="768"/>
      <c r="F222" s="769"/>
      <c r="G222" s="824"/>
      <c r="H222" s="824"/>
      <c r="I222" s="770"/>
      <c r="J222" s="769"/>
      <c r="K222" s="769"/>
      <c r="L222" s="769"/>
      <c r="M222" s="769"/>
      <c r="N222" s="771"/>
      <c r="O222" s="772"/>
      <c r="P222" s="768"/>
      <c r="Q222" s="772"/>
      <c r="R222" s="772"/>
      <c r="S222" s="768"/>
      <c r="T222" s="727"/>
      <c r="U222" s="639"/>
    </row>
    <row r="223" spans="2:21" x14ac:dyDescent="0.25">
      <c r="B223" s="767"/>
      <c r="C223" s="767"/>
      <c r="D223" s="768"/>
      <c r="E223" s="768"/>
      <c r="F223" s="769"/>
      <c r="G223" s="824"/>
      <c r="H223" s="824"/>
      <c r="I223" s="770"/>
      <c r="J223" s="769"/>
      <c r="K223" s="769"/>
      <c r="L223" s="769"/>
      <c r="M223" s="769"/>
      <c r="N223" s="771"/>
      <c r="O223" s="772"/>
      <c r="P223" s="768"/>
      <c r="Q223" s="772"/>
      <c r="R223" s="772"/>
      <c r="S223" s="768"/>
      <c r="T223" s="727"/>
      <c r="U223" s="639"/>
    </row>
    <row r="224" spans="2:21" x14ac:dyDescent="0.25">
      <c r="B224" s="767"/>
      <c r="C224" s="767"/>
      <c r="D224" s="768"/>
      <c r="E224" s="768"/>
      <c r="F224" s="769"/>
      <c r="G224" s="824"/>
      <c r="H224" s="824"/>
      <c r="I224" s="770"/>
      <c r="J224" s="769"/>
      <c r="K224" s="769"/>
      <c r="L224" s="769"/>
      <c r="M224" s="769"/>
      <c r="N224" s="771"/>
      <c r="O224" s="772"/>
      <c r="P224" s="768"/>
      <c r="Q224" s="772"/>
      <c r="R224" s="772"/>
      <c r="S224" s="768"/>
      <c r="T224" s="727"/>
      <c r="U224" s="639"/>
    </row>
    <row r="225" spans="17:17" x14ac:dyDescent="0.25">
      <c r="Q225" s="702"/>
    </row>
  </sheetData>
  <mergeCells count="55">
    <mergeCell ref="B6:E6"/>
    <mergeCell ref="B1:S1"/>
    <mergeCell ref="B2:E2"/>
    <mergeCell ref="B3:E3"/>
    <mergeCell ref="B4:E4"/>
    <mergeCell ref="B5:E5"/>
    <mergeCell ref="H2:I2"/>
    <mergeCell ref="B39:E39"/>
    <mergeCell ref="B40:E40"/>
    <mergeCell ref="B41:E41"/>
    <mergeCell ref="B60:E60"/>
    <mergeCell ref="B7:E7"/>
    <mergeCell ref="B8:E8"/>
    <mergeCell ref="B30:E30"/>
    <mergeCell ref="B33:E33"/>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90:E190"/>
    <mergeCell ref="B191:E191"/>
    <mergeCell ref="B179:E179"/>
    <mergeCell ref="B166:E166"/>
    <mergeCell ref="B174:E174"/>
    <mergeCell ref="B175:E175"/>
    <mergeCell ref="B185:E185"/>
    <mergeCell ref="B186:E18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pane="topRight" activeCell="F1" sqref="F1"/>
      <selection pane="bottomLeft" activeCell="A3" sqref="A3"/>
      <selection pane="bottomRight" activeCell="N43" sqref="N43"/>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1" t="s">
        <v>1844</v>
      </c>
      <c r="C1" s="1132"/>
      <c r="D1" s="1132"/>
      <c r="E1" s="1132"/>
      <c r="F1" s="1132"/>
      <c r="G1" s="1132"/>
      <c r="H1" s="1132"/>
      <c r="I1" s="1132"/>
      <c r="J1" s="1132"/>
      <c r="K1" s="1132"/>
      <c r="L1" s="1132"/>
      <c r="M1" s="1132"/>
      <c r="N1" s="1132"/>
      <c r="O1" s="1132"/>
      <c r="P1" s="1132"/>
      <c r="Q1" s="1132"/>
      <c r="R1" s="1132"/>
      <c r="S1" s="1132"/>
      <c r="T1" s="1133"/>
      <c r="AA1" s="540" t="s">
        <v>1906</v>
      </c>
    </row>
    <row r="2" spans="2:27" ht="36" x14ac:dyDescent="0.25">
      <c r="B2" s="1138" t="s">
        <v>1786</v>
      </c>
      <c r="C2" s="1138"/>
      <c r="D2" s="1138"/>
      <c r="E2" s="904" t="s">
        <v>2270</v>
      </c>
      <c r="F2" s="904" t="s">
        <v>1845</v>
      </c>
      <c r="G2" s="904" t="s">
        <v>1900</v>
      </c>
      <c r="H2" s="904" t="s">
        <v>1901</v>
      </c>
      <c r="I2" s="904" t="s">
        <v>1843</v>
      </c>
      <c r="J2" s="904" t="s">
        <v>1902</v>
      </c>
      <c r="K2" s="721" t="s">
        <v>1903</v>
      </c>
      <c r="L2" s="904" t="s">
        <v>1904</v>
      </c>
      <c r="M2" s="904" t="s">
        <v>1905</v>
      </c>
      <c r="N2" s="904" t="s">
        <v>1907</v>
      </c>
      <c r="O2" s="722" t="s">
        <v>1123</v>
      </c>
      <c r="P2" s="723" t="s">
        <v>1850</v>
      </c>
      <c r="Q2" s="904" t="s">
        <v>1851</v>
      </c>
      <c r="R2" s="904" t="s">
        <v>1852</v>
      </c>
      <c r="S2" s="904" t="s">
        <v>375</v>
      </c>
      <c r="T2" s="904" t="s">
        <v>1853</v>
      </c>
    </row>
    <row r="3" spans="2:27" ht="15" customHeight="1" x14ac:dyDescent="0.25">
      <c r="B3" s="1125" t="s">
        <v>1689</v>
      </c>
      <c r="C3" s="1125"/>
      <c r="D3" s="1125"/>
      <c r="E3" s="546">
        <v>31035477000</v>
      </c>
      <c r="F3" s="546"/>
      <c r="G3" s="546"/>
      <c r="H3" s="546"/>
      <c r="I3" s="546">
        <f>+I4+I226</f>
        <v>8272977000</v>
      </c>
      <c r="J3" s="546">
        <f>+J4+J226</f>
        <v>29875806152.200001</v>
      </c>
      <c r="K3" s="651">
        <f t="shared" ref="K3:K8" si="0">+J3/E3</f>
        <v>0.96263402531883113</v>
      </c>
      <c r="L3" s="546" t="e">
        <f>+L4+L226</f>
        <v>#N/A</v>
      </c>
      <c r="M3" s="546" t="e">
        <f>+M4+M251</f>
        <v>#N/A</v>
      </c>
      <c r="N3" s="546" t="e">
        <f>+N4+N226</f>
        <v>#N/A</v>
      </c>
      <c r="O3" s="546"/>
      <c r="P3" s="656"/>
      <c r="Q3" s="576"/>
      <c r="R3" s="576"/>
      <c r="S3" s="576"/>
      <c r="T3" s="576"/>
    </row>
    <row r="4" spans="2:27" ht="15" customHeight="1" x14ac:dyDescent="0.25">
      <c r="B4" s="1125" t="s">
        <v>1687</v>
      </c>
      <c r="C4" s="1125"/>
      <c r="D4" s="1125"/>
      <c r="E4" s="546">
        <v>22793000000</v>
      </c>
      <c r="F4" s="547"/>
      <c r="G4" s="546">
        <f>+G5+G58</f>
        <v>858500000</v>
      </c>
      <c r="H4" s="546">
        <f>+H5+H58</f>
        <v>128000000</v>
      </c>
      <c r="I4" s="546">
        <f>+I5+I58</f>
        <v>730500000</v>
      </c>
      <c r="J4" s="546">
        <f>+J5+J49</f>
        <v>18266510577</v>
      </c>
      <c r="K4" s="651">
        <f t="shared" si="0"/>
        <v>0.8014087911639538</v>
      </c>
      <c r="L4" s="546" t="e">
        <f>+L5+L49</f>
        <v>#N/A</v>
      </c>
      <c r="M4" s="546" t="e">
        <f>+M5+M49</f>
        <v>#N/A</v>
      </c>
      <c r="N4" s="546" t="e">
        <f>+N5+N49</f>
        <v>#N/A</v>
      </c>
      <c r="O4" s="679"/>
      <c r="P4" s="577"/>
      <c r="Q4" s="576"/>
      <c r="R4" s="576"/>
      <c r="S4" s="576"/>
      <c r="T4" s="576"/>
    </row>
    <row r="5" spans="2:27" ht="15" customHeight="1" x14ac:dyDescent="0.25">
      <c r="B5" s="1121" t="s">
        <v>1686</v>
      </c>
      <c r="C5" s="1121"/>
      <c r="D5" s="1121"/>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21" t="s">
        <v>1685</v>
      </c>
      <c r="C6" s="1121"/>
      <c r="D6" s="1121"/>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21" t="s">
        <v>1684</v>
      </c>
      <c r="C7" s="1121"/>
      <c r="D7" s="1121"/>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18" t="s">
        <v>1646</v>
      </c>
      <c r="C8" s="1118"/>
      <c r="D8" s="1118"/>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2017'!B10,'Base de Datos'!$C$7:$F$4345,3,0)))</f>
        <v>170115-0-2017</v>
      </c>
      <c r="D10" s="538" t="str">
        <f>IF(ISERROR(VLOOKUP(B10,'Base de Datos'!$C$487:$F$4345,3,0))=TRUE,"",(VLOOKUP('Presupuesto - PAA 2017'!B10,'Base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2017'!B11,'Base de Datos'!$C$7:$F$4345,3,0)))</f>
        <v>150321-0-2015</v>
      </c>
      <c r="D11" s="538" t="str">
        <f>IF(ISERROR(VLOOKUP(B11,'Base de Datos'!$C$487:$F$4345,3,0))=TRUE,"",(VLOOKUP('Presupuesto - PAA 2017'!B11,'Base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2017'!B12,'Base de Datos'!$C$7:$F$4345,3,0)))</f>
        <v>150123-0-2015</v>
      </c>
      <c r="D12" s="538" t="str">
        <f>IF(ISERROR(VLOOKUP(B12,'Base de Datos'!$C$487:$F$4345,3,0))=TRUE,"",(VLOOKUP('Presupuesto - PAA 2017'!B12,'Base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2017'!B13,'Base de Datos'!$C$7:$F$4345,3,0)))</f>
        <v>150228-0-2015</v>
      </c>
      <c r="D13" s="538" t="str">
        <f>IF(ISERROR(VLOOKUP(B13,'Base de Datos'!$C$487:$F$4345,3,0))=TRUE,"",(VLOOKUP('Presupuesto - PAA 2017'!B13,'Base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2017'!B14,'Base de Datos'!$C$7:$F$4345,3,0)))</f>
        <v/>
      </c>
      <c r="D14" s="538" t="str">
        <f>IF(ISERROR(VLOOKUP(B14,'Base de Datos'!$C$487:$F$4345,3,0))=TRUE,"",(VLOOKUP('Presupuesto - PAA 2017'!B14,'Base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2017'!B15,'Base de Datos'!$C$7:$F$4345,3,0)))</f>
        <v>150330-0-2015</v>
      </c>
      <c r="D15" s="538" t="str">
        <f>IF(ISERROR(VLOOKUP(B15,'Base de Datos'!$C$487:$F$4345,3,0))=TRUE,"",(VLOOKUP('Presupuesto - PAA 2017'!B15,'Base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2017'!B16,'Base de Datos'!$C$7:$F$4345,3,0)))</f>
        <v/>
      </c>
      <c r="D16" s="538" t="str">
        <f>IF(ISERROR(VLOOKUP(B16,'Base de Datos'!$C$487:$F$4345,3,0))=TRUE,"",(VLOOKUP('Presupuesto - PAA 2017'!B16,'Base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2017'!B17,'Base de Datos'!$C$7:$F$4345,3,0)))</f>
        <v>150342-0-2015</v>
      </c>
      <c r="D17" s="538" t="str">
        <f>IF(ISERROR(VLOOKUP(B17,'Base de Datos'!$C$487:$F$4345,3,0))=TRUE,"",(VLOOKUP('Presupuesto - PAA 2017'!B17,'Base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2017'!B18,'Base de Datos'!$C$7:$F$4345,3,0)))</f>
        <v>160156-0-2016</v>
      </c>
      <c r="D18" s="538" t="str">
        <f>IF(ISERROR(VLOOKUP(B18,'Base de Datos'!$C$487:$F$4345,3,0))=TRUE,"",(VLOOKUP('Presupuesto - PAA 2017'!B18,'Base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2017'!B19,'Base de Datos'!$C$7:$F$4345,3,0)))</f>
        <v>150338-0-2015</v>
      </c>
      <c r="D19" s="538" t="str">
        <f>IF(ISERROR(VLOOKUP(B19,'Base de Datos'!$C$487:$F$4345,3,0))=TRUE,"",(VLOOKUP('Presupuesto - PAA 2017'!B19,'Base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2017'!B20,'Base de Datos'!$C$7:$F$4345,3,0)))</f>
        <v>150223-0-2015</v>
      </c>
      <c r="D20" s="538" t="str">
        <f>IF(ISERROR(VLOOKUP(B20,'Base de Datos'!$C$487:$F$4345,3,0))=TRUE,"",(VLOOKUP('Presupuesto - PAA 2017'!B20,'Base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2017'!B21,'Base de Datos'!$C$7:$F$4345,3,0)))</f>
        <v>150168-0-2015</v>
      </c>
      <c r="D21" s="538" t="str">
        <f>IF(ISERROR(VLOOKUP(B21,'Base de Datos'!$C$487:$F$4345,3,0))=TRUE,"",(VLOOKUP('Presupuesto - PAA 2017'!B21,'Base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2017'!B22,'Base de Datos'!$C$7:$F$4345,3,0)))</f>
        <v>150129-0-2015</v>
      </c>
      <c r="D22" s="538" t="str">
        <f>IF(ISERROR(VLOOKUP(B22,'Base de Datos'!$C$487:$F$4345,3,0))=TRUE,"",(VLOOKUP('Presupuesto - PAA 2017'!B22,'Base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2017'!B23,'Base de Datos'!$C$7:$F$4345,3,0)))</f>
        <v/>
      </c>
      <c r="D23" s="538" t="str">
        <f>IF(ISERROR(VLOOKUP(B23,'Base de Datos'!$C$487:$F$4345,3,0))=TRUE,"",(VLOOKUP('Presupuesto - PAA 2017'!B23,'Base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2017'!B24,'Base de Datos'!$C$7:$F$4345,3,0)))</f>
        <v>150229-0-2015</v>
      </c>
      <c r="D24" s="538" t="str">
        <f>IF(ISERROR(VLOOKUP(B24,'Base de Datos'!$C$487:$F$4345,3,0))=TRUE,"",(VLOOKUP('Presupuesto - PAA 2017'!B24,'Base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2017'!B25,'Base de Datos'!$C$7:$F$4345,3,0)))</f>
        <v/>
      </c>
      <c r="D25" s="538" t="str">
        <f>IF(ISERROR(VLOOKUP(B25,'Base de Datos'!$C$487:$F$4345,3,0))=TRUE,"",(VLOOKUP('Presupuesto - PAA 2017'!B25,'Base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2017'!B26,'Base de Datos'!$C$7:$F$4345,3,0)))</f>
        <v>170111-0-2017</v>
      </c>
      <c r="D26" s="538" t="str">
        <f>IF(ISERROR(VLOOKUP(B26,'Base de Datos'!$C$487:$F$4345,3,0))=TRUE,"",(VLOOKUP('Presupuesto - PAA 2017'!B26,'Base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outlineLevel="1" x14ac:dyDescent="0.25">
      <c r="B27" s="557">
        <v>157</v>
      </c>
      <c r="C27" s="538" t="str">
        <f>IF(ISERROR(VLOOKUP(B27,'Base de Datos'!$C$487:$F$4345,2,0))=TRUE,"",(VLOOKUP('Presupuesto - PAA 2017'!B27,'Base de Datos'!$C$7:$F$4345,3,0)))</f>
        <v>150255-0-2015</v>
      </c>
      <c r="D27" s="538" t="str">
        <f>IF(ISERROR(VLOOKUP(B27,'Base de Datos'!$C$487:$F$4345,3,0))=TRUE,"",(VLOOKUP('Presupuesto - PAA 2017'!B27,'Base de Datos'!$C$487:$F$4345,4,0)))</f>
        <v>IVON ADRIANA JIMENEZ ZAPATA</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2017'!B28,'Base de Datos'!$C$7:$F$4345,3,0)))</f>
        <v>150271-0-2015</v>
      </c>
      <c r="D28" s="538" t="str">
        <f>IF(ISERROR(VLOOKUP(B28,'Base de Datos'!$C$487:$F$4345,3,0))=TRUE,"",(VLOOKUP('Presupuesto - PAA 2017'!B28,'Base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2017'!B29,'Base de Datos'!$C$7:$F$4345,3,0)))</f>
        <v/>
      </c>
      <c r="D29" s="538" t="str">
        <f>IF(ISERROR(VLOOKUP(B29,'Base de Datos'!$C$487:$F$4345,3,0))=TRUE,"",(VLOOKUP('Presupuesto - PAA 2017'!B29,'Base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2017'!B30,'Base de Datos'!$C$7:$F$4345,3,0)))</f>
        <v/>
      </c>
      <c r="D30" s="538" t="str">
        <f>IF(ISERROR(VLOOKUP(B30,'Base de Datos'!$C$487:$F$4345,3,0))=TRUE,"",(VLOOKUP('Presupuesto - PAA 2017'!B30,'Base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4"/>
      <c r="C32" s="1135"/>
      <c r="D32" s="1135"/>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36"/>
      <c r="C33" s="1137"/>
      <c r="D33" s="1137"/>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3" t="s">
        <v>1647</v>
      </c>
      <c r="C34" s="1123"/>
      <c r="D34" s="1123"/>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907"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18" t="s">
        <v>1648</v>
      </c>
      <c r="C37" s="1118"/>
      <c r="D37" s="1118"/>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2017'!B39,'Base de Datos'!$C$7:$F$4345,3,0)))</f>
        <v/>
      </c>
      <c r="D39" s="538" t="str">
        <f>IF(ISERROR(VLOOKUP(B39,'Base de Datos'!$C$487:$F$4345,3,0))=TRUE,"",(VLOOKUP('Presupuesto - PAA 2017'!B39,'Base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2017'!B40,'Base de Datos'!$C$7:$F$4345,3,0)))</f>
        <v/>
      </c>
      <c r="D40" s="538" t="str">
        <f>IF(ISERROR(VLOOKUP(B40,'Base de Datos'!$C$487:$F$4345,3,0))=TRUE,"",(VLOOKUP('Presupuesto - PAA 2017'!B40,'Base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2017'!B41,'Base de Datos'!$C$7:$F$4345,3,0)))</f>
        <v>170139-0-2017</v>
      </c>
      <c r="D41" s="538" t="str">
        <f>IF(ISERROR(VLOOKUP(B41,'Base de Datos'!$C$487:$F$4345,3,0))=TRUE,"",(VLOOKUP('Presupuesto - PAA 2017'!B41,'Base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2017'!B42,'Base de Datos'!$C$7:$F$4345,3,0)))</f>
        <v/>
      </c>
      <c r="D42" s="538" t="str">
        <f>IF(ISERROR(VLOOKUP(B42,'Base de Datos'!$C$487:$F$4345,3,0))=TRUE,"",(VLOOKUP('Presupuesto - PAA 2017'!B42,'Base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2017'!B43,'Base de Datos'!$C$7:$F$4345,3,0)))</f>
        <v/>
      </c>
      <c r="D43" s="538" t="str">
        <f>IF(ISERROR(VLOOKUP(B43,'Base de Datos'!$C$487:$F$4345,3,0))=TRUE,"",(VLOOKUP('Presupuesto - PAA 2017'!B43,'Base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2017'!B44,'Base de Datos'!$C$7:$F$4345,3,0)))</f>
        <v/>
      </c>
      <c r="D44" s="538" t="str">
        <f>IF(ISERROR(VLOOKUP(B44,'Base de Datos'!$C$487:$F$4345,3,0))=TRUE,"",(VLOOKUP('Presupuesto - PAA 2017'!B44,'Base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2017'!B45,'Base de Datos'!$C$7:$F$4345,3,0)))</f>
        <v/>
      </c>
      <c r="D45" s="538" t="str">
        <f>IF(ISERROR(VLOOKUP(B45,'Base de Datos'!$C$487:$F$4345,3,0))=TRUE,"",(VLOOKUP('Presupuesto - PAA 2017'!B45,'Base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2017'!B46,'Base de Datos'!$C$7:$F$4345,3,0)))</f>
        <v/>
      </c>
      <c r="D46" s="538" t="str">
        <f>IF(ISERROR(VLOOKUP(B46,'Base de Datos'!$C$487:$F$4345,3,0))=TRUE,"",(VLOOKUP('Presupuesto - PAA 2017'!B46,'Base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20"/>
      <c r="C48" s="1120"/>
      <c r="D48" s="1120"/>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2" t="s">
        <v>1796</v>
      </c>
      <c r="C49" s="1122"/>
      <c r="D49" s="1122"/>
      <c r="E49" s="562">
        <v>9151221000</v>
      </c>
      <c r="F49" s="638"/>
      <c r="G49" s="563"/>
      <c r="H49" s="563"/>
      <c r="I49" s="563"/>
      <c r="J49" s="572">
        <f>J50+J90+J216</f>
        <v>7181615504</v>
      </c>
      <c r="K49" s="614">
        <f>J49/E49</f>
        <v>0.7847712894268426</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1" t="s">
        <v>1650</v>
      </c>
      <c r="C50" s="1121"/>
      <c r="D50" s="1121"/>
      <c r="E50" s="544">
        <v>2089000000</v>
      </c>
      <c r="F50" s="636"/>
      <c r="G50" s="545"/>
      <c r="H50" s="545"/>
      <c r="I50" s="545"/>
      <c r="J50" s="636">
        <f>+J51+J75+J82</f>
        <v>1414462187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18" t="s">
        <v>1651</v>
      </c>
      <c r="C51" s="1118"/>
      <c r="D51" s="1118"/>
      <c r="E51" s="586">
        <v>1414000000</v>
      </c>
      <c r="F51" s="591">
        <f>COUNTIF('Actualizada - presupuesto'!$E$7:$E$111,B51)</f>
        <v>15</v>
      </c>
      <c r="G51" s="591"/>
      <c r="H51" s="591"/>
      <c r="I51" s="591"/>
      <c r="J51" s="586">
        <f>SUM(J54:J72)</f>
        <v>585096587</v>
      </c>
      <c r="K51" s="608">
        <f>J51/E51</f>
        <v>0.41378825106082034</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2017'!B53,'Base de Datos'!$C$7:$F$4345,3,0)))</f>
        <v/>
      </c>
      <c r="D53" s="538" t="str">
        <f>IF(ISERROR(VLOOKUP(B53,'Base de Datos'!$C$487:$F$4345,3,0))=TRUE,"",(VLOOKUP('Presupuesto - PAA 2017'!B53,'Base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2017'!B54,'Base de Datos'!$C$7:$F$4345,3,0)))</f>
        <v>170186-0-2017</v>
      </c>
      <c r="D54" s="538" t="str">
        <f>IF(ISERROR(VLOOKUP(B54,'Base de Datos'!$C$487:$F$4345,3,0))=TRUE,"",(VLOOKUP('Presupuesto - PAA 2017'!B54,'Base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2017'!B55,'Base de Datos'!$C$7:$F$4345,3,0)))</f>
        <v/>
      </c>
      <c r="D55" s="538" t="str">
        <f>IF(ISERROR(VLOOKUP(B55,'Base de Datos'!$C$487:$F$4345,3,0))=TRUE,"",(VLOOKUP('Presupuesto - PAA 2017'!B55,'Base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2017'!B56,'Base de Datos'!$C$7:$F$4345,3,0)))</f>
        <v>150236-0-2015</v>
      </c>
      <c r="D56" s="538" t="str">
        <f>IF(ISERROR(VLOOKUP(B56,'Base de Datos'!$C$487:$F$4345,3,0))=TRUE,"",(VLOOKUP('Presupuesto - PAA 2017'!B56,'Base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2017'!B57,'Base de Datos'!$C$7:$F$4345,3,0)))</f>
        <v>170309-0-2017</v>
      </c>
      <c r="D57" s="538" t="str">
        <f>IF(ISERROR(VLOOKUP(B57,'Base de Datos'!$C$487:$F$4345,3,0))=TRUE,"",(VLOOKUP('Presupuesto - PAA 2017'!B57,'Base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2017'!B58,'Base de Datos'!$C$7:$F$4345,3,0)))</f>
        <v>170154-0-2017</v>
      </c>
      <c r="D58" s="538" t="str">
        <f>IF(ISERROR(VLOOKUP(B58,'Base de Datos'!$C$487:$F$4345,3,0))=TRUE,"",(VLOOKUP('Presupuesto - PAA 2017'!B58,'Base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2017'!B59,'Base de Datos'!$C$7:$F$4345,3,0)))</f>
        <v>170345-0-2017</v>
      </c>
      <c r="D59" s="538" t="str">
        <f>IF(ISERROR(VLOOKUP(B59,'Base de Datos'!$C$487:$F$4345,3,0))=TRUE,"",(VLOOKUP('Presupuesto - PAA 2017'!B59,'Base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2017'!B60,'Base de Datos'!$C$7:$F$4345,3,0)))</f>
        <v>170329-0-2017</v>
      </c>
      <c r="D60" s="538" t="str">
        <f>IF(ISERROR(VLOOKUP(B60,'Base de Datos'!$C$487:$F$4345,3,0))=TRUE,"",(VLOOKUP('Presupuesto - PAA 2017'!B60,'Base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2017'!B61,'Base de Datos'!$C$7:$F$4345,3,0)))</f>
        <v/>
      </c>
      <c r="D61" s="538" t="str">
        <f>IF(ISERROR(VLOOKUP(B61,'Base de Datos'!$C$487:$F$4345,3,0))=TRUE,"",(VLOOKUP('Presupuesto - PAA 2017'!B61,'Base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2017'!B62,'Base de Datos'!$C$7:$F$4345,3,0)))</f>
        <v>170041-0-2017</v>
      </c>
      <c r="D62" s="538" t="str">
        <f>IF(ISERROR(VLOOKUP(B62,'Base de Datos'!$C$487:$F$4345,3,0))=TRUE,"",(VLOOKUP('Presupuesto - PAA 2017'!B62,'Base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2017'!B63,'Base de Datos'!$C$7:$F$4345,3,0)))</f>
        <v>160112-0-2016</v>
      </c>
      <c r="D63" s="538" t="str">
        <f>IF(ISERROR(VLOOKUP(B63,'Base de Datos'!$C$487:$F$4345,3,0))=TRUE,"",(VLOOKUP('Presupuesto - PAA 2017'!B63,'Base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2017'!B64,'Base de Datos'!$C$7:$F$4345,3,0)))</f>
        <v/>
      </c>
      <c r="D64" s="538" t="str">
        <f>IF(ISERROR(VLOOKUP(B64,'Base de Datos'!$C$487:$F$4345,3,0))=TRUE,"",(VLOOKUP('Presupuesto - PAA 2017'!B64,'Base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2017'!B65,'Base de Datos'!$C$7:$F$4345,3,0)))</f>
        <v/>
      </c>
      <c r="D65" s="538" t="str">
        <f>IF(ISERROR(VLOOKUP(B65,'Base de Datos'!$C$487:$F$4345,3,0))=TRUE,"",(VLOOKUP('Presupuesto - PAA 2017'!B65,'Base de Datos'!$C$487:$F$4345,4,0)))</f>
        <v/>
      </c>
      <c r="E65" s="541">
        <f>VLOOKUP(B65,[6]PAA2017!$C$65:$AA$255,20,0)</f>
        <v>1913332000</v>
      </c>
      <c r="F65" s="539" t="e">
        <f>VLOOKUP(B65,[7]SOLICITUDES!$B$3:$H$278,2,0)</f>
        <v>#N/A</v>
      </c>
      <c r="G65" s="539"/>
      <c r="H65" s="539"/>
      <c r="I65" s="539"/>
      <c r="J65" s="541" t="str">
        <f>IF(ISERROR(VLOOKUP(B65,'Base de Datos'!$C$487:$N$4345,6,0))=TRUE,"Sin Celebrar",(VLOOKUP(B65,'Base de Datos'!$C$487:$N$4345,7,0)))</f>
        <v>Sin Celebrar</v>
      </c>
      <c r="K65" s="605"/>
      <c r="L65" s="585">
        <f t="shared" si="6"/>
        <v>1913332000</v>
      </c>
      <c r="M65" s="541"/>
      <c r="N65" s="541" t="str">
        <f t="shared" si="7"/>
        <v xml:space="preserve"> </v>
      </c>
      <c r="O65" s="724" t="str">
        <f>IF(ISERROR(VLOOKUP(B65,'Base de Datos'!$C$487:$K$1048576,7,0))=TRUE," ",(VLOOKUP(B65,'Base de Datos'!$C$487:$K$1048576,8,0)))</f>
        <v xml:space="preserve"> </v>
      </c>
      <c r="P65" s="556" t="str">
        <f>IF(ISERROR(VLOOKUP(B65,'Base de Datos'!$C$487:$N$4330,9,0))=TRUE," ",(VLOOKUP(B65,'Base de Datos'!$C$487:$N$4330,10,0)))</f>
        <v xml:space="preserve"> </v>
      </c>
      <c r="Q65" s="742"/>
      <c r="R65" s="556" t="str">
        <f>IF(ISERROR(VLOOKUP(B65,'Base de Datos'!$C$487:$N$4330,10,0))=TRUE," ",(VLOOKUP(B65,'Base de Datos'!$C$487:$N$4330,11,0)))</f>
        <v xml:space="preserve"> </v>
      </c>
      <c r="S65" s="556" t="str">
        <f>IF(ISERROR(VLOOKUP(B65,'Base de Datos'!$C$487:$N$4330,11,0))=TRUE," ",(VLOOKUP(B65,'Base de Datos'!$C$487:$N$4330,12,0)))</f>
        <v xml:space="preserve"> </v>
      </c>
      <c r="T65" s="538" t="e">
        <f>VLOOKUP(B65,'Base de Datos'!$C$487:$AR$4382,41,0)</f>
        <v>#N/A</v>
      </c>
      <c r="U65" s="727"/>
      <c r="V65" s="639"/>
    </row>
    <row r="66" spans="2:22" ht="19.5" customHeight="1" outlineLevel="1" x14ac:dyDescent="0.25">
      <c r="B66" s="542">
        <v>86</v>
      </c>
      <c r="C66" s="538" t="str">
        <f>IF(ISERROR(VLOOKUP(B66,'Base de Datos'!$C$487:$F$4345,2,0))=TRUE,"",(VLOOKUP('Presupuesto - PAA 2017'!B66,'Base de Datos'!$C$7:$F$4345,3,0)))</f>
        <v>160214-0-2016</v>
      </c>
      <c r="D66" s="538" t="str">
        <f>IF(ISERROR(VLOOKUP(B66,'Base de Datos'!$C$487:$F$4345,3,0))=TRUE,"",(VLOOKUP('Presupuesto - PAA 2017'!B66,'Base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2017'!B67,'Base de Datos'!$C$7:$F$4345,3,0)))</f>
        <v/>
      </c>
      <c r="D67" s="538" t="str">
        <f>IF(ISERROR(VLOOKUP(B67,'Base de Datos'!$C$487:$F$4345,3,0))=TRUE,"",(VLOOKUP('Presupuesto - PAA 2017'!B67,'Base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2017'!B68,'Base de Datos'!$C$7:$F$4345,3,0)))</f>
        <v>160314-0-2016</v>
      </c>
      <c r="D68" s="538" t="str">
        <f>IF(ISERROR(VLOOKUP(B68,'Base de Datos'!$C$487:$F$4345,3,0))=TRUE,"",(VLOOKUP('Presupuesto - PAA 2017'!B68,'Base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2017'!B69,'Base de Datos'!$C$7:$F$4345,3,0)))</f>
        <v/>
      </c>
      <c r="D69" s="538" t="str">
        <f>IF(ISERROR(VLOOKUP(B69,'Base de Datos'!$C$487:$F$4345,3,0))=TRUE,"",(VLOOKUP('Presupuesto - PAA 2017'!B69,'Base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2017'!B70,'Base de Datos'!$C$7:$F$4345,3,0)))</f>
        <v/>
      </c>
      <c r="D70" s="538" t="str">
        <f>IF(ISERROR(VLOOKUP(B70,'Base de Datos'!$C$487:$F$4345,3,0))=TRUE,"",(VLOOKUP('Presupuesto - PAA 2017'!B70,'Base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2017'!B71,'Base de Datos'!$C$7:$F$4345,3,0)))</f>
        <v/>
      </c>
      <c r="D71" s="538" t="str">
        <f>IF(ISERROR(VLOOKUP(B71,'Base de Datos'!$C$487:$F$4345,3,0))=TRUE,"",(VLOOKUP('Presupuesto - PAA 2017'!B71,'Base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0"/>
      <c r="C73" s="1120"/>
      <c r="D73" s="1120"/>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0"/>
      <c r="C74" s="1120"/>
      <c r="D74" s="1120"/>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3" t="s">
        <v>1652</v>
      </c>
      <c r="C75" s="1123"/>
      <c r="D75" s="1123"/>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2017'!B77,'Base de Datos'!$C$7:$F$4345,3,0)))</f>
        <v>150386-0-2015</v>
      </c>
      <c r="D77" s="538" t="str">
        <f>IF(ISERROR(VLOOKUP(B77,'Base de Datos'!$C$487:$F$4345,3,0))=TRUE,"",(VLOOKUP('Presupuesto - PAA 2017'!B77,'Base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2017'!B78,'Base de Datos'!$C$7:$F$4345,3,0)))</f>
        <v>170004-0-2017</v>
      </c>
      <c r="D78" s="538" t="str">
        <f>IF(ISERROR(VLOOKUP(B78,'Base de Datos'!$C$487:$F$4345,3,0))=TRUE,"",(VLOOKUP('Presupuesto - PAA 2017'!B78,'Base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2017'!B79,'Base de Datos'!$C$7:$F$4345,3,0)))</f>
        <v/>
      </c>
      <c r="D79" s="538" t="str">
        <f>IF(ISERROR(VLOOKUP(B79,'Base de Datos'!$C$7:$F$4345,3,0))=TRUE,"",(VLOOKUP('Presupuesto - PAA 2017'!B79,'Base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3" t="s">
        <v>1653</v>
      </c>
      <c r="C82" s="1123"/>
      <c r="D82" s="1123"/>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2017'!B84,'Base de Datos'!$C$7:$F$4345,3,0)))</f>
        <v>150348-0-2015</v>
      </c>
      <c r="D84" s="538" t="str">
        <f>IF(ISERROR(VLOOKUP(B84,'Base de Datos'!$C$487:$F$4345,3,0))=TRUE,"",(VLOOKUP('Presupuesto - PAA 2017'!B84,'Base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2017'!B85,'Base de Datos'!$C$7:$F$4345,3,0)))</f>
        <v>150300-0-2015</v>
      </c>
      <c r="D85" s="538" t="str">
        <f>IF(ISERROR(VLOOKUP(B85,'Base de Datos'!$C$487:$F$4345,3,0))=TRUE,"",(VLOOKUP('Presupuesto - PAA 2017'!B85,'Base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2017'!B86,'Base de Datos'!$C$7:$F$4345,3,0)))</f>
        <v>150316-0-2015</v>
      </c>
      <c r="D86" s="538" t="str">
        <f>IF(ISERROR(VLOOKUP(B86,'Base de Datos'!$C$487:$F$4345,3,0))=TRUE,"",(VLOOKUP('Presupuesto - PAA 2017'!B86,'Base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2017'!B87,'Base de Datos'!$C$7:$F$4345,3,0)))</f>
        <v/>
      </c>
      <c r="D87" s="538" t="str">
        <f>IF(ISERROR(VLOOKUP(B87,'Base de Datos'!$C$487:$F$4345,3,0))=TRUE,"",(VLOOKUP('Presupuesto - PAA 2017'!B87,'Base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2" t="s">
        <v>1654</v>
      </c>
      <c r="C90" s="1122"/>
      <c r="D90" s="1122"/>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18" t="s">
        <v>1655</v>
      </c>
      <c r="C91" s="1118"/>
      <c r="D91" s="1118"/>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2017'!B93,'Base de Datos'!$C$7:$F$4345,3,0)))</f>
        <v/>
      </c>
      <c r="D93" s="538" t="str">
        <f>IF(ISERROR(VLOOKUP(B93,'Base de Datos'!$C$487:$F$4345,3,0))=TRUE,"",(VLOOKUP('Presupuesto - PAA 2017'!B93,'Base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2017'!B94,'Base de Datos'!$C$7:$F$4345,3,0)))</f>
        <v>160152-0-2016</v>
      </c>
      <c r="D94" s="538" t="str">
        <f>IF(ISERROR(VLOOKUP(B94,'Base de Datos'!$C$487:$F$4345,3,0))=TRUE,"",(VLOOKUP('Presupuesto - PAA 2017'!B94,'Base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2017'!B95,'Base de Datos'!$C$7:$F$4345,3,0)))</f>
        <v>150265-0-2015</v>
      </c>
      <c r="D95" s="538" t="str">
        <f>IF(ISERROR(VLOOKUP(B95,'Base de Datos'!$C$487:$F$4345,3,0))=TRUE,"",(VLOOKUP('Presupuesto - PAA 2017'!B95,'Base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2017'!B96,'Base de Datos'!$C$7:$F$4345,3,0)))</f>
        <v>170326-0-2017</v>
      </c>
      <c r="D96" s="538" t="str">
        <f>IF(ISERROR(VLOOKUP(B96,'Base de Datos'!$C$487:$F$4345,3,0))=TRUE,"",(VLOOKUP('Presupuesto - PAA 2017'!B96,'Base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2017'!B97,'Base de Datos'!$C$7:$F$4345,3,0)))</f>
        <v>170147-0-2017</v>
      </c>
      <c r="D97" s="538" t="str">
        <f>IF(ISERROR(VLOOKUP(B97,'Base de Datos'!$C$487:$F$4345,3,0))=TRUE,"",(VLOOKUP('Presupuesto - PAA 2017'!B97,'Base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3" t="s">
        <v>1656</v>
      </c>
      <c r="C100" s="1123"/>
      <c r="D100" s="1123"/>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2017'!B102,'Base de Datos'!$C$7:$F$4345,3,0)))</f>
        <v>150232-0-2015</v>
      </c>
      <c r="D102" s="538" t="str">
        <f>IF(ISERROR(VLOOKUP(B102,'Base de Datos'!$C$487:$F$4345,3,0))=TRUE,"",(VLOOKUP('Presupuesto - PAA 2017'!B102,'Base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2017'!B103,'Base de Datos'!$C$7:$F$4345,3,0)))</f>
        <v>150252-0-2015</v>
      </c>
      <c r="D103" s="538" t="str">
        <f>IF(ISERROR(VLOOKUP(B103,'Base de Datos'!$C$487:$F$4345,3,0))=TRUE,"",(VLOOKUP('Presupuesto - PAA 2017'!B103,'Base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2017'!B104,'Base de Datos'!$C$7:$F$4345,3,0)))</f>
        <v>150209-0-2015</v>
      </c>
      <c r="D104" s="538" t="str">
        <f>IF(ISERROR(VLOOKUP(B104,'Base de Datos'!$C$487:$F$4345,3,0))=TRUE,"",(VLOOKUP('Presupuesto - PAA 2017'!B104,'Base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2017'!B105,'Base de Datos'!$C$7:$F$4345,3,0)))</f>
        <v>170095-0-2017</v>
      </c>
      <c r="D105" s="538" t="str">
        <f>IF(ISERROR(VLOOKUP(B105,'Base de Datos'!$C$487:$F$4345,3,0))=TRUE,"",(VLOOKUP('Presupuesto - PAA 2017'!B105,'Base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2017'!B106,'Base de Datos'!$C$7:$F$4345,3,0)))</f>
        <v>150241-0-2015</v>
      </c>
      <c r="D106" s="538" t="str">
        <f>IF(ISERROR(VLOOKUP(B106,'Base de Datos'!$C$487:$F$4345,3,0))=TRUE,"",(VLOOKUP('Presupuesto - PAA 2017'!B106,'Base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2017'!B107,'Base de Datos'!$C$7:$F$4345,3,0)))</f>
        <v>150219-0-2015</v>
      </c>
      <c r="D107" s="538" t="str">
        <f>IF(ISERROR(VLOOKUP(B107,'Base de Datos'!$C$487:$F$4345,3,0))=TRUE,"",(VLOOKUP('Presupuesto - PAA 2017'!B107,'Base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2017'!B108,'Base de Datos'!$C$7:$F$4345,3,0)))</f>
        <v>150215-0-2015</v>
      </c>
      <c r="D108" s="538" t="str">
        <f>IF(ISERROR(VLOOKUP(B108,'Base de Datos'!$C$487:$F$4345,3,0))=TRUE,"",(VLOOKUP('Presupuesto - PAA 2017'!B108,'Base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2017'!B109,'Base de Datos'!$C$7:$F$4345,3,0)))</f>
        <v/>
      </c>
      <c r="D109" s="538" t="str">
        <f>IF(ISERROR(VLOOKUP(B109,'Base de Datos'!$C$487:$F$4345,3,0))=TRUE,"",(VLOOKUP('Presupuesto - PAA 2017'!B109,'Base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2017'!B110,'Base de Datos'!$C$7:$F$4345,3,0)))</f>
        <v>170304-0-2017</v>
      </c>
      <c r="D110" s="538" t="str">
        <f>IF(ISERROR(VLOOKUP(B110,'Base de Datos'!$C$487:$F$4345,3,0))=TRUE,"",(VLOOKUP('Presupuesto - PAA 2017'!B110,'Base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2017'!B111,'Base de Datos'!$C$7:$F$4345,3,0)))</f>
        <v/>
      </c>
      <c r="D111" s="538" t="str">
        <f>IF(ISERROR(VLOOKUP(B111,'Base de Datos'!$C$487:$F$4345,3,0))=TRUE,"",(VLOOKUP('Presupuesto - PAA 2017'!B111,'Base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2017'!B112,'Base de Datos'!$C$7:$F$4345,3,0)))</f>
        <v/>
      </c>
      <c r="D112" s="538" t="str">
        <f>IF(ISERROR(VLOOKUP(B112,'Base de Datos'!$C$487:$F$4345,3,0))=TRUE,"",(VLOOKUP('Presupuesto - PAA 2017'!B112,'Base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2017'!B113,'Base de Datos'!$C$7:$F$4345,3,0)))</f>
        <v/>
      </c>
      <c r="D113" s="538" t="str">
        <f>IF(ISERROR(VLOOKUP(B113,'Base de Datos'!$C$487:$F$4345,3,0))=TRUE,"",(VLOOKUP('Presupuesto - PAA 2017'!B113,'Base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2" t="s">
        <v>1657</v>
      </c>
      <c r="C116" s="1122"/>
      <c r="D116" s="1122"/>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18" t="s">
        <v>1658</v>
      </c>
      <c r="C117" s="1118"/>
      <c r="D117" s="1118"/>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2017'!B119,'Base de Datos'!$C$7:$F$4345,3,0)))</f>
        <v/>
      </c>
      <c r="D119" s="538" t="str">
        <f>IF(ISERROR(VLOOKUP(B119,'Base de Datos'!$C$487:$F$4345,3,0))=TRUE,"",(VLOOKUP('Presupuesto - PAA 2017'!B119,'Base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2017'!B120,'Base de Datos'!$C$7:$F$4345,3,0)))</f>
        <v/>
      </c>
      <c r="D120" s="538" t="str">
        <f>IF(ISERROR(VLOOKUP(B120,'Base de Datos'!$C$487:$F$4345,3,0))=TRUE,"",(VLOOKUP('Presupuesto - PAA 2017'!B120,'Base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2017'!B121,'Base de Datos'!$C$7:$F$4345,3,0)))</f>
        <v>150260-0-2015</v>
      </c>
      <c r="D121" s="538" t="str">
        <f>IF(ISERROR(VLOOKUP(B121,'Base de Datos'!$C$487:$F$4345,3,0))=TRUE,"",(VLOOKUP('Presupuesto - PAA 2017'!B121,'Base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2017'!B122,'Base de Datos'!$C$7:$F$4345,3,0)))</f>
        <v>150386-0-2015</v>
      </c>
      <c r="D122" s="538" t="str">
        <f>IF(ISERROR(VLOOKUP(B122,'Base de Datos'!$C$487:$F$4345,3,0))=TRUE,"",(VLOOKUP('Presupuesto - PAA 2017'!B122,'Base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2017'!B123,'Base de Datos'!$C$7:$F$4345,3,0)))</f>
        <v>150377-0-2015</v>
      </c>
      <c r="D123" s="538" t="str">
        <f>IF(ISERROR(VLOOKUP(B123,'Base de Datos'!$C$487:$F$4345,3,0))=TRUE,"",(VLOOKUP('Presupuesto - PAA 2017'!B123,'Base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2017'!B124,'Base de Datos'!$C$7:$F$4345,3,0)))</f>
        <v>150353-0-2015</v>
      </c>
      <c r="D124" s="538" t="str">
        <f>IF(ISERROR(VLOOKUP(B124,'Base de Datos'!$C$487:$F$4345,3,0))=TRUE,"",(VLOOKUP('Presupuesto - PAA 2017'!B124,'Base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2017'!B125,'Base de Datos'!$C$7:$F$4345,3,0)))</f>
        <v>150316-0-2015</v>
      </c>
      <c r="D125" s="538" t="str">
        <f>IF(ISERROR(VLOOKUP(B125,'Base de Datos'!$C$487:$F$4345,3,0))=TRUE,"",(VLOOKUP('Presupuesto - PAA 2017'!B125,'Base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2017'!B126,'Base de Datos'!$C$7:$F$4345,3,0)))</f>
        <v>170157-0-2017</v>
      </c>
      <c r="D126" s="538" t="str">
        <f>IF(ISERROR(VLOOKUP(B126,'Base de Datos'!$C$487:$F$4345,3,0))=TRUE,"",(VLOOKUP('Presupuesto - PAA 2017'!B126,'Base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2017'!B127,'Base de Datos'!$C$7:$F$4345,3,0)))</f>
        <v>170079-0-2017</v>
      </c>
      <c r="D127" s="538" t="str">
        <f>IF(ISERROR(VLOOKUP(B127,'Base de Datos'!$C$487:$F$4345,3,0))=TRUE,"",(VLOOKUP('Presupuesto - PAA 2017'!B127,'Base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2017'!B128,'Base de Datos'!$C$7:$F$4345,3,0)))</f>
        <v>170059-0-2017</v>
      </c>
      <c r="D128" s="538" t="str">
        <f>IF(ISERROR(VLOOKUP(B128,'Base de Datos'!$C$487:$F$4345,3,0))=TRUE,"",(VLOOKUP('Presupuesto - PAA 2017'!B128,'Base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2017'!B129,'Base de Datos'!$C$7:$F$4345,3,0)))</f>
        <v>160150-0-2016</v>
      </c>
      <c r="D129" s="538" t="str">
        <f>IF(ISERROR(VLOOKUP(B129,'Base de Datos'!$C$487:$F$4345,3,0))=TRUE,"",(VLOOKUP('Presupuesto - PAA 2017'!B129,'Base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2017'!B130,'Base de Datos'!$C$7:$F$4345,3,0)))</f>
        <v>160161-0-2016</v>
      </c>
      <c r="D130" s="538" t="str">
        <f>IF(ISERROR(VLOOKUP(B130,'Base de Datos'!$C$487:$F$4345,3,0))=TRUE,"",(VLOOKUP('Presupuesto - PAA 2017'!B130,'Base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2017'!B131,'Base de Datos'!$C$7:$F$4345,3,0)))</f>
        <v>160228-0-2016</v>
      </c>
      <c r="D131" s="538" t="str">
        <f>IF(ISERROR(VLOOKUP(B131,'Base de Datos'!$C$487:$F$4345,3,0))=TRUE,"",(VLOOKUP('Presupuesto - PAA 2017'!B131,'Base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2017'!B132,'Base de Datos'!$C$7:$F$4345,3,0)))</f>
        <v>170161-0-2017</v>
      </c>
      <c r="D132" s="538" t="str">
        <f>IF(ISERROR(VLOOKUP(B132,'Base de Datos'!$C$487:$F$4345,3,0))=TRUE,"",(VLOOKUP('Presupuesto - PAA 2017'!B132,'Base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2017'!B133,'Base de Datos'!$C$7:$F$4345,3,0)))</f>
        <v/>
      </c>
      <c r="D133" s="538" t="str">
        <f>IF(ISERROR(VLOOKUP(B133,'Base de Datos'!$C$487:$F$4345,3,0))=TRUE,"",(VLOOKUP('Presupuesto - PAA 2017'!B133,'Base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2017'!B134,'Base de Datos'!$C$7:$F$4345,3,0)))</f>
        <v/>
      </c>
      <c r="D134" s="538" t="str">
        <f>IF(ISERROR(VLOOKUP(B134,'Base de Datos'!$C$487:$F$4345,3,0))=TRUE,"",(VLOOKUP('Presupuesto - PAA 2017'!B134,'Base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2017'!B135,'Base de Datos'!$C$7:$F$4345,3,0)))</f>
        <v/>
      </c>
      <c r="D135" s="538" t="str">
        <f>IF(ISERROR(VLOOKUP(B135,'Base de Datos'!$C$487:$F$4345,3,0))=TRUE,"",(VLOOKUP('Presupuesto - PAA 2017'!B135,'Base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2" t="s">
        <v>1659</v>
      </c>
      <c r="C139" s="1122"/>
      <c r="D139" s="1122"/>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18" t="s">
        <v>1660</v>
      </c>
      <c r="C140" s="1118"/>
      <c r="D140" s="1118"/>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2017'!B142,'Base de Datos'!$C$7:$F$4345,3,0)))</f>
        <v/>
      </c>
      <c r="D142" s="538" t="str">
        <f>IF(ISERROR(VLOOKUP(B142,'Base de Datos'!$C$487:$F$4345,3,0))=TRUE,"",(VLOOKUP('Presupuesto - PAA 2017'!B142,'Base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2017'!B143,'Base de Datos'!$C$7:$F$4345,3,0)))</f>
        <v/>
      </c>
      <c r="D143" s="538" t="str">
        <f>IF(ISERROR(VLOOKUP(B143,'Base de Datos'!$C$487:$F$4345,3,0))=TRUE,"",(VLOOKUP('Presupuesto - PAA 2017'!B143,'Base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2017'!B144,'Base de Datos'!$C$7:$F$4345,3,0)))</f>
        <v/>
      </c>
      <c r="D144" s="538" t="str">
        <f>IF(ISERROR(VLOOKUP(B144,'Base de Datos'!$C$487:$F$4345,3,0))=TRUE,"",(VLOOKUP('Presupuesto - PAA 2017'!B144,'Base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3" t="s">
        <v>1661</v>
      </c>
      <c r="C147" s="1123"/>
      <c r="D147" s="1123"/>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2017'!B149,'Base de Datos'!$C$7:$F$4345,3,0)))</f>
        <v/>
      </c>
      <c r="D149" s="538" t="str">
        <f>IF(ISERROR(VLOOKUP(B149,'Base de Datos'!$C$487:$F$4345,3,0))=TRUE,"",(VLOOKUP('Presupuesto - PAA 2017'!B149,'Base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3" t="s">
        <v>1662</v>
      </c>
      <c r="C154" s="1123"/>
      <c r="D154" s="1123"/>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907"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1" t="s">
        <v>1663</v>
      </c>
      <c r="C158" s="1121"/>
      <c r="D158" s="1121"/>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19" t="s">
        <v>1664</v>
      </c>
      <c r="C159" s="1119"/>
      <c r="D159" s="1119"/>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907"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907"/>
      <c r="C162" s="907"/>
      <c r="D162" s="907"/>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19" t="s">
        <v>1665</v>
      </c>
      <c r="C163" s="1119"/>
      <c r="D163" s="1119"/>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907"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907"/>
      <c r="C166" s="907"/>
      <c r="D166" s="907"/>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19" t="s">
        <v>1666</v>
      </c>
      <c r="C167" s="1119"/>
      <c r="D167" s="1119"/>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907"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907"/>
      <c r="C170" s="907"/>
      <c r="D170" s="907"/>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19" t="s">
        <v>1667</v>
      </c>
      <c r="C171" s="1119"/>
      <c r="D171" s="1119"/>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907"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907"/>
      <c r="C174" s="907"/>
      <c r="D174" s="907"/>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1" t="s">
        <v>1668</v>
      </c>
      <c r="C175" s="1121"/>
      <c r="D175" s="1121"/>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18" t="s">
        <v>1669</v>
      </c>
      <c r="C176" s="1118"/>
      <c r="D176" s="1118"/>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2017'!B178,'Base de Datos'!$C$7:$F$4345,3,0)))</f>
        <v>170331-0-2017</v>
      </c>
      <c r="D178" s="538" t="str">
        <f>IF(ISERROR(VLOOKUP(B178,'Base de Datos'!$C$487:$F$4345,3,0))=TRUE,"",(VLOOKUP('Presupuesto - PAA 2017'!B178,'Base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43073</v>
      </c>
      <c r="S178" s="556">
        <f>IF(ISERROR(VLOOKUP(B178,'Base de Datos'!$C$487:$N$4330,11,0))=TRUE," ",(VLOOKUP(B178,'Base de Datos'!$C$487:$N$4330,12,0)))</f>
        <v>43315</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3" t="s">
        <v>1670</v>
      </c>
      <c r="C180" s="1123"/>
      <c r="D180" s="1123"/>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2017'!B182,'Base de Datos'!$C$7:$F$4345,3,0)))</f>
        <v>170231-0-2017</v>
      </c>
      <c r="D182" s="538" t="str">
        <f>IF(ISERROR(VLOOKUP(B182,'Base de Datos'!$C$487:$F$4345,3,0))=TRUE,"",(VLOOKUP('Presupuesto - PAA 2017'!B182,'Base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2017'!B183,'Base de Datos'!$C$7:$F$4345,3,0)))</f>
        <v>160307-0-2016</v>
      </c>
      <c r="D183" s="538" t="str">
        <f>IF(ISERROR(VLOOKUP(B183,'Base de Datos'!$C$487:$F$4345,3,0))=TRUE,"",(VLOOKUP('Presupuesto - PAA 2017'!B183,'Base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2017'!B184,'Base de Datos'!$C$7:$F$4345,3,0)))</f>
        <v/>
      </c>
      <c r="D184" s="538" t="str">
        <f>IF(ISERROR(VLOOKUP(B184,'Base de Datos'!$C$487:$F$4345,3,0))=TRUE,"",(VLOOKUP('Presupuesto - PAA 2017'!B184,'Base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2017'!B185,'Base de Datos'!$C$7:$F$4345,3,0)))</f>
        <v/>
      </c>
      <c r="D185" s="538" t="str">
        <f>IF(ISERROR(VLOOKUP(B185,'Base de Datos'!$C$487:$F$4345,3,0))=TRUE,"",(VLOOKUP('Presupuesto - PAA 2017'!B185,'Base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29" t="s">
        <v>1671</v>
      </c>
      <c r="C188" s="1129"/>
      <c r="D188" s="1129"/>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2017'!B190,'Base de Datos'!$C$7:$F$4345,3,0)))</f>
        <v>150141-0-2015</v>
      </c>
      <c r="D190" s="538" t="str">
        <f>IF(ISERROR(VLOOKUP(B190,'Base de Datos'!$C$487:$F$4345,3,0))=TRUE,"",(VLOOKUP('Presupuesto - PAA 2017'!B190,'Base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2017'!B191,'Base de Datos'!$C$7:$F$4345,3,0)))</f>
        <v>160250-0-2016</v>
      </c>
      <c r="D191" s="538" t="str">
        <f>IF(ISERROR(VLOOKUP(B191,'Base de Datos'!$C$487:$F$4345,3,0))=TRUE,"",(VLOOKUP('Presupuesto - PAA 2017'!B191,'Base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2017'!B192,'Base de Datos'!$C$7:$F$4345,3,0)))</f>
        <v/>
      </c>
      <c r="D192" s="538" t="str">
        <f>IF(ISERROR(VLOOKUP(B192,'Base de Datos'!$C$487:$F$4345,3,0))=TRUE,"",(VLOOKUP('Presupuesto - PAA 2017'!B192,'Base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2017'!B193,'Base de Datos'!$C$7:$F$4345,3,0)))</f>
        <v/>
      </c>
      <c r="D193" s="538" t="str">
        <f>IF(ISERROR(VLOOKUP(B193,'Base de Datos'!$C$487:$F$4345,3,0))=TRUE,"",(VLOOKUP('Presupuesto - PAA 2017'!B193,'Base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3" t="s">
        <v>1672</v>
      </c>
      <c r="C196" s="1123"/>
      <c r="D196" s="1123"/>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2017'!B198,'Base de Datos'!$C$7:$F$4345,3,0)))</f>
        <v>150192-0-2015</v>
      </c>
      <c r="D198" s="538" t="str">
        <f>IF(ISERROR(VLOOKUP(B198,'Base de Datos'!$C$487:$F$4345,3,0))=TRUE,"",(VLOOKUP('Presupuesto - PAA 2017'!B198,'Base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2017'!B199,'Base de Datos'!$C$7:$F$4345,3,0)))</f>
        <v>160284-0-2016</v>
      </c>
      <c r="D199" s="538" t="str">
        <f>IF(ISERROR(VLOOKUP(B199,'Base de Datos'!$C$487:$F$4345,3,0))=TRUE,"",(VLOOKUP('Presupuesto - PAA 2017'!B199,'Base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2017'!B200,'Base de Datos'!$C$7:$F$4345,3,0)))</f>
        <v>150198-0-2015</v>
      </c>
      <c r="D200" s="538" t="str">
        <f>IF(ISERROR(VLOOKUP(B200,'Base de Datos'!$C$487:$F$4345,3,0))=TRUE,"",(VLOOKUP('Presupuesto - PAA 2017'!B200,'Base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2017'!B201,'Base de Datos'!$C$7:$F$4345,3,0)))</f>
        <v>160165-0-2016</v>
      </c>
      <c r="D201" s="538" t="str">
        <f>IF(ISERROR(VLOOKUP(B201,'Base de Datos'!$C$487:$F$4345,3,0))=TRUE,"",(VLOOKUP('Presupuesto - PAA 2017'!B201,'Base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2" t="s">
        <v>1673</v>
      </c>
      <c r="C204" s="1122"/>
      <c r="D204" s="1122"/>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19" t="s">
        <v>1842</v>
      </c>
      <c r="C205" s="1119"/>
      <c r="D205" s="1119"/>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907"/>
      <c r="C208" s="907"/>
      <c r="D208" s="907"/>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18" t="s">
        <v>1675</v>
      </c>
      <c r="C209" s="1118"/>
      <c r="D209" s="1118"/>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2017'!B211,'Base de Datos'!$C$7:$F$4345,3,0)))</f>
        <v>150193-0-2015</v>
      </c>
      <c r="D211" s="538" t="str">
        <f>IF(ISERROR(VLOOKUP(B211,'Base de Datos'!$C$487:$F$4345,3,0))=TRUE,"",(VLOOKUP('Presupuesto - PAA 2017'!B211,'Base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2017'!B212,'Base de Datos'!$C$7:$F$4345,3,0)))</f>
        <v>150152-0-2015</v>
      </c>
      <c r="D212" s="538" t="str">
        <f>IF(ISERROR(VLOOKUP(B212,'Base de Datos'!$C$487:$F$4345,3,0))=TRUE,"",(VLOOKUP('Presupuesto - PAA 2017'!B212,'Base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2017'!B213,'Base de Datos'!$C$7:$F$4345,3,0)))</f>
        <v/>
      </c>
      <c r="D213" s="538" t="str">
        <f>IF(ISERROR(VLOOKUP(B213,'Base de Datos'!$C$487:$F$4345,3,0))=TRUE,"",(VLOOKUP('Presupuesto - PAA 2017'!B213,'Base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2" t="s">
        <v>1676</v>
      </c>
      <c r="C216" s="1122"/>
      <c r="D216" s="1122"/>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19" t="s">
        <v>1841</v>
      </c>
      <c r="C217" s="1119"/>
      <c r="D217" s="1119"/>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19" t="s">
        <v>2132</v>
      </c>
      <c r="C221" s="1119"/>
      <c r="D221" s="1119"/>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2017'!B223,'Base de Datos'!$C$7:$F$4345,3,0)))</f>
        <v>150394-0-2015</v>
      </c>
      <c r="D223" s="538" t="str">
        <f>IF(ISERROR(VLOOKUP(B223,'Base de Datos'!$C$7:$F$4345,3,0))=TRUE,"",(VLOOKUP('Presupuesto - PAA 2017'!B223,'Base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2017'!B224,'Base de Datos'!$C$7:$F$4345,3,0)))</f>
        <v>150404-0-2015</v>
      </c>
      <c r="D224" s="538" t="str">
        <f>IF(ISERROR(VLOOKUP(B224,'Base de Datos'!$C$7:$F$4345,3,0))=TRUE,"",(VLOOKUP('Presupuesto - PAA 2017'!B224,'Base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907"/>
      <c r="C225" s="907"/>
      <c r="D225" s="907"/>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25" t="s">
        <v>1691</v>
      </c>
      <c r="C226" s="1125"/>
      <c r="D226" s="1125"/>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1" t="s">
        <v>1690</v>
      </c>
      <c r="C227" s="1121"/>
      <c r="D227" s="1121"/>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19" t="s">
        <v>1679</v>
      </c>
      <c r="C228" s="1119"/>
      <c r="D228" s="1119"/>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19" t="s">
        <v>1840</v>
      </c>
      <c r="C229" s="1119"/>
      <c r="D229" s="1119"/>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19" t="s">
        <v>1839</v>
      </c>
      <c r="C230" s="1119"/>
      <c r="D230" s="1119"/>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18" t="s">
        <v>1877</v>
      </c>
      <c r="C231" s="1118"/>
      <c r="D231" s="1118"/>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1" t="s">
        <v>1913</v>
      </c>
      <c r="D233" s="1121"/>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27" t="s">
        <v>1914</v>
      </c>
      <c r="D234" s="1128"/>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2017'!B235,'Base de Datos'!$C$7:$F$4345,3,0)))</f>
        <v xml:space="preserve">150302-0-2015 </v>
      </c>
      <c r="D235" s="538" t="str">
        <f>IF(ISERROR(VLOOKUP(B235,'Base de Datos'!$C$487:$F$4345,3,0))=TRUE,"",(VLOOKUP('Presupuesto - PAA 2017'!B235,'Base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2017'!B236,'Base de Datos'!$C$487:$F$4345,3,0)))</f>
        <v/>
      </c>
      <c r="D236" s="538" t="str">
        <f>IF(ISERROR(VLOOKUP(B236,'Base de Datos'!$C$487:$F$4345,3,0))=TRUE,"",(VLOOKUP('Presupuesto - PAA 2017'!B236,'Base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2017'!B237,'Base de Datos'!$C$487:$F$4345,3,0)))</f>
        <v>170002-02017</v>
      </c>
      <c r="D237" s="538" t="str">
        <f>IF(ISERROR(VLOOKUP(B237,'Base de Datos'!$C$487:$F$4345,3,0))=TRUE,"",(VLOOKUP('Presupuesto - PAA 2017'!B237,'Base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2017'!B238,'Base de Datos'!$C$7:$F$4345,3,0)))</f>
        <v/>
      </c>
      <c r="D238" s="538" t="str">
        <f>IF(ISERROR(VLOOKUP(B238,'Base de Datos'!$C$487:$F$4345,3,0))=TRUE,"",(VLOOKUP('Presupuesto - PAA 2017'!B238,'Base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1" t="s">
        <v>1917</v>
      </c>
      <c r="D241" s="1121"/>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26" t="s">
        <v>1918</v>
      </c>
      <c r="D242" s="1126"/>
      <c r="E242" s="624">
        <v>450477000</v>
      </c>
      <c r="F242" s="90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905"/>
      <c r="R242" s="630" t="str">
        <f>IF(ISERROR(VLOOKUP(B242,'Base de Datos'!$C$7:$N$315,9,0))=TRUE," ",(VLOOKUP(B242,'Base de Datos'!$C$7:$N$315,9,0)))</f>
        <v xml:space="preserve"> </v>
      </c>
      <c r="S242" s="630" t="str">
        <f>IF(ISERROR(VLOOKUP(B242,'Base de Datos'!$C$7:$N$315,10,0))=TRUE," ",(VLOOKUP(B242,'Base de Datos'!$C$7:$N$315,10,0)))</f>
        <v xml:space="preserve"> </v>
      </c>
      <c r="T242" s="90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26" t="s">
        <v>1920</v>
      </c>
      <c r="D244" s="1126"/>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905"/>
      <c r="R244" s="630" t="str">
        <f>IF(ISERROR(VLOOKUP(B244,'Base de Datos'!$C$7:$N$315,9,0))=TRUE," ",(VLOOKUP(B244,'Base de Datos'!$C$7:$N$315,9,0)))</f>
        <v xml:space="preserve"> </v>
      </c>
      <c r="S244" s="630" t="str">
        <f>IF(ISERROR(VLOOKUP(B244,'Base de Datos'!$C$7:$N$315,10,0))=TRUE," ",(VLOOKUP(B244,'Base de Datos'!$C$7:$N$315,10,0)))</f>
        <v xml:space="preserve"> </v>
      </c>
      <c r="T244" s="905"/>
      <c r="U244" s="727"/>
      <c r="V244" s="639"/>
    </row>
    <row r="245" spans="2:22" outlineLevel="1" x14ac:dyDescent="0.25">
      <c r="B245" s="542">
        <v>208</v>
      </c>
      <c r="C245" s="538" t="str">
        <f>IF(ISERROR(VLOOKUP(B245,'Base de Datos'!$C$7:$F$4345,2,0))=TRUE,"",(VLOOKUP('Presupuesto - PAA 2017'!B245,'Base de Datos'!$C$7:$F$4345,3,0)))</f>
        <v>150192-0-2015</v>
      </c>
      <c r="D245" s="538" t="str">
        <f>IF(ISERROR(VLOOKUP(B245,'Base de Datos'!$C$7:$F$4345,3,0))=TRUE,"",(VLOOKUP('Presupuesto - PAA 2017'!B245,'Base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2017'!B247,'Base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2017'!B248,'Base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26" t="s">
        <v>1926</v>
      </c>
      <c r="D249" s="1126"/>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905"/>
      <c r="R249" s="630" t="str">
        <f>IF(ISERROR(VLOOKUP(B249,'Base de Datos'!$C$7:$N$315,9,0))=TRUE," ",(VLOOKUP(B249,'Base de Datos'!$C$7:$N$315,9,0)))</f>
        <v xml:space="preserve"> </v>
      </c>
      <c r="S249" s="630" t="str">
        <f>IF(ISERROR(VLOOKUP(B249,'Base de Datos'!$C$7:$N$315,10,0))=TRUE," ",(VLOOKUP(B249,'Base de Datos'!$C$7:$N$315,10,0)))</f>
        <v xml:space="preserve"> </v>
      </c>
      <c r="T249" s="905"/>
      <c r="U249" s="727"/>
      <c r="V249" s="639"/>
    </row>
    <row r="250" spans="2:22" ht="36" outlineLevel="1" x14ac:dyDescent="0.25">
      <c r="B250" s="542">
        <v>212</v>
      </c>
      <c r="C250" s="558" t="str">
        <f>IF(ISERROR(VLOOKUP(B250,'Base de Datos'!$C$7:$F$4338,2,0))=TRUE,"",(VLOOKUP('Presupuesto - PAA 2017'!B250,'Base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4" t="s">
        <v>1928</v>
      </c>
      <c r="D251" s="1124"/>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905"/>
      <c r="R251" s="630" t="str">
        <f>IF(ISERROR(VLOOKUP(B251,'Base de Datos'!$C$7:$N$315,9,0))=TRUE," ",(VLOOKUP(B251,'Base de Datos'!$C$7:$N$315,9,0)))</f>
        <v xml:space="preserve"> </v>
      </c>
      <c r="S251" s="630" t="str">
        <f>IF(ISERROR(VLOOKUP(B251,'Base de Datos'!$C$7:$N$315,10,0))=TRUE," ",(VLOOKUP(B251,'Base de Datos'!$C$7:$N$315,10,0)))</f>
        <v xml:space="preserve"> </v>
      </c>
      <c r="T251" s="905"/>
      <c r="U251" s="727"/>
      <c r="V251" s="639"/>
    </row>
    <row r="252" spans="2:22" s="620" customFormat="1" ht="15" customHeight="1" outlineLevel="1" x14ac:dyDescent="0.25">
      <c r="B252" s="632">
        <v>70</v>
      </c>
      <c r="C252" s="538" t="str">
        <f>IF(ISERROR(VLOOKUP(B252,'Base de Datos'!$C$7:$F$4345,2,0))=TRUE,"",(VLOOKUP('Presupuesto - PAA 2017'!B252,'Base de Datos'!$C$7:$F$4345,3,0)))</f>
        <v>150321-0-2015</v>
      </c>
      <c r="D252" s="538" t="str">
        <f>IF(ISERROR(VLOOKUP(B252,'Base de Datos'!$C$7:$F$4345,3,0))=TRUE,"",(VLOOKUP('Presupuesto - PAA 2017'!B252,'Base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SI</v>
      </c>
      <c r="U252" s="727"/>
      <c r="V252" s="639"/>
    </row>
    <row r="253" spans="2:22" s="620" customFormat="1" ht="14.25" customHeight="1" outlineLevel="1" x14ac:dyDescent="0.25">
      <c r="B253" s="632">
        <v>71</v>
      </c>
      <c r="C253" s="538" t="str">
        <f>IF(ISERROR(VLOOKUP(B253,'Base de Datos'!$C$7:$F$4345,2,0))=TRUE,"",(VLOOKUP('Presupuesto - PAA 2017'!B253,'Base de Datos'!$C$7:$F$4345,3,0)))</f>
        <v>150254-0-2015</v>
      </c>
      <c r="D253" s="538" t="str">
        <f>IF(ISERROR(VLOOKUP(B253,'Base de Datos'!$C$7:$F$4345,3,0))=TRUE,"",(VLOOKUP('Presupuesto - PAA 2017'!B253,'Base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SI</v>
      </c>
      <c r="U253" s="727"/>
      <c r="V253" s="639"/>
    </row>
    <row r="254" spans="2:22" s="620" customFormat="1" ht="24" outlineLevel="1" x14ac:dyDescent="0.25">
      <c r="B254" s="632">
        <v>73</v>
      </c>
      <c r="C254" s="558">
        <f>IF(ISERROR(VLOOKUP(B254,'Base de Datos'!$C$7:$F$4338,2,0))=TRUE,"",(VLOOKUP('Presupuesto - PAA 2017'!B254,'Base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2017'!B255,'Base de Datos'!$C$7:$F$4345,3,0)))</f>
        <v>150382-0-2015</v>
      </c>
      <c r="D255" s="538" t="str">
        <f>IF(ISERROR(VLOOKUP(B255,'Base de Datos'!$C$7:$F$4345,3,0))=TRUE,"",(VLOOKUP('Presupuesto - PAA 2017'!B255,'Base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2017'!B256,'Base de Datos'!$C$7:$F$4345,3,0)))</f>
        <v>150236-0-2015</v>
      </c>
      <c r="D256" s="538" t="str">
        <f>IF(ISERROR(VLOOKUP(B256,'Base de Datos'!$C$7:$F$4345,3,0))=TRUE,"",(VLOOKUP('Presupuesto - PAA 2017'!B256,'Base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SI</v>
      </c>
      <c r="U256" s="727"/>
      <c r="V256" s="639"/>
    </row>
    <row r="257" spans="2:22" s="620" customFormat="1" outlineLevel="1" x14ac:dyDescent="0.25">
      <c r="B257" s="632">
        <v>314</v>
      </c>
      <c r="C257" s="538" t="str">
        <f>IF(ISERROR(VLOOKUP(B257,'Base de Datos'!$C$7:$F$4345,2,0))=TRUE,"",(VLOOKUP('Presupuesto - PAA 2017'!B257,'Base de Datos'!$C$7:$F$4345,3,0)))</f>
        <v>150308-0-2015</v>
      </c>
      <c r="D257" s="538" t="str">
        <f>IF(ISERROR(VLOOKUP(B257,'Base de Datos'!$C$7:$F$4345,3,0))=TRUE,"",(VLOOKUP('Presupuesto - PAA 2017'!B257,'Base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2017'!B258,'Base de Datos'!$C$7:$F$4345,3,0)))</f>
        <v>150346-0-2015</v>
      </c>
      <c r="D258" s="538" t="str">
        <f>IF(ISERROR(VLOOKUP(B258,'Base de Datos'!$C$7:$F$4345,3,0))=TRUE,"",(VLOOKUP('Presupuesto - PAA 2017'!B258,'Base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2017'!B259,'Base de Datos'!$C$7:$F$4345,3,0)))</f>
        <v>150340-0-2015</v>
      </c>
      <c r="D259" s="538" t="str">
        <f>IF(ISERROR(VLOOKUP(B259,'Base de Datos'!$C$7:$F$4345,3,0))=TRUE,"",(VLOOKUP('Presupuesto - PAA 2017'!B259,'Base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2017'!B260,'Base de Datos'!$C$7:$F$4345,3,0)))</f>
        <v>150397-0-2015</v>
      </c>
      <c r="D260" s="538" t="str">
        <f>IF(ISERROR(VLOOKUP(B260,'Base de Datos'!$C$7:$F$4345,3,0))=TRUE,"",(VLOOKUP('Presupuesto - PAA 2017'!B260,'Base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4" t="s">
        <v>1936</v>
      </c>
      <c r="D264" s="1124"/>
      <c r="E264" s="625">
        <f>+E265</f>
        <v>4174276985</v>
      </c>
      <c r="F264" s="905"/>
      <c r="G264" s="905"/>
      <c r="H264" s="905"/>
      <c r="I264" s="905"/>
      <c r="J264" s="625">
        <f>SUM(J265)</f>
        <v>4174276985</v>
      </c>
      <c r="K264" s="628">
        <f>+J264/E264</f>
        <v>1</v>
      </c>
      <c r="L264" s="625">
        <f>SUM(L265)</f>
        <v>0</v>
      </c>
      <c r="M264" s="905"/>
      <c r="N264" s="625" t="str">
        <f>+N265</f>
        <v xml:space="preserve"> </v>
      </c>
      <c r="O264" s="701"/>
      <c r="P264" s="631"/>
      <c r="Q264" s="905"/>
      <c r="R264" s="905"/>
      <c r="S264" s="905"/>
      <c r="T264" s="905"/>
      <c r="U264" s="727"/>
      <c r="V264" s="639"/>
    </row>
    <row r="265" spans="2:22" ht="24" outlineLevel="1" x14ac:dyDescent="0.25">
      <c r="B265" s="542">
        <v>210</v>
      </c>
      <c r="C265" s="538" t="str">
        <f>IF(ISERROR(VLOOKUP(B265,'Base de Datos'!$C$7:$F$4345,2,0))=TRUE,"",(VLOOKUP('Presupuesto - PAA 2017'!B265,'Base de Datos'!$C$7:$F$4345,3,0)))</f>
        <v>150198-0-2015</v>
      </c>
      <c r="D265" s="538" t="str">
        <f>IF(ISERROR(VLOOKUP(B265,'Base de Datos'!$C$7:$F$4345,3,0))=TRUE,"",(VLOOKUP('Presupuesto - PAA 2017'!B265,'Base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0" t="s">
        <v>2131</v>
      </c>
      <c r="C270" s="1130"/>
      <c r="D270" s="1130"/>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38" t="s">
        <v>1786</v>
      </c>
      <c r="C271" s="1138"/>
      <c r="D271" s="1138"/>
      <c r="E271" s="904" t="s">
        <v>2134</v>
      </c>
      <c r="F271" s="904" t="s">
        <v>2135</v>
      </c>
      <c r="G271" s="904" t="s">
        <v>1900</v>
      </c>
      <c r="H271" s="904" t="s">
        <v>1901</v>
      </c>
      <c r="I271" s="904" t="s">
        <v>1843</v>
      </c>
      <c r="J271" s="904" t="s">
        <v>2136</v>
      </c>
      <c r="K271" s="721" t="s">
        <v>1903</v>
      </c>
      <c r="L271" s="904" t="s">
        <v>2140</v>
      </c>
      <c r="M271" s="904" t="s">
        <v>1905</v>
      </c>
      <c r="N271" s="904" t="s">
        <v>1907</v>
      </c>
      <c r="O271" s="722" t="s">
        <v>2139</v>
      </c>
      <c r="P271" s="723" t="s">
        <v>1821</v>
      </c>
      <c r="Q271" s="904" t="s">
        <v>1851</v>
      </c>
      <c r="R271" s="904" t="s">
        <v>1852</v>
      </c>
      <c r="S271" s="904" t="s">
        <v>375</v>
      </c>
      <c r="T271" s="904" t="s">
        <v>1853</v>
      </c>
    </row>
    <row r="272" spans="2:22" hidden="1" x14ac:dyDescent="0.25">
      <c r="B272" s="1125" t="s">
        <v>1689</v>
      </c>
      <c r="C272" s="1125"/>
      <c r="D272" s="1125"/>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25" t="s">
        <v>1687</v>
      </c>
      <c r="C273" s="1125"/>
      <c r="D273" s="1125"/>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1" t="s">
        <v>1686</v>
      </c>
      <c r="C274" s="1121"/>
      <c r="D274" s="1121"/>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1" t="s">
        <v>1685</v>
      </c>
      <c r="C275" s="1121"/>
      <c r="D275" s="1121"/>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1" t="s">
        <v>1684</v>
      </c>
      <c r="C276" s="1121"/>
      <c r="D276" s="1121"/>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18" t="s">
        <v>1646</v>
      </c>
      <c r="C277" s="1118"/>
      <c r="D277" s="1118"/>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2017'!O279=Hoja1!$D$18),'Presupuesto - PAA 2017'!L279,"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2017'!O280=Hoja1!$D$18),'Presupuesto - PAA 2017'!L280,"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2017'!O281=Hoja1!$D$18),'Presupuesto - PAA 2017'!L281,"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2017'!O282=Hoja1!$D$18),'Presupuesto - PAA 2017'!L282,"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2017'!O283=Hoja1!$D$18),'Presupuesto - PAA 2017'!L283,"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18" t="s">
        <v>1648</v>
      </c>
      <c r="C285" s="1118"/>
      <c r="D285" s="1118"/>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2017'!O287=Hoja1!$D$18),'Presupuesto - PAA 2017'!L287,"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1" t="s">
        <v>1796</v>
      </c>
      <c r="C289" s="1121"/>
      <c r="D289" s="1121"/>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1" t="s">
        <v>1650</v>
      </c>
      <c r="C290" s="1121"/>
      <c r="D290" s="1121"/>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18" t="s">
        <v>1651</v>
      </c>
      <c r="C291" s="1118"/>
      <c r="D291" s="1118"/>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2017'!O293=Hoja1!$D$18),'Presupuesto - PAA 2017'!L293,"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2017'!O294=Hoja1!$D$18),'Presupuesto - PAA 2017'!L294,"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2017'!O295=Hoja1!$D$18),'Presupuesto - PAA 2017'!L295,"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2017'!O296=Hoja1!$D$18),'Presupuesto - PAA 2017'!L296,"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2017'!O297=Hoja1!$D$18),'Presupuesto - PAA 2017'!L297,"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2017'!O298=Hoja1!$D$18),'Presupuesto - PAA 2017'!L298,"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18" t="s">
        <v>1652</v>
      </c>
      <c r="C300" s="1118"/>
      <c r="D300" s="1118"/>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2017'!O302=Hoja1!$D$18),'Presupuesto - PAA 2017'!L302,"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2017'!O303=Hoja1!$D$18),'Presupuesto - PAA 2017'!L303,"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2017'!O304=Hoja1!$D$18),'Presupuesto - PAA 2017'!L304,"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2017'!O305=Hoja1!$D$18),'Presupuesto - PAA 2017'!L305,"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18" t="s">
        <v>1653</v>
      </c>
      <c r="C307" s="1118"/>
      <c r="D307" s="1118"/>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2017'!O309=Hoja1!$D$18),'Presupuesto - PAA 2017'!L309,"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2017'!O310=Hoja1!$D$18),'Presupuesto - PAA 2017'!L310,"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1" t="s">
        <v>1654</v>
      </c>
      <c r="C312" s="1121"/>
      <c r="D312" s="1121"/>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18" t="s">
        <v>2144</v>
      </c>
      <c r="C313" s="1118"/>
      <c r="D313" s="1118"/>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2017'!O315=Hoja1!$D$18),'Presupuesto - PAA 2017'!L315,"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906"/>
      <c r="C316" s="906"/>
      <c r="D316" s="906"/>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18" t="s">
        <v>1655</v>
      </c>
      <c r="C317" s="1118"/>
      <c r="D317" s="1118"/>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2017'!O319=Hoja1!$D$18),'Presupuesto - PAA 2017'!L319,"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2017'!O320=Hoja1!$D$18),'Presupuesto - PAA 2017'!L320,"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2017'!O321=Hoja1!$D$18),'Presupuesto - PAA 2017'!L321,"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18" t="s">
        <v>1656</v>
      </c>
      <c r="C323" s="1118"/>
      <c r="D323" s="1118"/>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2017'!O325=Hoja1!$D$18),'Presupuesto - PAA 2017'!L325,"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1" t="s">
        <v>1657</v>
      </c>
      <c r="C327" s="1121"/>
      <c r="D327" s="1121"/>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18" t="s">
        <v>1658</v>
      </c>
      <c r="C328" s="1118"/>
      <c r="D328" s="1118"/>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2017'!O330=Hoja1!$D$18),'Presupuesto - PAA 2017'!L330,"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2017'!O331=Hoja1!$D$18),'Presupuesto - PAA 2017'!L331,"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2017'!O332=Hoja1!$D$18),'Presupuesto - PAA 2017'!L332,"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2017'!O333=Hoja1!$D$18),'Presupuesto - PAA 2017'!L333,"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2017'!O334=Hoja1!$D$18),'Presupuesto - PAA 2017'!L334,"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2017'!O335=Hoja1!$D$18),'Presupuesto - PAA 2017'!L335,"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2017'!O336=Hoja1!$D$18),'Presupuesto - PAA 2017'!L336,"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2017'!O337=Hoja1!$D$18),'Presupuesto - PAA 2017'!L337,"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2017'!O338=Hoja1!$D$18),'Presupuesto - PAA 2017'!L338,"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2017'!O339=Hoja1!$D$18),'Presupuesto - PAA 2017'!L339,"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2017'!O340=Hoja1!$D$18),'Presupuesto - PAA 2017'!L340,"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2017'!O341=Hoja1!$D$18),'Presupuesto - PAA 2017'!L341,"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2017'!O342=Hoja1!$D$18),'Presupuesto - PAA 2017'!L342,"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2017'!O343=Hoja1!$D$18),'Presupuesto - PAA 2017'!L343,"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2017'!O344=Hoja1!$D$18),'Presupuesto - PAA 2017'!L344,"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2017'!O345=Hoja1!$D$18),'Presupuesto - PAA 2017'!L345,"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1" t="s">
        <v>1659</v>
      </c>
      <c r="C347" s="1121"/>
      <c r="D347" s="1121"/>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18" t="s">
        <v>1660</v>
      </c>
      <c r="C348" s="1118"/>
      <c r="D348" s="1118"/>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2017'!O351=Hoja1!$D$18),'Presupuesto - PAA 2017'!L351,"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1" t="s">
        <v>1668</v>
      </c>
      <c r="C353" s="1121"/>
      <c r="D353" s="1121"/>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18" t="s">
        <v>1669</v>
      </c>
      <c r="C354" s="1118"/>
      <c r="D354" s="1118"/>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2017'!O356=Hoja1!$D$18),'Presupuesto - PAA 2017'!L356,"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2017'!O357=Hoja1!$D$18),'Presupuesto - PAA 2017'!L357,"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18" t="s">
        <v>1670</v>
      </c>
      <c r="C359" s="1118"/>
      <c r="D359" s="1118"/>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2017'!O361=Hoja1!$D$18),'Presupuesto - PAA 2017'!L361,"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39" t="s">
        <v>1671</v>
      </c>
      <c r="C363" s="1139"/>
      <c r="D363" s="1139"/>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2017'!O365=Hoja1!$D$18),'Presupuesto - PAA 2017'!L365,"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2017'!O366=Hoja1!$D$18),'Presupuesto - PAA 2017'!L366,"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18" t="s">
        <v>1672</v>
      </c>
      <c r="C368" s="1118"/>
      <c r="D368" s="1118"/>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2017'!O370=Hoja1!$D$18),'Presupuesto - PAA 2017'!L370,"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2017'!O371=Hoja1!$D$18),'Presupuesto - PAA 2017'!L371,"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18" t="s">
        <v>1675</v>
      </c>
      <c r="C373" s="1118"/>
      <c r="D373" s="1118"/>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2017'!O375=Hoja1!$D$18),'Presupuesto - PAA 2017'!L375,"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2017'!O376=Hoja1!$D$18),'Presupuesto - PAA 2017'!L376,"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1" t="s">
        <v>1676</v>
      </c>
      <c r="C378" s="1121"/>
      <c r="D378" s="1121"/>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18" t="s">
        <v>2132</v>
      </c>
      <c r="C379" s="1118"/>
      <c r="D379" s="1118"/>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25" t="s">
        <v>1691</v>
      </c>
      <c r="C383" s="1125"/>
      <c r="D383" s="1125"/>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1" t="s">
        <v>1690</v>
      </c>
      <c r="C384" s="1121"/>
      <c r="D384" s="1121"/>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19" t="s">
        <v>1679</v>
      </c>
      <c r="C385" s="1119"/>
      <c r="D385" s="1119"/>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19" t="s">
        <v>1840</v>
      </c>
      <c r="C386" s="1119"/>
      <c r="D386" s="1119"/>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19" t="s">
        <v>1839</v>
      </c>
      <c r="C387" s="1119"/>
      <c r="D387" s="1119"/>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18" t="s">
        <v>1877</v>
      </c>
      <c r="C388" s="1118"/>
      <c r="D388" s="1118"/>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2017'!O390=Hoja1!$D$18),'Presupuesto - PAA 2017'!L390,"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2017'!O391=Hoja1!$D$18),'Presupuesto - PAA 2017'!L391,"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2017'!O392=Hoja1!$D$18),'Presupuesto - PAA 2017'!L392,"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2017'!O393=Hoja1!$D$18),'Presupuesto - PAA 2017'!L393,"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2017'!O394=Hoja1!$D$18),'Presupuesto - PAA 2017'!L394,"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2017'!O395=Hoja1!$D$18),'Presupuesto - PAA 2017'!L395,"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2017'!O396=Hoja1!$D$18),'Presupuesto - PAA 2017'!L396,"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2017'!O397=Hoja1!$D$18),'Presupuesto - PAA 2017'!L397,"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pane="topRight" activeCell="F1" sqref="F1"/>
      <selection pane="bottomLeft" activeCell="A3" sqref="A3"/>
      <selection pane="bottomRight" activeCell="N43" sqref="N43"/>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1" t="s">
        <v>1844</v>
      </c>
      <c r="C1" s="1132"/>
      <c r="D1" s="1132"/>
      <c r="E1" s="1132"/>
      <c r="F1" s="1132"/>
      <c r="G1" s="1132"/>
      <c r="H1" s="1132"/>
      <c r="I1" s="1132"/>
      <c r="J1" s="1132"/>
      <c r="K1" s="1132"/>
      <c r="L1" s="1132"/>
      <c r="M1" s="1132"/>
      <c r="N1" s="1132"/>
      <c r="O1" s="1132"/>
      <c r="P1" s="1132"/>
      <c r="Q1" s="1132"/>
      <c r="R1" s="1132"/>
      <c r="S1" s="1132"/>
      <c r="T1" s="1133"/>
      <c r="AA1" s="540" t="s">
        <v>1906</v>
      </c>
    </row>
    <row r="2" spans="2:27" ht="36" x14ac:dyDescent="0.25">
      <c r="B2" s="1138" t="s">
        <v>1786</v>
      </c>
      <c r="C2" s="1138"/>
      <c r="D2" s="1138"/>
      <c r="E2" s="1024" t="s">
        <v>2270</v>
      </c>
      <c r="F2" s="1024" t="s">
        <v>1845</v>
      </c>
      <c r="G2" s="1024" t="s">
        <v>1900</v>
      </c>
      <c r="H2" s="1024" t="s">
        <v>1901</v>
      </c>
      <c r="I2" s="1024" t="s">
        <v>1843</v>
      </c>
      <c r="J2" s="1024" t="s">
        <v>1902</v>
      </c>
      <c r="K2" s="721" t="s">
        <v>1903</v>
      </c>
      <c r="L2" s="1024" t="s">
        <v>1904</v>
      </c>
      <c r="M2" s="1024" t="s">
        <v>1905</v>
      </c>
      <c r="N2" s="1024" t="s">
        <v>1907</v>
      </c>
      <c r="O2" s="722" t="s">
        <v>1123</v>
      </c>
      <c r="P2" s="723" t="s">
        <v>1850</v>
      </c>
      <c r="Q2" s="1024" t="s">
        <v>1851</v>
      </c>
      <c r="R2" s="1024" t="s">
        <v>1852</v>
      </c>
      <c r="S2" s="1024" t="s">
        <v>375</v>
      </c>
      <c r="T2" s="1024" t="s">
        <v>1853</v>
      </c>
    </row>
    <row r="3" spans="2:27" ht="15" customHeight="1" x14ac:dyDescent="0.25">
      <c r="B3" s="1125" t="s">
        <v>1689</v>
      </c>
      <c r="C3" s="1125"/>
      <c r="D3" s="1125"/>
      <c r="E3" s="546">
        <v>31035477000</v>
      </c>
      <c r="F3" s="546"/>
      <c r="G3" s="546"/>
      <c r="H3" s="546"/>
      <c r="I3" s="546">
        <f>+I4+I226</f>
        <v>8272977000</v>
      </c>
      <c r="J3" s="546">
        <f>+J4+J226</f>
        <v>29875806152.200001</v>
      </c>
      <c r="K3" s="651">
        <f t="shared" ref="K3:K8" si="0">+J3/E3</f>
        <v>0.96263402531883113</v>
      </c>
      <c r="L3" s="546" t="e">
        <f>+L4+L226</f>
        <v>#N/A</v>
      </c>
      <c r="M3" s="546" t="e">
        <f>+M4+M251</f>
        <v>#N/A</v>
      </c>
      <c r="N3" s="546" t="e">
        <f>+N4+N226</f>
        <v>#N/A</v>
      </c>
      <c r="O3" s="546"/>
      <c r="P3" s="656"/>
      <c r="Q3" s="576"/>
      <c r="R3" s="576"/>
      <c r="S3" s="576"/>
      <c r="T3" s="576"/>
    </row>
    <row r="4" spans="2:27" ht="15" customHeight="1" x14ac:dyDescent="0.25">
      <c r="B4" s="1125" t="s">
        <v>1687</v>
      </c>
      <c r="C4" s="1125"/>
      <c r="D4" s="1125"/>
      <c r="E4" s="546">
        <v>22793000000</v>
      </c>
      <c r="F4" s="547"/>
      <c r="G4" s="546">
        <f>+G5+G58</f>
        <v>858500000</v>
      </c>
      <c r="H4" s="546">
        <f>+H5+H58</f>
        <v>128000000</v>
      </c>
      <c r="I4" s="546">
        <f>+I5+I58</f>
        <v>730500000</v>
      </c>
      <c r="J4" s="546">
        <f>+J5+J49</f>
        <v>18266510577</v>
      </c>
      <c r="K4" s="651">
        <f t="shared" si="0"/>
        <v>0.8014087911639538</v>
      </c>
      <c r="L4" s="546" t="e">
        <f>+L5+L49</f>
        <v>#N/A</v>
      </c>
      <c r="M4" s="546" t="e">
        <f>+M5+M49</f>
        <v>#N/A</v>
      </c>
      <c r="N4" s="546" t="e">
        <f>+N5+N49</f>
        <v>#N/A</v>
      </c>
      <c r="O4" s="679"/>
      <c r="P4" s="577"/>
      <c r="Q4" s="576"/>
      <c r="R4" s="576"/>
      <c r="S4" s="576"/>
      <c r="T4" s="576"/>
    </row>
    <row r="5" spans="2:27" ht="15" customHeight="1" x14ac:dyDescent="0.25">
      <c r="B5" s="1121" t="s">
        <v>1686</v>
      </c>
      <c r="C5" s="1121"/>
      <c r="D5" s="1121"/>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21" t="s">
        <v>1685</v>
      </c>
      <c r="C6" s="1121"/>
      <c r="D6" s="1121"/>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21" t="s">
        <v>1684</v>
      </c>
      <c r="C7" s="1121"/>
      <c r="D7" s="1121"/>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18" t="s">
        <v>1646</v>
      </c>
      <c r="C8" s="1118"/>
      <c r="D8" s="1118"/>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2017 (2)'!B10,'Base de Datos'!$C$7:$F$4345,3,0)))</f>
        <v>170115-0-2017</v>
      </c>
      <c r="D10" s="538" t="str">
        <f>IF(ISERROR(VLOOKUP(B10,'Base de Datos'!$C$487:$F$4345,3,0))=TRUE,"",(VLOOKUP('Presupuesto - PAA 2017 (2)'!B10,'Base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2017 (2)'!B11,'Base de Datos'!$C$7:$F$4345,3,0)))</f>
        <v>150321-0-2015</v>
      </c>
      <c r="D11" s="538" t="str">
        <f>IF(ISERROR(VLOOKUP(B11,'Base de Datos'!$C$487:$F$4345,3,0))=TRUE,"",(VLOOKUP('Presupuesto - PAA 2017 (2)'!B11,'Base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2017 (2)'!B12,'Base de Datos'!$C$7:$F$4345,3,0)))</f>
        <v>150123-0-2015</v>
      </c>
      <c r="D12" s="538" t="str">
        <f>IF(ISERROR(VLOOKUP(B12,'Base de Datos'!$C$487:$F$4345,3,0))=TRUE,"",(VLOOKUP('Presupuesto - PAA 2017 (2)'!B12,'Base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2017 (2)'!B13,'Base de Datos'!$C$7:$F$4345,3,0)))</f>
        <v>150228-0-2015</v>
      </c>
      <c r="D13" s="538" t="str">
        <f>IF(ISERROR(VLOOKUP(B13,'Base de Datos'!$C$487:$F$4345,3,0))=TRUE,"",(VLOOKUP('Presupuesto - PAA 2017 (2)'!B13,'Base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2017 (2)'!B14,'Base de Datos'!$C$7:$F$4345,3,0)))</f>
        <v/>
      </c>
      <c r="D14" s="538" t="str">
        <f>IF(ISERROR(VLOOKUP(B14,'Base de Datos'!$C$487:$F$4345,3,0))=TRUE,"",(VLOOKUP('Presupuesto - PAA 2017 (2)'!B14,'Base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2017 (2)'!B15,'Base de Datos'!$C$7:$F$4345,3,0)))</f>
        <v>150330-0-2015</v>
      </c>
      <c r="D15" s="538" t="str">
        <f>IF(ISERROR(VLOOKUP(B15,'Base de Datos'!$C$487:$F$4345,3,0))=TRUE,"",(VLOOKUP('Presupuesto - PAA 2017 (2)'!B15,'Base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2017 (2)'!B16,'Base de Datos'!$C$7:$F$4345,3,0)))</f>
        <v/>
      </c>
      <c r="D16" s="538" t="str">
        <f>IF(ISERROR(VLOOKUP(B16,'Base de Datos'!$C$487:$F$4345,3,0))=TRUE,"",(VLOOKUP('Presupuesto - PAA 2017 (2)'!B16,'Base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2017 (2)'!B17,'Base de Datos'!$C$7:$F$4345,3,0)))</f>
        <v>150342-0-2015</v>
      </c>
      <c r="D17" s="538" t="str">
        <f>IF(ISERROR(VLOOKUP(B17,'Base de Datos'!$C$487:$F$4345,3,0))=TRUE,"",(VLOOKUP('Presupuesto - PAA 2017 (2)'!B17,'Base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2017 (2)'!B18,'Base de Datos'!$C$7:$F$4345,3,0)))</f>
        <v>160156-0-2016</v>
      </c>
      <c r="D18" s="538" t="str">
        <f>IF(ISERROR(VLOOKUP(B18,'Base de Datos'!$C$487:$F$4345,3,0))=TRUE,"",(VLOOKUP('Presupuesto - PAA 2017 (2)'!B18,'Base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2017 (2)'!B19,'Base de Datos'!$C$7:$F$4345,3,0)))</f>
        <v>150338-0-2015</v>
      </c>
      <c r="D19" s="538" t="str">
        <f>IF(ISERROR(VLOOKUP(B19,'Base de Datos'!$C$487:$F$4345,3,0))=TRUE,"",(VLOOKUP('Presupuesto - PAA 2017 (2)'!B19,'Base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2017 (2)'!B20,'Base de Datos'!$C$7:$F$4345,3,0)))</f>
        <v>150223-0-2015</v>
      </c>
      <c r="D20" s="538" t="str">
        <f>IF(ISERROR(VLOOKUP(B20,'Base de Datos'!$C$487:$F$4345,3,0))=TRUE,"",(VLOOKUP('Presupuesto - PAA 2017 (2)'!B20,'Base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2017 (2)'!B21,'Base de Datos'!$C$7:$F$4345,3,0)))</f>
        <v>150168-0-2015</v>
      </c>
      <c r="D21" s="538" t="str">
        <f>IF(ISERROR(VLOOKUP(B21,'Base de Datos'!$C$487:$F$4345,3,0))=TRUE,"",(VLOOKUP('Presupuesto - PAA 2017 (2)'!B21,'Base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2017 (2)'!B22,'Base de Datos'!$C$7:$F$4345,3,0)))</f>
        <v>150129-0-2015</v>
      </c>
      <c r="D22" s="538" t="str">
        <f>IF(ISERROR(VLOOKUP(B22,'Base de Datos'!$C$487:$F$4345,3,0))=TRUE,"",(VLOOKUP('Presupuesto - PAA 2017 (2)'!B22,'Base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2017 (2)'!B23,'Base de Datos'!$C$7:$F$4345,3,0)))</f>
        <v/>
      </c>
      <c r="D23" s="538" t="str">
        <f>IF(ISERROR(VLOOKUP(B23,'Base de Datos'!$C$487:$F$4345,3,0))=TRUE,"",(VLOOKUP('Presupuesto - PAA 2017 (2)'!B23,'Base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2017 (2)'!B24,'Base de Datos'!$C$7:$F$4345,3,0)))</f>
        <v>150229-0-2015</v>
      </c>
      <c r="D24" s="538" t="str">
        <f>IF(ISERROR(VLOOKUP(B24,'Base de Datos'!$C$487:$F$4345,3,0))=TRUE,"",(VLOOKUP('Presupuesto - PAA 2017 (2)'!B24,'Base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2017 (2)'!B25,'Base de Datos'!$C$7:$F$4345,3,0)))</f>
        <v/>
      </c>
      <c r="D25" s="538" t="str">
        <f>IF(ISERROR(VLOOKUP(B25,'Base de Datos'!$C$487:$F$4345,3,0))=TRUE,"",(VLOOKUP('Presupuesto - PAA 2017 (2)'!B25,'Base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2017 (2)'!B26,'Base de Datos'!$C$7:$F$4345,3,0)))</f>
        <v>170111-0-2017</v>
      </c>
      <c r="D26" s="538" t="str">
        <f>IF(ISERROR(VLOOKUP(B26,'Base de Datos'!$C$487:$F$4345,3,0))=TRUE,"",(VLOOKUP('Presupuesto - PAA 2017 (2)'!B26,'Base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outlineLevel="1" x14ac:dyDescent="0.25">
      <c r="B27" s="557">
        <v>157</v>
      </c>
      <c r="C27" s="538" t="str">
        <f>IF(ISERROR(VLOOKUP(B27,'Base de Datos'!$C$487:$F$4345,2,0))=TRUE,"",(VLOOKUP('Presupuesto - PAA 2017 (2)'!B27,'Base de Datos'!$C$7:$F$4345,3,0)))</f>
        <v>150255-0-2015</v>
      </c>
      <c r="D27" s="538" t="str">
        <f>IF(ISERROR(VLOOKUP(B27,'Base de Datos'!$C$487:$F$4345,3,0))=TRUE,"",(VLOOKUP('Presupuesto - PAA 2017 (2)'!B27,'Base de Datos'!$C$487:$F$4345,4,0)))</f>
        <v>IVON ADRIANA JIMENEZ ZAPATA</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2017 (2)'!B28,'Base de Datos'!$C$7:$F$4345,3,0)))</f>
        <v>150271-0-2015</v>
      </c>
      <c r="D28" s="538" t="str">
        <f>IF(ISERROR(VLOOKUP(B28,'Base de Datos'!$C$487:$F$4345,3,0))=TRUE,"",(VLOOKUP('Presupuesto - PAA 2017 (2)'!B28,'Base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2017 (2)'!B29,'Base de Datos'!$C$7:$F$4345,3,0)))</f>
        <v/>
      </c>
      <c r="D29" s="538" t="str">
        <f>IF(ISERROR(VLOOKUP(B29,'Base de Datos'!$C$487:$F$4345,3,0))=TRUE,"",(VLOOKUP('Presupuesto - PAA 2017 (2)'!B29,'Base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2017 (2)'!B30,'Base de Datos'!$C$7:$F$4345,3,0)))</f>
        <v/>
      </c>
      <c r="D30" s="538" t="str">
        <f>IF(ISERROR(VLOOKUP(B30,'Base de Datos'!$C$487:$F$4345,3,0))=TRUE,"",(VLOOKUP('Presupuesto - PAA 2017 (2)'!B30,'Base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4"/>
      <c r="C32" s="1135"/>
      <c r="D32" s="1135"/>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36"/>
      <c r="C33" s="1137"/>
      <c r="D33" s="1137"/>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3" t="s">
        <v>1647</v>
      </c>
      <c r="C34" s="1123"/>
      <c r="D34" s="1123"/>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1025"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18" t="s">
        <v>1648</v>
      </c>
      <c r="C37" s="1118"/>
      <c r="D37" s="1118"/>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2017 (2)'!B39,'Base de Datos'!$C$7:$F$4345,3,0)))</f>
        <v/>
      </c>
      <c r="D39" s="538" t="str">
        <f>IF(ISERROR(VLOOKUP(B39,'Base de Datos'!$C$487:$F$4345,3,0))=TRUE,"",(VLOOKUP('Presupuesto - PAA 2017 (2)'!B39,'Base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2017 (2)'!B40,'Base de Datos'!$C$7:$F$4345,3,0)))</f>
        <v/>
      </c>
      <c r="D40" s="538" t="str">
        <f>IF(ISERROR(VLOOKUP(B40,'Base de Datos'!$C$487:$F$4345,3,0))=TRUE,"",(VLOOKUP('Presupuesto - PAA 2017 (2)'!B40,'Base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2017 (2)'!B41,'Base de Datos'!$C$7:$F$4345,3,0)))</f>
        <v>170139-0-2017</v>
      </c>
      <c r="D41" s="538" t="str">
        <f>IF(ISERROR(VLOOKUP(B41,'Base de Datos'!$C$487:$F$4345,3,0))=TRUE,"",(VLOOKUP('Presupuesto - PAA 2017 (2)'!B41,'Base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2017 (2)'!B42,'Base de Datos'!$C$7:$F$4345,3,0)))</f>
        <v/>
      </c>
      <c r="D42" s="538" t="str">
        <f>IF(ISERROR(VLOOKUP(B42,'Base de Datos'!$C$487:$F$4345,3,0))=TRUE,"",(VLOOKUP('Presupuesto - PAA 2017 (2)'!B42,'Base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2017 (2)'!B43,'Base de Datos'!$C$7:$F$4345,3,0)))</f>
        <v/>
      </c>
      <c r="D43" s="538" t="str">
        <f>IF(ISERROR(VLOOKUP(B43,'Base de Datos'!$C$487:$F$4345,3,0))=TRUE,"",(VLOOKUP('Presupuesto - PAA 2017 (2)'!B43,'Base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2017 (2)'!B44,'Base de Datos'!$C$7:$F$4345,3,0)))</f>
        <v/>
      </c>
      <c r="D44" s="538" t="str">
        <f>IF(ISERROR(VLOOKUP(B44,'Base de Datos'!$C$487:$F$4345,3,0))=TRUE,"",(VLOOKUP('Presupuesto - PAA 2017 (2)'!B44,'Base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2017 (2)'!B45,'Base de Datos'!$C$7:$F$4345,3,0)))</f>
        <v/>
      </c>
      <c r="D45" s="538" t="str">
        <f>IF(ISERROR(VLOOKUP(B45,'Base de Datos'!$C$487:$F$4345,3,0))=TRUE,"",(VLOOKUP('Presupuesto - PAA 2017 (2)'!B45,'Base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2017 (2)'!B46,'Base de Datos'!$C$7:$F$4345,3,0)))</f>
        <v/>
      </c>
      <c r="D46" s="538" t="str">
        <f>IF(ISERROR(VLOOKUP(B46,'Base de Datos'!$C$487:$F$4345,3,0))=TRUE,"",(VLOOKUP('Presupuesto - PAA 2017 (2)'!B46,'Base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20"/>
      <c r="C48" s="1120"/>
      <c r="D48" s="1120"/>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2" t="s">
        <v>1796</v>
      </c>
      <c r="C49" s="1122"/>
      <c r="D49" s="1122"/>
      <c r="E49" s="562">
        <v>9151221000</v>
      </c>
      <c r="F49" s="638"/>
      <c r="G49" s="563"/>
      <c r="H49" s="563"/>
      <c r="I49" s="563"/>
      <c r="J49" s="572">
        <f>J50+J90+J216</f>
        <v>7181615504</v>
      </c>
      <c r="K49" s="614">
        <f>J49/E49</f>
        <v>0.7847712894268426</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1" t="s">
        <v>1650</v>
      </c>
      <c r="C50" s="1121"/>
      <c r="D50" s="1121"/>
      <c r="E50" s="544">
        <v>2089000000</v>
      </c>
      <c r="F50" s="636"/>
      <c r="G50" s="545"/>
      <c r="H50" s="545"/>
      <c r="I50" s="545"/>
      <c r="J50" s="636">
        <f>+J51+J75+J82</f>
        <v>1414462187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18" t="s">
        <v>1651</v>
      </c>
      <c r="C51" s="1118"/>
      <c r="D51" s="1118"/>
      <c r="E51" s="586">
        <v>1414000000</v>
      </c>
      <c r="F51" s="591">
        <f>COUNTIF('Actualizada - presupuesto'!$E$7:$E$111,B51)</f>
        <v>15</v>
      </c>
      <c r="G51" s="591"/>
      <c r="H51" s="591"/>
      <c r="I51" s="591"/>
      <c r="J51" s="586">
        <f>SUM(J54:J72)</f>
        <v>585096587</v>
      </c>
      <c r="K51" s="608">
        <f>J51/E51</f>
        <v>0.41378825106082034</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2017 (2)'!B53,'Base de Datos'!$C$7:$F$4345,3,0)))</f>
        <v/>
      </c>
      <c r="D53" s="538" t="str">
        <f>IF(ISERROR(VLOOKUP(B53,'Base de Datos'!$C$487:$F$4345,3,0))=TRUE,"",(VLOOKUP('Presupuesto - PAA 2017 (2)'!B53,'Base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2017 (2)'!B54,'Base de Datos'!$C$7:$F$4345,3,0)))</f>
        <v>170186-0-2017</v>
      </c>
      <c r="D54" s="538" t="str">
        <f>IF(ISERROR(VLOOKUP(B54,'Base de Datos'!$C$487:$F$4345,3,0))=TRUE,"",(VLOOKUP('Presupuesto - PAA 2017 (2)'!B54,'Base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2017 (2)'!B55,'Base de Datos'!$C$7:$F$4345,3,0)))</f>
        <v/>
      </c>
      <c r="D55" s="538" t="str">
        <f>IF(ISERROR(VLOOKUP(B55,'Base de Datos'!$C$487:$F$4345,3,0))=TRUE,"",(VLOOKUP('Presupuesto - PAA 2017 (2)'!B55,'Base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2017 (2)'!B56,'Base de Datos'!$C$7:$F$4345,3,0)))</f>
        <v>150236-0-2015</v>
      </c>
      <c r="D56" s="538" t="str">
        <f>IF(ISERROR(VLOOKUP(B56,'Base de Datos'!$C$487:$F$4345,3,0))=TRUE,"",(VLOOKUP('Presupuesto - PAA 2017 (2)'!B56,'Base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2017 (2)'!B57,'Base de Datos'!$C$7:$F$4345,3,0)))</f>
        <v>170309-0-2017</v>
      </c>
      <c r="D57" s="538" t="str">
        <f>IF(ISERROR(VLOOKUP(B57,'Base de Datos'!$C$487:$F$4345,3,0))=TRUE,"",(VLOOKUP('Presupuesto - PAA 2017 (2)'!B57,'Base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2017 (2)'!B58,'Base de Datos'!$C$7:$F$4345,3,0)))</f>
        <v>170154-0-2017</v>
      </c>
      <c r="D58" s="538" t="str">
        <f>IF(ISERROR(VLOOKUP(B58,'Base de Datos'!$C$487:$F$4345,3,0))=TRUE,"",(VLOOKUP('Presupuesto - PAA 2017 (2)'!B58,'Base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2017 (2)'!B59,'Base de Datos'!$C$7:$F$4345,3,0)))</f>
        <v>170345-0-2017</v>
      </c>
      <c r="D59" s="538" t="str">
        <f>IF(ISERROR(VLOOKUP(B59,'Base de Datos'!$C$487:$F$4345,3,0))=TRUE,"",(VLOOKUP('Presupuesto - PAA 2017 (2)'!B59,'Base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2017 (2)'!B60,'Base de Datos'!$C$7:$F$4345,3,0)))</f>
        <v>170329-0-2017</v>
      </c>
      <c r="D60" s="538" t="str">
        <f>IF(ISERROR(VLOOKUP(B60,'Base de Datos'!$C$487:$F$4345,3,0))=TRUE,"",(VLOOKUP('Presupuesto - PAA 2017 (2)'!B60,'Base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2017 (2)'!B61,'Base de Datos'!$C$7:$F$4345,3,0)))</f>
        <v/>
      </c>
      <c r="D61" s="538" t="str">
        <f>IF(ISERROR(VLOOKUP(B61,'Base de Datos'!$C$487:$F$4345,3,0))=TRUE,"",(VLOOKUP('Presupuesto - PAA 2017 (2)'!B61,'Base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2017 (2)'!B62,'Base de Datos'!$C$7:$F$4345,3,0)))</f>
        <v>170041-0-2017</v>
      </c>
      <c r="D62" s="538" t="str">
        <f>IF(ISERROR(VLOOKUP(B62,'Base de Datos'!$C$487:$F$4345,3,0))=TRUE,"",(VLOOKUP('Presupuesto - PAA 2017 (2)'!B62,'Base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2017 (2)'!B63,'Base de Datos'!$C$7:$F$4345,3,0)))</f>
        <v>160112-0-2016</v>
      </c>
      <c r="D63" s="538" t="str">
        <f>IF(ISERROR(VLOOKUP(B63,'Base de Datos'!$C$487:$F$4345,3,0))=TRUE,"",(VLOOKUP('Presupuesto - PAA 2017 (2)'!B63,'Base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2017 (2)'!B64,'Base de Datos'!$C$7:$F$4345,3,0)))</f>
        <v/>
      </c>
      <c r="D64" s="538" t="str">
        <f>IF(ISERROR(VLOOKUP(B64,'Base de Datos'!$C$487:$F$4345,3,0))=TRUE,"",(VLOOKUP('Presupuesto - PAA 2017 (2)'!B64,'Base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2017 (2)'!B65,'Base de Datos'!$C$7:$F$4345,3,0)))</f>
        <v/>
      </c>
      <c r="D65" s="538" t="str">
        <f>IF(ISERROR(VLOOKUP(B65,'Base de Datos'!$C$487:$F$4345,3,0))=TRUE,"",(VLOOKUP('Presupuesto - PAA 2017 (2)'!B65,'Base de Datos'!$C$487:$F$4345,4,0)))</f>
        <v/>
      </c>
      <c r="E65" s="541">
        <f>VLOOKUP(B65,[6]PAA2017!$C$65:$AA$255,20,0)</f>
        <v>1913332000</v>
      </c>
      <c r="F65" s="539" t="e">
        <f>VLOOKUP(B65,[7]SOLICITUDES!$B$3:$H$278,2,0)</f>
        <v>#N/A</v>
      </c>
      <c r="G65" s="539"/>
      <c r="H65" s="539"/>
      <c r="I65" s="539"/>
      <c r="J65" s="541" t="str">
        <f>IF(ISERROR(VLOOKUP(B65,'Base de Datos'!$C$487:$N$4345,6,0))=TRUE,"Sin Celebrar",(VLOOKUP(B65,'Base de Datos'!$C$487:$N$4345,7,0)))</f>
        <v>Sin Celebrar</v>
      </c>
      <c r="K65" s="605"/>
      <c r="L65" s="585">
        <f t="shared" si="6"/>
        <v>1913332000</v>
      </c>
      <c r="M65" s="541"/>
      <c r="N65" s="541" t="str">
        <f t="shared" si="7"/>
        <v xml:space="preserve"> </v>
      </c>
      <c r="O65" s="724" t="str">
        <f>IF(ISERROR(VLOOKUP(B65,'Base de Datos'!$C$487:$K$1048576,7,0))=TRUE," ",(VLOOKUP(B65,'Base de Datos'!$C$487:$K$1048576,8,0)))</f>
        <v xml:space="preserve"> </v>
      </c>
      <c r="P65" s="556" t="str">
        <f>IF(ISERROR(VLOOKUP(B65,'Base de Datos'!$C$487:$N$4330,9,0))=TRUE," ",(VLOOKUP(B65,'Base de Datos'!$C$487:$N$4330,10,0)))</f>
        <v xml:space="preserve"> </v>
      </c>
      <c r="Q65" s="742"/>
      <c r="R65" s="556" t="str">
        <f>IF(ISERROR(VLOOKUP(B65,'Base de Datos'!$C$487:$N$4330,10,0))=TRUE," ",(VLOOKUP(B65,'Base de Datos'!$C$487:$N$4330,11,0)))</f>
        <v xml:space="preserve"> </v>
      </c>
      <c r="S65" s="556" t="str">
        <f>IF(ISERROR(VLOOKUP(B65,'Base de Datos'!$C$487:$N$4330,11,0))=TRUE," ",(VLOOKUP(B65,'Base de Datos'!$C$487:$N$4330,12,0)))</f>
        <v xml:space="preserve"> </v>
      </c>
      <c r="T65" s="538" t="e">
        <f>VLOOKUP(B65,'Base de Datos'!$C$487:$AR$4382,41,0)</f>
        <v>#N/A</v>
      </c>
      <c r="U65" s="727"/>
      <c r="V65" s="639"/>
    </row>
    <row r="66" spans="2:22" ht="19.5" customHeight="1" outlineLevel="1" x14ac:dyDescent="0.25">
      <c r="B66" s="542">
        <v>86</v>
      </c>
      <c r="C66" s="538" t="str">
        <f>IF(ISERROR(VLOOKUP(B66,'Base de Datos'!$C$487:$F$4345,2,0))=TRUE,"",(VLOOKUP('Presupuesto - PAA 2017 (2)'!B66,'Base de Datos'!$C$7:$F$4345,3,0)))</f>
        <v>160214-0-2016</v>
      </c>
      <c r="D66" s="538" t="str">
        <f>IF(ISERROR(VLOOKUP(B66,'Base de Datos'!$C$487:$F$4345,3,0))=TRUE,"",(VLOOKUP('Presupuesto - PAA 2017 (2)'!B66,'Base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2017 (2)'!B67,'Base de Datos'!$C$7:$F$4345,3,0)))</f>
        <v/>
      </c>
      <c r="D67" s="538" t="str">
        <f>IF(ISERROR(VLOOKUP(B67,'Base de Datos'!$C$487:$F$4345,3,0))=TRUE,"",(VLOOKUP('Presupuesto - PAA 2017 (2)'!B67,'Base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2017 (2)'!B68,'Base de Datos'!$C$7:$F$4345,3,0)))</f>
        <v>160314-0-2016</v>
      </c>
      <c r="D68" s="538" t="str">
        <f>IF(ISERROR(VLOOKUP(B68,'Base de Datos'!$C$487:$F$4345,3,0))=TRUE,"",(VLOOKUP('Presupuesto - PAA 2017 (2)'!B68,'Base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2017 (2)'!B69,'Base de Datos'!$C$7:$F$4345,3,0)))</f>
        <v/>
      </c>
      <c r="D69" s="538" t="str">
        <f>IF(ISERROR(VLOOKUP(B69,'Base de Datos'!$C$487:$F$4345,3,0))=TRUE,"",(VLOOKUP('Presupuesto - PAA 2017 (2)'!B69,'Base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2017 (2)'!B70,'Base de Datos'!$C$7:$F$4345,3,0)))</f>
        <v/>
      </c>
      <c r="D70" s="538" t="str">
        <f>IF(ISERROR(VLOOKUP(B70,'Base de Datos'!$C$487:$F$4345,3,0))=TRUE,"",(VLOOKUP('Presupuesto - PAA 2017 (2)'!B70,'Base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2017 (2)'!B71,'Base de Datos'!$C$7:$F$4345,3,0)))</f>
        <v/>
      </c>
      <c r="D71" s="538" t="str">
        <f>IF(ISERROR(VLOOKUP(B71,'Base de Datos'!$C$487:$F$4345,3,0))=TRUE,"",(VLOOKUP('Presupuesto - PAA 2017 (2)'!B71,'Base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0"/>
      <c r="C73" s="1120"/>
      <c r="D73" s="1120"/>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0"/>
      <c r="C74" s="1120"/>
      <c r="D74" s="1120"/>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3" t="s">
        <v>1652</v>
      </c>
      <c r="C75" s="1123"/>
      <c r="D75" s="1123"/>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2017 (2)'!B77,'Base de Datos'!$C$7:$F$4345,3,0)))</f>
        <v>150386-0-2015</v>
      </c>
      <c r="D77" s="538" t="str">
        <f>IF(ISERROR(VLOOKUP(B77,'Base de Datos'!$C$487:$F$4345,3,0))=TRUE,"",(VLOOKUP('Presupuesto - PAA 2017 (2)'!B77,'Base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2017 (2)'!B78,'Base de Datos'!$C$7:$F$4345,3,0)))</f>
        <v>170004-0-2017</v>
      </c>
      <c r="D78" s="538" t="str">
        <f>IF(ISERROR(VLOOKUP(B78,'Base de Datos'!$C$487:$F$4345,3,0))=TRUE,"",(VLOOKUP('Presupuesto - PAA 2017 (2)'!B78,'Base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2017 (2)'!B79,'Base de Datos'!$C$7:$F$4345,3,0)))</f>
        <v/>
      </c>
      <c r="D79" s="538" t="str">
        <f>IF(ISERROR(VLOOKUP(B79,'Base de Datos'!$C$7:$F$4345,3,0))=TRUE,"",(VLOOKUP('Presupuesto - PAA 2017 (2)'!B79,'Base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3" t="s">
        <v>1653</v>
      </c>
      <c r="C82" s="1123"/>
      <c r="D82" s="1123"/>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2017 (2)'!B84,'Base de Datos'!$C$7:$F$4345,3,0)))</f>
        <v>150348-0-2015</v>
      </c>
      <c r="D84" s="538" t="str">
        <f>IF(ISERROR(VLOOKUP(B84,'Base de Datos'!$C$487:$F$4345,3,0))=TRUE,"",(VLOOKUP('Presupuesto - PAA 2017 (2)'!B84,'Base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2017 (2)'!B85,'Base de Datos'!$C$7:$F$4345,3,0)))</f>
        <v>150300-0-2015</v>
      </c>
      <c r="D85" s="538" t="str">
        <f>IF(ISERROR(VLOOKUP(B85,'Base de Datos'!$C$487:$F$4345,3,0))=TRUE,"",(VLOOKUP('Presupuesto - PAA 2017 (2)'!B85,'Base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2017 (2)'!B86,'Base de Datos'!$C$7:$F$4345,3,0)))</f>
        <v>150316-0-2015</v>
      </c>
      <c r="D86" s="538" t="str">
        <f>IF(ISERROR(VLOOKUP(B86,'Base de Datos'!$C$487:$F$4345,3,0))=TRUE,"",(VLOOKUP('Presupuesto - PAA 2017 (2)'!B86,'Base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2017 (2)'!B87,'Base de Datos'!$C$7:$F$4345,3,0)))</f>
        <v/>
      </c>
      <c r="D87" s="538" t="str">
        <f>IF(ISERROR(VLOOKUP(B87,'Base de Datos'!$C$487:$F$4345,3,0))=TRUE,"",(VLOOKUP('Presupuesto - PAA 2017 (2)'!B87,'Base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2" t="s">
        <v>1654</v>
      </c>
      <c r="C90" s="1122"/>
      <c r="D90" s="1122"/>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18" t="s">
        <v>1655</v>
      </c>
      <c r="C91" s="1118"/>
      <c r="D91" s="1118"/>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2017 (2)'!B93,'Base de Datos'!$C$7:$F$4345,3,0)))</f>
        <v/>
      </c>
      <c r="D93" s="538" t="str">
        <f>IF(ISERROR(VLOOKUP(B93,'Base de Datos'!$C$487:$F$4345,3,0))=TRUE,"",(VLOOKUP('Presupuesto - PAA 2017 (2)'!B93,'Base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2017 (2)'!B94,'Base de Datos'!$C$7:$F$4345,3,0)))</f>
        <v>160152-0-2016</v>
      </c>
      <c r="D94" s="538" t="str">
        <f>IF(ISERROR(VLOOKUP(B94,'Base de Datos'!$C$487:$F$4345,3,0))=TRUE,"",(VLOOKUP('Presupuesto - PAA 2017 (2)'!B94,'Base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2017 (2)'!B95,'Base de Datos'!$C$7:$F$4345,3,0)))</f>
        <v>150265-0-2015</v>
      </c>
      <c r="D95" s="538" t="str">
        <f>IF(ISERROR(VLOOKUP(B95,'Base de Datos'!$C$487:$F$4345,3,0))=TRUE,"",(VLOOKUP('Presupuesto - PAA 2017 (2)'!B95,'Base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2017 (2)'!B96,'Base de Datos'!$C$7:$F$4345,3,0)))</f>
        <v>170326-0-2017</v>
      </c>
      <c r="D96" s="538" t="str">
        <f>IF(ISERROR(VLOOKUP(B96,'Base de Datos'!$C$487:$F$4345,3,0))=TRUE,"",(VLOOKUP('Presupuesto - PAA 2017 (2)'!B96,'Base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2017 (2)'!B97,'Base de Datos'!$C$7:$F$4345,3,0)))</f>
        <v>170147-0-2017</v>
      </c>
      <c r="D97" s="538" t="str">
        <f>IF(ISERROR(VLOOKUP(B97,'Base de Datos'!$C$487:$F$4345,3,0))=TRUE,"",(VLOOKUP('Presupuesto - PAA 2017 (2)'!B97,'Base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3" t="s">
        <v>1656</v>
      </c>
      <c r="C100" s="1123"/>
      <c r="D100" s="1123"/>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2017 (2)'!B102,'Base de Datos'!$C$7:$F$4345,3,0)))</f>
        <v>150232-0-2015</v>
      </c>
      <c r="D102" s="538" t="str">
        <f>IF(ISERROR(VLOOKUP(B102,'Base de Datos'!$C$487:$F$4345,3,0))=TRUE,"",(VLOOKUP('Presupuesto - PAA 2017 (2)'!B102,'Base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2017 (2)'!B103,'Base de Datos'!$C$7:$F$4345,3,0)))</f>
        <v>150252-0-2015</v>
      </c>
      <c r="D103" s="538" t="str">
        <f>IF(ISERROR(VLOOKUP(B103,'Base de Datos'!$C$487:$F$4345,3,0))=TRUE,"",(VLOOKUP('Presupuesto - PAA 2017 (2)'!B103,'Base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2017 (2)'!B104,'Base de Datos'!$C$7:$F$4345,3,0)))</f>
        <v>150209-0-2015</v>
      </c>
      <c r="D104" s="538" t="str">
        <f>IF(ISERROR(VLOOKUP(B104,'Base de Datos'!$C$487:$F$4345,3,0))=TRUE,"",(VLOOKUP('Presupuesto - PAA 2017 (2)'!B104,'Base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2017 (2)'!B105,'Base de Datos'!$C$7:$F$4345,3,0)))</f>
        <v>170095-0-2017</v>
      </c>
      <c r="D105" s="538" t="str">
        <f>IF(ISERROR(VLOOKUP(B105,'Base de Datos'!$C$487:$F$4345,3,0))=TRUE,"",(VLOOKUP('Presupuesto - PAA 2017 (2)'!B105,'Base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2017 (2)'!B106,'Base de Datos'!$C$7:$F$4345,3,0)))</f>
        <v>150241-0-2015</v>
      </c>
      <c r="D106" s="538" t="str">
        <f>IF(ISERROR(VLOOKUP(B106,'Base de Datos'!$C$487:$F$4345,3,0))=TRUE,"",(VLOOKUP('Presupuesto - PAA 2017 (2)'!B106,'Base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2017 (2)'!B107,'Base de Datos'!$C$7:$F$4345,3,0)))</f>
        <v>150219-0-2015</v>
      </c>
      <c r="D107" s="538" t="str">
        <f>IF(ISERROR(VLOOKUP(B107,'Base de Datos'!$C$487:$F$4345,3,0))=TRUE,"",(VLOOKUP('Presupuesto - PAA 2017 (2)'!B107,'Base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2017 (2)'!B108,'Base de Datos'!$C$7:$F$4345,3,0)))</f>
        <v>150215-0-2015</v>
      </c>
      <c r="D108" s="538" t="str">
        <f>IF(ISERROR(VLOOKUP(B108,'Base de Datos'!$C$487:$F$4345,3,0))=TRUE,"",(VLOOKUP('Presupuesto - PAA 2017 (2)'!B108,'Base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2017 (2)'!B109,'Base de Datos'!$C$7:$F$4345,3,0)))</f>
        <v/>
      </c>
      <c r="D109" s="538" t="str">
        <f>IF(ISERROR(VLOOKUP(B109,'Base de Datos'!$C$487:$F$4345,3,0))=TRUE,"",(VLOOKUP('Presupuesto - PAA 2017 (2)'!B109,'Base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2017 (2)'!B110,'Base de Datos'!$C$7:$F$4345,3,0)))</f>
        <v>170304-0-2017</v>
      </c>
      <c r="D110" s="538" t="str">
        <f>IF(ISERROR(VLOOKUP(B110,'Base de Datos'!$C$487:$F$4345,3,0))=TRUE,"",(VLOOKUP('Presupuesto - PAA 2017 (2)'!B110,'Base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2017 (2)'!B111,'Base de Datos'!$C$7:$F$4345,3,0)))</f>
        <v/>
      </c>
      <c r="D111" s="538" t="str">
        <f>IF(ISERROR(VLOOKUP(B111,'Base de Datos'!$C$487:$F$4345,3,0))=TRUE,"",(VLOOKUP('Presupuesto - PAA 2017 (2)'!B111,'Base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2017 (2)'!B112,'Base de Datos'!$C$7:$F$4345,3,0)))</f>
        <v/>
      </c>
      <c r="D112" s="538" t="str">
        <f>IF(ISERROR(VLOOKUP(B112,'Base de Datos'!$C$487:$F$4345,3,0))=TRUE,"",(VLOOKUP('Presupuesto - PAA 2017 (2)'!B112,'Base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2017 (2)'!B113,'Base de Datos'!$C$7:$F$4345,3,0)))</f>
        <v/>
      </c>
      <c r="D113" s="538" t="str">
        <f>IF(ISERROR(VLOOKUP(B113,'Base de Datos'!$C$487:$F$4345,3,0))=TRUE,"",(VLOOKUP('Presupuesto - PAA 2017 (2)'!B113,'Base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2" t="s">
        <v>1657</v>
      </c>
      <c r="C116" s="1122"/>
      <c r="D116" s="1122"/>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18" t="s">
        <v>1658</v>
      </c>
      <c r="C117" s="1118"/>
      <c r="D117" s="1118"/>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2017 (2)'!B119,'Base de Datos'!$C$7:$F$4345,3,0)))</f>
        <v/>
      </c>
      <c r="D119" s="538" t="str">
        <f>IF(ISERROR(VLOOKUP(B119,'Base de Datos'!$C$487:$F$4345,3,0))=TRUE,"",(VLOOKUP('Presupuesto - PAA 2017 (2)'!B119,'Base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2017 (2)'!B120,'Base de Datos'!$C$7:$F$4345,3,0)))</f>
        <v/>
      </c>
      <c r="D120" s="538" t="str">
        <f>IF(ISERROR(VLOOKUP(B120,'Base de Datos'!$C$487:$F$4345,3,0))=TRUE,"",(VLOOKUP('Presupuesto - PAA 2017 (2)'!B120,'Base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2017 (2)'!B121,'Base de Datos'!$C$7:$F$4345,3,0)))</f>
        <v>150260-0-2015</v>
      </c>
      <c r="D121" s="538" t="str">
        <f>IF(ISERROR(VLOOKUP(B121,'Base de Datos'!$C$487:$F$4345,3,0))=TRUE,"",(VLOOKUP('Presupuesto - PAA 2017 (2)'!B121,'Base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2017 (2)'!B122,'Base de Datos'!$C$7:$F$4345,3,0)))</f>
        <v>150386-0-2015</v>
      </c>
      <c r="D122" s="538" t="str">
        <f>IF(ISERROR(VLOOKUP(B122,'Base de Datos'!$C$487:$F$4345,3,0))=TRUE,"",(VLOOKUP('Presupuesto - PAA 2017 (2)'!B122,'Base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2017 (2)'!B123,'Base de Datos'!$C$7:$F$4345,3,0)))</f>
        <v>150377-0-2015</v>
      </c>
      <c r="D123" s="538" t="str">
        <f>IF(ISERROR(VLOOKUP(B123,'Base de Datos'!$C$487:$F$4345,3,0))=TRUE,"",(VLOOKUP('Presupuesto - PAA 2017 (2)'!B123,'Base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2017 (2)'!B124,'Base de Datos'!$C$7:$F$4345,3,0)))</f>
        <v>150353-0-2015</v>
      </c>
      <c r="D124" s="538" t="str">
        <f>IF(ISERROR(VLOOKUP(B124,'Base de Datos'!$C$487:$F$4345,3,0))=TRUE,"",(VLOOKUP('Presupuesto - PAA 2017 (2)'!B124,'Base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2017 (2)'!B125,'Base de Datos'!$C$7:$F$4345,3,0)))</f>
        <v>150316-0-2015</v>
      </c>
      <c r="D125" s="538" t="str">
        <f>IF(ISERROR(VLOOKUP(B125,'Base de Datos'!$C$487:$F$4345,3,0))=TRUE,"",(VLOOKUP('Presupuesto - PAA 2017 (2)'!B125,'Base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2017 (2)'!B126,'Base de Datos'!$C$7:$F$4345,3,0)))</f>
        <v>170157-0-2017</v>
      </c>
      <c r="D126" s="538" t="str">
        <f>IF(ISERROR(VLOOKUP(B126,'Base de Datos'!$C$487:$F$4345,3,0))=TRUE,"",(VLOOKUP('Presupuesto - PAA 2017 (2)'!B126,'Base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2017 (2)'!B127,'Base de Datos'!$C$7:$F$4345,3,0)))</f>
        <v>170079-0-2017</v>
      </c>
      <c r="D127" s="538" t="str">
        <f>IF(ISERROR(VLOOKUP(B127,'Base de Datos'!$C$487:$F$4345,3,0))=TRUE,"",(VLOOKUP('Presupuesto - PAA 2017 (2)'!B127,'Base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2017 (2)'!B128,'Base de Datos'!$C$7:$F$4345,3,0)))</f>
        <v>170059-0-2017</v>
      </c>
      <c r="D128" s="538" t="str">
        <f>IF(ISERROR(VLOOKUP(B128,'Base de Datos'!$C$487:$F$4345,3,0))=TRUE,"",(VLOOKUP('Presupuesto - PAA 2017 (2)'!B128,'Base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2017 (2)'!B129,'Base de Datos'!$C$7:$F$4345,3,0)))</f>
        <v>160150-0-2016</v>
      </c>
      <c r="D129" s="538" t="str">
        <f>IF(ISERROR(VLOOKUP(B129,'Base de Datos'!$C$487:$F$4345,3,0))=TRUE,"",(VLOOKUP('Presupuesto - PAA 2017 (2)'!B129,'Base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2017 (2)'!B130,'Base de Datos'!$C$7:$F$4345,3,0)))</f>
        <v>160161-0-2016</v>
      </c>
      <c r="D130" s="538" t="str">
        <f>IF(ISERROR(VLOOKUP(B130,'Base de Datos'!$C$487:$F$4345,3,0))=TRUE,"",(VLOOKUP('Presupuesto - PAA 2017 (2)'!B130,'Base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2017 (2)'!B131,'Base de Datos'!$C$7:$F$4345,3,0)))</f>
        <v>160228-0-2016</v>
      </c>
      <c r="D131" s="538" t="str">
        <f>IF(ISERROR(VLOOKUP(B131,'Base de Datos'!$C$487:$F$4345,3,0))=TRUE,"",(VLOOKUP('Presupuesto - PAA 2017 (2)'!B131,'Base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2017 (2)'!B132,'Base de Datos'!$C$7:$F$4345,3,0)))</f>
        <v>170161-0-2017</v>
      </c>
      <c r="D132" s="538" t="str">
        <f>IF(ISERROR(VLOOKUP(B132,'Base de Datos'!$C$487:$F$4345,3,0))=TRUE,"",(VLOOKUP('Presupuesto - PAA 2017 (2)'!B132,'Base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2017 (2)'!B133,'Base de Datos'!$C$7:$F$4345,3,0)))</f>
        <v/>
      </c>
      <c r="D133" s="538" t="str">
        <f>IF(ISERROR(VLOOKUP(B133,'Base de Datos'!$C$487:$F$4345,3,0))=TRUE,"",(VLOOKUP('Presupuesto - PAA 2017 (2)'!B133,'Base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2017 (2)'!B134,'Base de Datos'!$C$7:$F$4345,3,0)))</f>
        <v/>
      </c>
      <c r="D134" s="538" t="str">
        <f>IF(ISERROR(VLOOKUP(B134,'Base de Datos'!$C$487:$F$4345,3,0))=TRUE,"",(VLOOKUP('Presupuesto - PAA 2017 (2)'!B134,'Base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2017 (2)'!B135,'Base de Datos'!$C$7:$F$4345,3,0)))</f>
        <v/>
      </c>
      <c r="D135" s="538" t="str">
        <f>IF(ISERROR(VLOOKUP(B135,'Base de Datos'!$C$487:$F$4345,3,0))=TRUE,"",(VLOOKUP('Presupuesto - PAA 2017 (2)'!B135,'Base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2" t="s">
        <v>1659</v>
      </c>
      <c r="C139" s="1122"/>
      <c r="D139" s="1122"/>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18" t="s">
        <v>1660</v>
      </c>
      <c r="C140" s="1118"/>
      <c r="D140" s="1118"/>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2017 (2)'!B142,'Base de Datos'!$C$7:$F$4345,3,0)))</f>
        <v/>
      </c>
      <c r="D142" s="538" t="str">
        <f>IF(ISERROR(VLOOKUP(B142,'Base de Datos'!$C$487:$F$4345,3,0))=TRUE,"",(VLOOKUP('Presupuesto - PAA 2017 (2)'!B142,'Base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2017 (2)'!B143,'Base de Datos'!$C$7:$F$4345,3,0)))</f>
        <v/>
      </c>
      <c r="D143" s="538" t="str">
        <f>IF(ISERROR(VLOOKUP(B143,'Base de Datos'!$C$487:$F$4345,3,0))=TRUE,"",(VLOOKUP('Presupuesto - PAA 2017 (2)'!B143,'Base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2017 (2)'!B144,'Base de Datos'!$C$7:$F$4345,3,0)))</f>
        <v/>
      </c>
      <c r="D144" s="538" t="str">
        <f>IF(ISERROR(VLOOKUP(B144,'Base de Datos'!$C$487:$F$4345,3,0))=TRUE,"",(VLOOKUP('Presupuesto - PAA 2017 (2)'!B144,'Base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3" t="s">
        <v>1661</v>
      </c>
      <c r="C147" s="1123"/>
      <c r="D147" s="1123"/>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2017 (2)'!B149,'Base de Datos'!$C$7:$F$4345,3,0)))</f>
        <v/>
      </c>
      <c r="D149" s="538" t="str">
        <f>IF(ISERROR(VLOOKUP(B149,'Base de Datos'!$C$487:$F$4345,3,0))=TRUE,"",(VLOOKUP('Presupuesto - PAA 2017 (2)'!B149,'Base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3" t="s">
        <v>1662</v>
      </c>
      <c r="C154" s="1123"/>
      <c r="D154" s="1123"/>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1025"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1" t="s">
        <v>1663</v>
      </c>
      <c r="C158" s="1121"/>
      <c r="D158" s="1121"/>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19" t="s">
        <v>1664</v>
      </c>
      <c r="C159" s="1119"/>
      <c r="D159" s="1119"/>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1025"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1025"/>
      <c r="C162" s="1025"/>
      <c r="D162" s="1025"/>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19" t="s">
        <v>1665</v>
      </c>
      <c r="C163" s="1119"/>
      <c r="D163" s="1119"/>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1025"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1025"/>
      <c r="C166" s="1025"/>
      <c r="D166" s="1025"/>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19" t="s">
        <v>1666</v>
      </c>
      <c r="C167" s="1119"/>
      <c r="D167" s="1119"/>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1025"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1025"/>
      <c r="C170" s="1025"/>
      <c r="D170" s="1025"/>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19" t="s">
        <v>1667</v>
      </c>
      <c r="C171" s="1119"/>
      <c r="D171" s="1119"/>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1025"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1025"/>
      <c r="C174" s="1025"/>
      <c r="D174" s="1025"/>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1" t="s">
        <v>1668</v>
      </c>
      <c r="C175" s="1121"/>
      <c r="D175" s="1121"/>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18" t="s">
        <v>1669</v>
      </c>
      <c r="C176" s="1118"/>
      <c r="D176" s="1118"/>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2017 (2)'!B178,'Base de Datos'!$C$7:$F$4345,3,0)))</f>
        <v>170331-0-2017</v>
      </c>
      <c r="D178" s="538" t="str">
        <f>IF(ISERROR(VLOOKUP(B178,'Base de Datos'!$C$487:$F$4345,3,0))=TRUE,"",(VLOOKUP('Presupuesto - PAA 2017 (2)'!B178,'Base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43073</v>
      </c>
      <c r="S178" s="556">
        <f>IF(ISERROR(VLOOKUP(B178,'Base de Datos'!$C$487:$N$4330,11,0))=TRUE," ",(VLOOKUP(B178,'Base de Datos'!$C$487:$N$4330,12,0)))</f>
        <v>43315</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3" t="s">
        <v>1670</v>
      </c>
      <c r="C180" s="1123"/>
      <c r="D180" s="1123"/>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2017 (2)'!B182,'Base de Datos'!$C$7:$F$4345,3,0)))</f>
        <v>170231-0-2017</v>
      </c>
      <c r="D182" s="538" t="str">
        <f>IF(ISERROR(VLOOKUP(B182,'Base de Datos'!$C$487:$F$4345,3,0))=TRUE,"",(VLOOKUP('Presupuesto - PAA 2017 (2)'!B182,'Base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2017 (2)'!B183,'Base de Datos'!$C$7:$F$4345,3,0)))</f>
        <v>160307-0-2016</v>
      </c>
      <c r="D183" s="538" t="str">
        <f>IF(ISERROR(VLOOKUP(B183,'Base de Datos'!$C$487:$F$4345,3,0))=TRUE,"",(VLOOKUP('Presupuesto - PAA 2017 (2)'!B183,'Base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2017 (2)'!B184,'Base de Datos'!$C$7:$F$4345,3,0)))</f>
        <v/>
      </c>
      <c r="D184" s="538" t="str">
        <f>IF(ISERROR(VLOOKUP(B184,'Base de Datos'!$C$487:$F$4345,3,0))=TRUE,"",(VLOOKUP('Presupuesto - PAA 2017 (2)'!B184,'Base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2017 (2)'!B185,'Base de Datos'!$C$7:$F$4345,3,0)))</f>
        <v/>
      </c>
      <c r="D185" s="538" t="str">
        <f>IF(ISERROR(VLOOKUP(B185,'Base de Datos'!$C$487:$F$4345,3,0))=TRUE,"",(VLOOKUP('Presupuesto - PAA 2017 (2)'!B185,'Base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29" t="s">
        <v>1671</v>
      </c>
      <c r="C188" s="1129"/>
      <c r="D188" s="1129"/>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2017 (2)'!B190,'Base de Datos'!$C$7:$F$4345,3,0)))</f>
        <v>150141-0-2015</v>
      </c>
      <c r="D190" s="538" t="str">
        <f>IF(ISERROR(VLOOKUP(B190,'Base de Datos'!$C$487:$F$4345,3,0))=TRUE,"",(VLOOKUP('Presupuesto - PAA 2017 (2)'!B190,'Base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2017 (2)'!B191,'Base de Datos'!$C$7:$F$4345,3,0)))</f>
        <v>160250-0-2016</v>
      </c>
      <c r="D191" s="538" t="str">
        <f>IF(ISERROR(VLOOKUP(B191,'Base de Datos'!$C$487:$F$4345,3,0))=TRUE,"",(VLOOKUP('Presupuesto - PAA 2017 (2)'!B191,'Base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2017 (2)'!B192,'Base de Datos'!$C$7:$F$4345,3,0)))</f>
        <v/>
      </c>
      <c r="D192" s="538" t="str">
        <f>IF(ISERROR(VLOOKUP(B192,'Base de Datos'!$C$487:$F$4345,3,0))=TRUE,"",(VLOOKUP('Presupuesto - PAA 2017 (2)'!B192,'Base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2017 (2)'!B193,'Base de Datos'!$C$7:$F$4345,3,0)))</f>
        <v/>
      </c>
      <c r="D193" s="538" t="str">
        <f>IF(ISERROR(VLOOKUP(B193,'Base de Datos'!$C$487:$F$4345,3,0))=TRUE,"",(VLOOKUP('Presupuesto - PAA 2017 (2)'!B193,'Base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3" t="s">
        <v>1672</v>
      </c>
      <c r="C196" s="1123"/>
      <c r="D196" s="1123"/>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2017 (2)'!B198,'Base de Datos'!$C$7:$F$4345,3,0)))</f>
        <v>150192-0-2015</v>
      </c>
      <c r="D198" s="538" t="str">
        <f>IF(ISERROR(VLOOKUP(B198,'Base de Datos'!$C$487:$F$4345,3,0))=TRUE,"",(VLOOKUP('Presupuesto - PAA 2017 (2)'!B198,'Base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2017 (2)'!B199,'Base de Datos'!$C$7:$F$4345,3,0)))</f>
        <v>160284-0-2016</v>
      </c>
      <c r="D199" s="538" t="str">
        <f>IF(ISERROR(VLOOKUP(B199,'Base de Datos'!$C$487:$F$4345,3,0))=TRUE,"",(VLOOKUP('Presupuesto - PAA 2017 (2)'!B199,'Base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2017 (2)'!B200,'Base de Datos'!$C$7:$F$4345,3,0)))</f>
        <v>150198-0-2015</v>
      </c>
      <c r="D200" s="538" t="str">
        <f>IF(ISERROR(VLOOKUP(B200,'Base de Datos'!$C$487:$F$4345,3,0))=TRUE,"",(VLOOKUP('Presupuesto - PAA 2017 (2)'!B200,'Base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2017 (2)'!B201,'Base de Datos'!$C$7:$F$4345,3,0)))</f>
        <v>160165-0-2016</v>
      </c>
      <c r="D201" s="538" t="str">
        <f>IF(ISERROR(VLOOKUP(B201,'Base de Datos'!$C$487:$F$4345,3,0))=TRUE,"",(VLOOKUP('Presupuesto - PAA 2017 (2)'!B201,'Base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2" t="s">
        <v>1673</v>
      </c>
      <c r="C204" s="1122"/>
      <c r="D204" s="1122"/>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19" t="s">
        <v>1842</v>
      </c>
      <c r="C205" s="1119"/>
      <c r="D205" s="1119"/>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1025"/>
      <c r="C208" s="1025"/>
      <c r="D208" s="1025"/>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18" t="s">
        <v>1675</v>
      </c>
      <c r="C209" s="1118"/>
      <c r="D209" s="1118"/>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2017 (2)'!B211,'Base de Datos'!$C$7:$F$4345,3,0)))</f>
        <v>150193-0-2015</v>
      </c>
      <c r="D211" s="538" t="str">
        <f>IF(ISERROR(VLOOKUP(B211,'Base de Datos'!$C$487:$F$4345,3,0))=TRUE,"",(VLOOKUP('Presupuesto - PAA 2017 (2)'!B211,'Base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2017 (2)'!B212,'Base de Datos'!$C$7:$F$4345,3,0)))</f>
        <v>150152-0-2015</v>
      </c>
      <c r="D212" s="538" t="str">
        <f>IF(ISERROR(VLOOKUP(B212,'Base de Datos'!$C$487:$F$4345,3,0))=TRUE,"",(VLOOKUP('Presupuesto - PAA 2017 (2)'!B212,'Base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2017 (2)'!B213,'Base de Datos'!$C$7:$F$4345,3,0)))</f>
        <v/>
      </c>
      <c r="D213" s="538" t="str">
        <f>IF(ISERROR(VLOOKUP(B213,'Base de Datos'!$C$487:$F$4345,3,0))=TRUE,"",(VLOOKUP('Presupuesto - PAA 2017 (2)'!B213,'Base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2" t="s">
        <v>1676</v>
      </c>
      <c r="C216" s="1122"/>
      <c r="D216" s="1122"/>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19" t="s">
        <v>1841</v>
      </c>
      <c r="C217" s="1119"/>
      <c r="D217" s="1119"/>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19" t="s">
        <v>2132</v>
      </c>
      <c r="C221" s="1119"/>
      <c r="D221" s="1119"/>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2017 (2)'!B223,'Base de Datos'!$C$7:$F$4345,3,0)))</f>
        <v>150394-0-2015</v>
      </c>
      <c r="D223" s="538" t="str">
        <f>IF(ISERROR(VLOOKUP(B223,'Base de Datos'!$C$7:$F$4345,3,0))=TRUE,"",(VLOOKUP('Presupuesto - PAA 2017 (2)'!B223,'Base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2017 (2)'!B224,'Base de Datos'!$C$7:$F$4345,3,0)))</f>
        <v>150404-0-2015</v>
      </c>
      <c r="D224" s="538" t="str">
        <f>IF(ISERROR(VLOOKUP(B224,'Base de Datos'!$C$7:$F$4345,3,0))=TRUE,"",(VLOOKUP('Presupuesto - PAA 2017 (2)'!B224,'Base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1025"/>
      <c r="C225" s="1025"/>
      <c r="D225" s="1025"/>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25" t="s">
        <v>1691</v>
      </c>
      <c r="C226" s="1125"/>
      <c r="D226" s="1125"/>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1" t="s">
        <v>1690</v>
      </c>
      <c r="C227" s="1121"/>
      <c r="D227" s="1121"/>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19" t="s">
        <v>1679</v>
      </c>
      <c r="C228" s="1119"/>
      <c r="D228" s="1119"/>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19" t="s">
        <v>1840</v>
      </c>
      <c r="C229" s="1119"/>
      <c r="D229" s="1119"/>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19" t="s">
        <v>1839</v>
      </c>
      <c r="C230" s="1119"/>
      <c r="D230" s="1119"/>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18" t="s">
        <v>1877</v>
      </c>
      <c r="C231" s="1118"/>
      <c r="D231" s="1118"/>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1" t="s">
        <v>1913</v>
      </c>
      <c r="D233" s="1121"/>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27" t="s">
        <v>1914</v>
      </c>
      <c r="D234" s="1128"/>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2017 (2)'!B235,'Base de Datos'!$C$7:$F$4345,3,0)))</f>
        <v xml:space="preserve">150302-0-2015 </v>
      </c>
      <c r="D235" s="538" t="str">
        <f>IF(ISERROR(VLOOKUP(B235,'Base de Datos'!$C$487:$F$4345,3,0))=TRUE,"",(VLOOKUP('Presupuesto - PAA 2017 (2)'!B235,'Base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2017 (2)'!B236,'Base de Datos'!$C$487:$F$4345,3,0)))</f>
        <v/>
      </c>
      <c r="D236" s="538" t="str">
        <f>IF(ISERROR(VLOOKUP(B236,'Base de Datos'!$C$487:$F$4345,3,0))=TRUE,"",(VLOOKUP('Presupuesto - PAA 2017 (2)'!B236,'Base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2017 (2)'!B237,'Base de Datos'!$C$487:$F$4345,3,0)))</f>
        <v>170002-02017</v>
      </c>
      <c r="D237" s="538" t="str">
        <f>IF(ISERROR(VLOOKUP(B237,'Base de Datos'!$C$487:$F$4345,3,0))=TRUE,"",(VLOOKUP('Presupuesto - PAA 2017 (2)'!B237,'Base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2017 (2)'!B238,'Base de Datos'!$C$7:$F$4345,3,0)))</f>
        <v/>
      </c>
      <c r="D238" s="538" t="str">
        <f>IF(ISERROR(VLOOKUP(B238,'Base de Datos'!$C$487:$F$4345,3,0))=TRUE,"",(VLOOKUP('Presupuesto - PAA 2017 (2)'!B238,'Base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1" t="s">
        <v>1917</v>
      </c>
      <c r="D241" s="1121"/>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26" t="s">
        <v>1918</v>
      </c>
      <c r="D242" s="1126"/>
      <c r="E242" s="624">
        <v>450477000</v>
      </c>
      <c r="F242" s="1023"/>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1023"/>
      <c r="R242" s="630" t="str">
        <f>IF(ISERROR(VLOOKUP(B242,'Base de Datos'!$C$7:$N$315,9,0))=TRUE," ",(VLOOKUP(B242,'Base de Datos'!$C$7:$N$315,9,0)))</f>
        <v xml:space="preserve"> </v>
      </c>
      <c r="S242" s="630" t="str">
        <f>IF(ISERROR(VLOOKUP(B242,'Base de Datos'!$C$7:$N$315,10,0))=TRUE," ",(VLOOKUP(B242,'Base de Datos'!$C$7:$N$315,10,0)))</f>
        <v xml:space="preserve"> </v>
      </c>
      <c r="T242" s="1023"/>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26" t="s">
        <v>1920</v>
      </c>
      <c r="D244" s="1126"/>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1023"/>
      <c r="R244" s="630" t="str">
        <f>IF(ISERROR(VLOOKUP(B244,'Base de Datos'!$C$7:$N$315,9,0))=TRUE," ",(VLOOKUP(B244,'Base de Datos'!$C$7:$N$315,9,0)))</f>
        <v xml:space="preserve"> </v>
      </c>
      <c r="S244" s="630" t="str">
        <f>IF(ISERROR(VLOOKUP(B244,'Base de Datos'!$C$7:$N$315,10,0))=TRUE," ",(VLOOKUP(B244,'Base de Datos'!$C$7:$N$315,10,0)))</f>
        <v xml:space="preserve"> </v>
      </c>
      <c r="T244" s="1023"/>
      <c r="U244" s="727"/>
      <c r="V244" s="639"/>
    </row>
    <row r="245" spans="2:22" outlineLevel="1" x14ac:dyDescent="0.25">
      <c r="B245" s="542">
        <v>208</v>
      </c>
      <c r="C245" s="538" t="str">
        <f>IF(ISERROR(VLOOKUP(B245,'Base de Datos'!$C$7:$F$4345,2,0))=TRUE,"",(VLOOKUP('Presupuesto - PAA 2017 (2)'!B245,'Base de Datos'!$C$7:$F$4345,3,0)))</f>
        <v>150192-0-2015</v>
      </c>
      <c r="D245" s="538" t="str">
        <f>IF(ISERROR(VLOOKUP(B245,'Base de Datos'!$C$7:$F$4345,3,0))=TRUE,"",(VLOOKUP('Presupuesto - PAA 2017 (2)'!B245,'Base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2017 (2)'!B247,'Base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2017 (2)'!B248,'Base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26" t="s">
        <v>1926</v>
      </c>
      <c r="D249" s="1126"/>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1023"/>
      <c r="R249" s="630" t="str">
        <f>IF(ISERROR(VLOOKUP(B249,'Base de Datos'!$C$7:$N$315,9,0))=TRUE," ",(VLOOKUP(B249,'Base de Datos'!$C$7:$N$315,9,0)))</f>
        <v xml:space="preserve"> </v>
      </c>
      <c r="S249" s="630" t="str">
        <f>IF(ISERROR(VLOOKUP(B249,'Base de Datos'!$C$7:$N$315,10,0))=TRUE," ",(VLOOKUP(B249,'Base de Datos'!$C$7:$N$315,10,0)))</f>
        <v xml:space="preserve"> </v>
      </c>
      <c r="T249" s="1023"/>
      <c r="U249" s="727"/>
      <c r="V249" s="639"/>
    </row>
    <row r="250" spans="2:22" ht="36" outlineLevel="1" x14ac:dyDescent="0.25">
      <c r="B250" s="542">
        <v>212</v>
      </c>
      <c r="C250" s="558" t="str">
        <f>IF(ISERROR(VLOOKUP(B250,'Base de Datos'!$C$7:$F$4338,2,0))=TRUE,"",(VLOOKUP('Presupuesto - PAA 2017 (2)'!B250,'Base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4" t="s">
        <v>1928</v>
      </c>
      <c r="D251" s="1124"/>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1023"/>
      <c r="R251" s="630" t="str">
        <f>IF(ISERROR(VLOOKUP(B251,'Base de Datos'!$C$7:$N$315,9,0))=TRUE," ",(VLOOKUP(B251,'Base de Datos'!$C$7:$N$315,9,0)))</f>
        <v xml:space="preserve"> </v>
      </c>
      <c r="S251" s="630" t="str">
        <f>IF(ISERROR(VLOOKUP(B251,'Base de Datos'!$C$7:$N$315,10,0))=TRUE," ",(VLOOKUP(B251,'Base de Datos'!$C$7:$N$315,10,0)))</f>
        <v xml:space="preserve"> </v>
      </c>
      <c r="T251" s="1023"/>
      <c r="U251" s="727"/>
      <c r="V251" s="639"/>
    </row>
    <row r="252" spans="2:22" s="620" customFormat="1" ht="15" customHeight="1" outlineLevel="1" x14ac:dyDescent="0.25">
      <c r="B252" s="632">
        <v>70</v>
      </c>
      <c r="C252" s="538" t="str">
        <f>IF(ISERROR(VLOOKUP(B252,'Base de Datos'!$C$7:$F$4345,2,0))=TRUE,"",(VLOOKUP('Presupuesto - PAA 2017 (2)'!B252,'Base de Datos'!$C$7:$F$4345,3,0)))</f>
        <v>150321-0-2015</v>
      </c>
      <c r="D252" s="538" t="str">
        <f>IF(ISERROR(VLOOKUP(B252,'Base de Datos'!$C$7:$F$4345,3,0))=TRUE,"",(VLOOKUP('Presupuesto - PAA 2017 (2)'!B252,'Base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SI</v>
      </c>
      <c r="U252" s="727"/>
      <c r="V252" s="639"/>
    </row>
    <row r="253" spans="2:22" s="620" customFormat="1" ht="14.25" customHeight="1" outlineLevel="1" x14ac:dyDescent="0.25">
      <c r="B253" s="632">
        <v>71</v>
      </c>
      <c r="C253" s="538" t="str">
        <f>IF(ISERROR(VLOOKUP(B253,'Base de Datos'!$C$7:$F$4345,2,0))=TRUE,"",(VLOOKUP('Presupuesto - PAA 2017 (2)'!B253,'Base de Datos'!$C$7:$F$4345,3,0)))</f>
        <v>150254-0-2015</v>
      </c>
      <c r="D253" s="538" t="str">
        <f>IF(ISERROR(VLOOKUP(B253,'Base de Datos'!$C$7:$F$4345,3,0))=TRUE,"",(VLOOKUP('Presupuesto - PAA 2017 (2)'!B253,'Base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SI</v>
      </c>
      <c r="U253" s="727"/>
      <c r="V253" s="639"/>
    </row>
    <row r="254" spans="2:22" s="620" customFormat="1" ht="24" outlineLevel="1" x14ac:dyDescent="0.25">
      <c r="B254" s="632">
        <v>73</v>
      </c>
      <c r="C254" s="558">
        <f>IF(ISERROR(VLOOKUP(B254,'Base de Datos'!$C$7:$F$4338,2,0))=TRUE,"",(VLOOKUP('Presupuesto - PAA 2017 (2)'!B254,'Base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2017 (2)'!B255,'Base de Datos'!$C$7:$F$4345,3,0)))</f>
        <v>150382-0-2015</v>
      </c>
      <c r="D255" s="538" t="str">
        <f>IF(ISERROR(VLOOKUP(B255,'Base de Datos'!$C$7:$F$4345,3,0))=TRUE,"",(VLOOKUP('Presupuesto - PAA 2017 (2)'!B255,'Base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2017 (2)'!B256,'Base de Datos'!$C$7:$F$4345,3,0)))</f>
        <v>150236-0-2015</v>
      </c>
      <c r="D256" s="538" t="str">
        <f>IF(ISERROR(VLOOKUP(B256,'Base de Datos'!$C$7:$F$4345,3,0))=TRUE,"",(VLOOKUP('Presupuesto - PAA 2017 (2)'!B256,'Base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SI</v>
      </c>
      <c r="U256" s="727"/>
      <c r="V256" s="639"/>
    </row>
    <row r="257" spans="2:22" s="620" customFormat="1" outlineLevel="1" x14ac:dyDescent="0.25">
      <c r="B257" s="632">
        <v>314</v>
      </c>
      <c r="C257" s="538" t="str">
        <f>IF(ISERROR(VLOOKUP(B257,'Base de Datos'!$C$7:$F$4345,2,0))=TRUE,"",(VLOOKUP('Presupuesto - PAA 2017 (2)'!B257,'Base de Datos'!$C$7:$F$4345,3,0)))</f>
        <v>150308-0-2015</v>
      </c>
      <c r="D257" s="538" t="str">
        <f>IF(ISERROR(VLOOKUP(B257,'Base de Datos'!$C$7:$F$4345,3,0))=TRUE,"",(VLOOKUP('Presupuesto - PAA 2017 (2)'!B257,'Base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2017 (2)'!B258,'Base de Datos'!$C$7:$F$4345,3,0)))</f>
        <v>150346-0-2015</v>
      </c>
      <c r="D258" s="538" t="str">
        <f>IF(ISERROR(VLOOKUP(B258,'Base de Datos'!$C$7:$F$4345,3,0))=TRUE,"",(VLOOKUP('Presupuesto - PAA 2017 (2)'!B258,'Base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2017 (2)'!B259,'Base de Datos'!$C$7:$F$4345,3,0)))</f>
        <v>150340-0-2015</v>
      </c>
      <c r="D259" s="538" t="str">
        <f>IF(ISERROR(VLOOKUP(B259,'Base de Datos'!$C$7:$F$4345,3,0))=TRUE,"",(VLOOKUP('Presupuesto - PAA 2017 (2)'!B259,'Base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2017 (2)'!B260,'Base de Datos'!$C$7:$F$4345,3,0)))</f>
        <v>150397-0-2015</v>
      </c>
      <c r="D260" s="538" t="str">
        <f>IF(ISERROR(VLOOKUP(B260,'Base de Datos'!$C$7:$F$4345,3,0))=TRUE,"",(VLOOKUP('Presupuesto - PAA 2017 (2)'!B260,'Base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4" t="s">
        <v>1936</v>
      </c>
      <c r="D264" s="1124"/>
      <c r="E264" s="625">
        <f>+E265</f>
        <v>4174276985</v>
      </c>
      <c r="F264" s="1023"/>
      <c r="G264" s="1023"/>
      <c r="H264" s="1023"/>
      <c r="I264" s="1023"/>
      <c r="J264" s="625">
        <f>SUM(J265)</f>
        <v>4174276985</v>
      </c>
      <c r="K264" s="628">
        <f>+J264/E264</f>
        <v>1</v>
      </c>
      <c r="L264" s="625">
        <f>SUM(L265)</f>
        <v>0</v>
      </c>
      <c r="M264" s="1023"/>
      <c r="N264" s="625" t="str">
        <f>+N265</f>
        <v xml:space="preserve"> </v>
      </c>
      <c r="O264" s="701"/>
      <c r="P264" s="631"/>
      <c r="Q264" s="1023"/>
      <c r="R264" s="1023"/>
      <c r="S264" s="1023"/>
      <c r="T264" s="1023"/>
      <c r="U264" s="727"/>
      <c r="V264" s="639"/>
    </row>
    <row r="265" spans="2:22" ht="24" outlineLevel="1" x14ac:dyDescent="0.25">
      <c r="B265" s="542">
        <v>210</v>
      </c>
      <c r="C265" s="538" t="str">
        <f>IF(ISERROR(VLOOKUP(B265,'Base de Datos'!$C$7:$F$4345,2,0))=TRUE,"",(VLOOKUP('Presupuesto - PAA 2017 (2)'!B265,'Base de Datos'!$C$7:$F$4345,3,0)))</f>
        <v>150198-0-2015</v>
      </c>
      <c r="D265" s="538" t="str">
        <f>IF(ISERROR(VLOOKUP(B265,'Base de Datos'!$C$7:$F$4345,3,0))=TRUE,"",(VLOOKUP('Presupuesto - PAA 2017 (2)'!B265,'Base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0" t="s">
        <v>2131</v>
      </c>
      <c r="C270" s="1130"/>
      <c r="D270" s="1130"/>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38" t="s">
        <v>1786</v>
      </c>
      <c r="C271" s="1138"/>
      <c r="D271" s="1138"/>
      <c r="E271" s="1024" t="s">
        <v>2134</v>
      </c>
      <c r="F271" s="1024" t="s">
        <v>2135</v>
      </c>
      <c r="G271" s="1024" t="s">
        <v>1900</v>
      </c>
      <c r="H271" s="1024" t="s">
        <v>1901</v>
      </c>
      <c r="I271" s="1024" t="s">
        <v>1843</v>
      </c>
      <c r="J271" s="1024" t="s">
        <v>2136</v>
      </c>
      <c r="K271" s="721" t="s">
        <v>1903</v>
      </c>
      <c r="L271" s="1024" t="s">
        <v>2140</v>
      </c>
      <c r="M271" s="1024" t="s">
        <v>1905</v>
      </c>
      <c r="N271" s="1024" t="s">
        <v>1907</v>
      </c>
      <c r="O271" s="722" t="s">
        <v>2139</v>
      </c>
      <c r="P271" s="723" t="s">
        <v>1821</v>
      </c>
      <c r="Q271" s="1024" t="s">
        <v>1851</v>
      </c>
      <c r="R271" s="1024" t="s">
        <v>1852</v>
      </c>
      <c r="S271" s="1024" t="s">
        <v>375</v>
      </c>
      <c r="T271" s="1024" t="s">
        <v>1853</v>
      </c>
    </row>
    <row r="272" spans="2:22" hidden="1" x14ac:dyDescent="0.25">
      <c r="B272" s="1125" t="s">
        <v>1689</v>
      </c>
      <c r="C272" s="1125"/>
      <c r="D272" s="1125"/>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25" t="s">
        <v>1687</v>
      </c>
      <c r="C273" s="1125"/>
      <c r="D273" s="1125"/>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1" t="s">
        <v>1686</v>
      </c>
      <c r="C274" s="1121"/>
      <c r="D274" s="1121"/>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1" t="s">
        <v>1685</v>
      </c>
      <c r="C275" s="1121"/>
      <c r="D275" s="1121"/>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1" t="s">
        <v>1684</v>
      </c>
      <c r="C276" s="1121"/>
      <c r="D276" s="1121"/>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18" t="s">
        <v>1646</v>
      </c>
      <c r="C277" s="1118"/>
      <c r="D277" s="1118"/>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2017 (2)'!O279=Hoja1!$D$18),'Presupuesto - PAA 2017 (2)'!L279,"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2017 (2)'!O280=Hoja1!$D$18),'Presupuesto - PAA 2017 (2)'!L280,"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2017 (2)'!O281=Hoja1!$D$18),'Presupuesto - PAA 2017 (2)'!L281,"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2017 (2)'!O282=Hoja1!$D$18),'Presupuesto - PAA 2017 (2)'!L282,"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2017 (2)'!O283=Hoja1!$D$18),'Presupuesto - PAA 2017 (2)'!L283,"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18" t="s">
        <v>1648</v>
      </c>
      <c r="C285" s="1118"/>
      <c r="D285" s="1118"/>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2017 (2)'!O287=Hoja1!$D$18),'Presupuesto - PAA 2017 (2)'!L287,"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1" t="s">
        <v>1796</v>
      </c>
      <c r="C289" s="1121"/>
      <c r="D289" s="1121"/>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1" t="s">
        <v>1650</v>
      </c>
      <c r="C290" s="1121"/>
      <c r="D290" s="1121"/>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18" t="s">
        <v>1651</v>
      </c>
      <c r="C291" s="1118"/>
      <c r="D291" s="1118"/>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2017 (2)'!O293=Hoja1!$D$18),'Presupuesto - PAA 2017 (2)'!L293,"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2017 (2)'!O294=Hoja1!$D$18),'Presupuesto - PAA 2017 (2)'!L294,"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2017 (2)'!O295=Hoja1!$D$18),'Presupuesto - PAA 2017 (2)'!L295,"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2017 (2)'!O296=Hoja1!$D$18),'Presupuesto - PAA 2017 (2)'!L296,"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2017 (2)'!O297=Hoja1!$D$18),'Presupuesto - PAA 2017 (2)'!L297,"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2017 (2)'!O298=Hoja1!$D$18),'Presupuesto - PAA 2017 (2)'!L298,"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18" t="s">
        <v>1652</v>
      </c>
      <c r="C300" s="1118"/>
      <c r="D300" s="1118"/>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2017 (2)'!O302=Hoja1!$D$18),'Presupuesto - PAA 2017 (2)'!L302,"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2017 (2)'!O303=Hoja1!$D$18),'Presupuesto - PAA 2017 (2)'!L303,"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2017 (2)'!O304=Hoja1!$D$18),'Presupuesto - PAA 2017 (2)'!L304,"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2017 (2)'!O305=Hoja1!$D$18),'Presupuesto - PAA 2017 (2)'!L305,"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18" t="s">
        <v>1653</v>
      </c>
      <c r="C307" s="1118"/>
      <c r="D307" s="1118"/>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2017 (2)'!O309=Hoja1!$D$18),'Presupuesto - PAA 2017 (2)'!L309,"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2017 (2)'!O310=Hoja1!$D$18),'Presupuesto - PAA 2017 (2)'!L310,"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1" t="s">
        <v>1654</v>
      </c>
      <c r="C312" s="1121"/>
      <c r="D312" s="1121"/>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18" t="s">
        <v>2144</v>
      </c>
      <c r="C313" s="1118"/>
      <c r="D313" s="1118"/>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2017 (2)'!O315=Hoja1!$D$18),'Presupuesto - PAA 2017 (2)'!L315,"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1026"/>
      <c r="C316" s="1026"/>
      <c r="D316" s="1026"/>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18" t="s">
        <v>1655</v>
      </c>
      <c r="C317" s="1118"/>
      <c r="D317" s="1118"/>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2017 (2)'!O319=Hoja1!$D$18),'Presupuesto - PAA 2017 (2)'!L319,"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2017 (2)'!O320=Hoja1!$D$18),'Presupuesto - PAA 2017 (2)'!L320,"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2017 (2)'!O321=Hoja1!$D$18),'Presupuesto - PAA 2017 (2)'!L321,"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18" t="s">
        <v>1656</v>
      </c>
      <c r="C323" s="1118"/>
      <c r="D323" s="1118"/>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2017 (2)'!O325=Hoja1!$D$18),'Presupuesto - PAA 2017 (2)'!L325,"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1" t="s">
        <v>1657</v>
      </c>
      <c r="C327" s="1121"/>
      <c r="D327" s="1121"/>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18" t="s">
        <v>1658</v>
      </c>
      <c r="C328" s="1118"/>
      <c r="D328" s="1118"/>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2017 (2)'!O330=Hoja1!$D$18),'Presupuesto - PAA 2017 (2)'!L330,"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2017 (2)'!O331=Hoja1!$D$18),'Presupuesto - PAA 2017 (2)'!L331,"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2017 (2)'!O332=Hoja1!$D$18),'Presupuesto - PAA 2017 (2)'!L332,"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2017 (2)'!O333=Hoja1!$D$18),'Presupuesto - PAA 2017 (2)'!L333,"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2017 (2)'!O334=Hoja1!$D$18),'Presupuesto - PAA 2017 (2)'!L334,"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2017 (2)'!O335=Hoja1!$D$18),'Presupuesto - PAA 2017 (2)'!L335,"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2017 (2)'!O336=Hoja1!$D$18),'Presupuesto - PAA 2017 (2)'!L336,"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2017 (2)'!O337=Hoja1!$D$18),'Presupuesto - PAA 2017 (2)'!L337,"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2017 (2)'!O338=Hoja1!$D$18),'Presupuesto - PAA 2017 (2)'!L338,"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2017 (2)'!O339=Hoja1!$D$18),'Presupuesto - PAA 2017 (2)'!L339,"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2017 (2)'!O340=Hoja1!$D$18),'Presupuesto - PAA 2017 (2)'!L340,"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2017 (2)'!O341=Hoja1!$D$18),'Presupuesto - PAA 2017 (2)'!L341,"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2017 (2)'!O342=Hoja1!$D$18),'Presupuesto - PAA 2017 (2)'!L342,"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2017 (2)'!O343=Hoja1!$D$18),'Presupuesto - PAA 2017 (2)'!L343,"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2017 (2)'!O344=Hoja1!$D$18),'Presupuesto - PAA 2017 (2)'!L344,"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2017 (2)'!O345=Hoja1!$D$18),'Presupuesto - PAA 2017 (2)'!L345,"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1" t="s">
        <v>1659</v>
      </c>
      <c r="C347" s="1121"/>
      <c r="D347" s="1121"/>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18" t="s">
        <v>1660</v>
      </c>
      <c r="C348" s="1118"/>
      <c r="D348" s="1118"/>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2017 (2)'!O351=Hoja1!$D$18),'Presupuesto - PAA 2017 (2)'!L351,"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1" t="s">
        <v>1668</v>
      </c>
      <c r="C353" s="1121"/>
      <c r="D353" s="1121"/>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18" t="s">
        <v>1669</v>
      </c>
      <c r="C354" s="1118"/>
      <c r="D354" s="1118"/>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2017 (2)'!O356=Hoja1!$D$18),'Presupuesto - PAA 2017 (2)'!L356,"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2017 (2)'!O357=Hoja1!$D$18),'Presupuesto - PAA 2017 (2)'!L357,"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18" t="s">
        <v>1670</v>
      </c>
      <c r="C359" s="1118"/>
      <c r="D359" s="1118"/>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2017 (2)'!O361=Hoja1!$D$18),'Presupuesto - PAA 2017 (2)'!L361,"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39" t="s">
        <v>1671</v>
      </c>
      <c r="C363" s="1139"/>
      <c r="D363" s="1139"/>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2017 (2)'!O365=Hoja1!$D$18),'Presupuesto - PAA 2017 (2)'!L365,"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2017 (2)'!O366=Hoja1!$D$18),'Presupuesto - PAA 2017 (2)'!L366,"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18" t="s">
        <v>1672</v>
      </c>
      <c r="C368" s="1118"/>
      <c r="D368" s="1118"/>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2017 (2)'!O370=Hoja1!$D$18),'Presupuesto - PAA 2017 (2)'!L370,"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2017 (2)'!O371=Hoja1!$D$18),'Presupuesto - PAA 2017 (2)'!L371,"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18" t="s">
        <v>1675</v>
      </c>
      <c r="C373" s="1118"/>
      <c r="D373" s="1118"/>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2017 (2)'!O375=Hoja1!$D$18),'Presupuesto - PAA 2017 (2)'!L375,"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2017 (2)'!O376=Hoja1!$D$18),'Presupuesto - PAA 2017 (2)'!L376,"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1" t="s">
        <v>1676</v>
      </c>
      <c r="C378" s="1121"/>
      <c r="D378" s="1121"/>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18" t="s">
        <v>2132</v>
      </c>
      <c r="C379" s="1118"/>
      <c r="D379" s="1118"/>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25" t="s">
        <v>1691</v>
      </c>
      <c r="C383" s="1125"/>
      <c r="D383" s="1125"/>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1" t="s">
        <v>1690</v>
      </c>
      <c r="C384" s="1121"/>
      <c r="D384" s="1121"/>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19" t="s">
        <v>1679</v>
      </c>
      <c r="C385" s="1119"/>
      <c r="D385" s="1119"/>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19" t="s">
        <v>1840</v>
      </c>
      <c r="C386" s="1119"/>
      <c r="D386" s="1119"/>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19" t="s">
        <v>1839</v>
      </c>
      <c r="C387" s="1119"/>
      <c r="D387" s="1119"/>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18" t="s">
        <v>1877</v>
      </c>
      <c r="C388" s="1118"/>
      <c r="D388" s="1118"/>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2017 (2)'!O390=Hoja1!$D$18),'Presupuesto - PAA 2017 (2)'!L390,"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2017 (2)'!O391=Hoja1!$D$18),'Presupuesto - PAA 2017 (2)'!L391,"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2017 (2)'!O392=Hoja1!$D$18),'Presupuesto - PAA 2017 (2)'!L392,"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2017 (2)'!O393=Hoja1!$D$18),'Presupuesto - PAA 2017 (2)'!L393,"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2017 (2)'!O394=Hoja1!$D$18),'Presupuesto - PAA 2017 (2)'!L394,"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2017 (2)'!O395=Hoja1!$D$18),'Presupuesto - PAA 2017 (2)'!L395,"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2017 (2)'!O396=Hoja1!$D$18),'Presupuesto - PAA 2017 (2)'!L396,"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2017 (2)'!O397=Hoja1!$D$18),'Presupuesto - PAA 2017 (2)'!L397,"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57"/>
  <sheetViews>
    <sheetView workbookViewId="0">
      <pane xSplit="1" ySplit="1" topLeftCell="B10" activePane="bottomRight" state="frozen"/>
      <selection pane="topRight" activeCell="B1" sqref="B1"/>
      <selection pane="bottomLeft" activeCell="A2" sqref="A2"/>
      <selection pane="bottomRight" activeCell="B22" sqref="B22"/>
    </sheetView>
  </sheetViews>
  <sheetFormatPr baseColWidth="10" defaultRowHeight="12.75" x14ac:dyDescent="0.2"/>
  <cols>
    <col min="1" max="1" width="9.140625" style="951" customWidth="1"/>
    <col min="2" max="3" width="19.7109375" style="951" customWidth="1"/>
    <col min="4" max="4" width="44.42578125" style="951" customWidth="1"/>
    <col min="5" max="5" width="20.5703125" style="979" customWidth="1"/>
    <col min="6" max="6" width="21.85546875" style="981" customWidth="1"/>
    <col min="7" max="7" width="37.85546875" style="981" customWidth="1"/>
    <col min="8" max="8" width="29.28515625" style="981" customWidth="1"/>
    <col min="9" max="9" width="22.28515625" style="979" customWidth="1"/>
    <col min="10" max="257" width="11.42578125" style="951"/>
    <col min="258" max="258" width="9.140625" style="951" customWidth="1"/>
    <col min="259" max="259" width="19.7109375" style="951" customWidth="1"/>
    <col min="260" max="260" width="44.42578125" style="951" customWidth="1"/>
    <col min="261" max="261" width="18.140625" style="951" customWidth="1"/>
    <col min="262" max="262" width="21.85546875" style="951" customWidth="1"/>
    <col min="263" max="263" width="20.42578125" style="951" customWidth="1"/>
    <col min="264" max="513" width="11.42578125" style="951"/>
    <col min="514" max="514" width="9.140625" style="951" customWidth="1"/>
    <col min="515" max="515" width="19.7109375" style="951" customWidth="1"/>
    <col min="516" max="516" width="44.42578125" style="951" customWidth="1"/>
    <col min="517" max="517" width="18.140625" style="951" customWidth="1"/>
    <col min="518" max="518" width="21.85546875" style="951" customWidth="1"/>
    <col min="519" max="519" width="20.42578125" style="951" customWidth="1"/>
    <col min="520" max="769" width="11.42578125" style="951"/>
    <col min="770" max="770" width="9.140625" style="951" customWidth="1"/>
    <col min="771" max="771" width="19.7109375" style="951" customWidth="1"/>
    <col min="772" max="772" width="44.42578125" style="951" customWidth="1"/>
    <col min="773" max="773" width="18.140625" style="951" customWidth="1"/>
    <col min="774" max="774" width="21.85546875" style="951" customWidth="1"/>
    <col min="775" max="775" width="20.42578125" style="951" customWidth="1"/>
    <col min="776" max="1025" width="11.42578125" style="951"/>
    <col min="1026" max="1026" width="9.140625" style="951" customWidth="1"/>
    <col min="1027" max="1027" width="19.7109375" style="951" customWidth="1"/>
    <col min="1028" max="1028" width="44.42578125" style="951" customWidth="1"/>
    <col min="1029" max="1029" width="18.140625" style="951" customWidth="1"/>
    <col min="1030" max="1030" width="21.85546875" style="951" customWidth="1"/>
    <col min="1031" max="1031" width="20.42578125" style="951" customWidth="1"/>
    <col min="1032" max="1281" width="11.42578125" style="951"/>
    <col min="1282" max="1282" width="9.140625" style="951" customWidth="1"/>
    <col min="1283" max="1283" width="19.7109375" style="951" customWidth="1"/>
    <col min="1284" max="1284" width="44.42578125" style="951" customWidth="1"/>
    <col min="1285" max="1285" width="18.140625" style="951" customWidth="1"/>
    <col min="1286" max="1286" width="21.85546875" style="951" customWidth="1"/>
    <col min="1287" max="1287" width="20.42578125" style="951" customWidth="1"/>
    <col min="1288" max="1537" width="11.42578125" style="951"/>
    <col min="1538" max="1538" width="9.140625" style="951" customWidth="1"/>
    <col min="1539" max="1539" width="19.7109375" style="951" customWidth="1"/>
    <col min="1540" max="1540" width="44.42578125" style="951" customWidth="1"/>
    <col min="1541" max="1541" width="18.140625" style="951" customWidth="1"/>
    <col min="1542" max="1542" width="21.85546875" style="951" customWidth="1"/>
    <col min="1543" max="1543" width="20.42578125" style="951" customWidth="1"/>
    <col min="1544" max="1793" width="11.42578125" style="951"/>
    <col min="1794" max="1794" width="9.140625" style="951" customWidth="1"/>
    <col min="1795" max="1795" width="19.7109375" style="951" customWidth="1"/>
    <col min="1796" max="1796" width="44.42578125" style="951" customWidth="1"/>
    <col min="1797" max="1797" width="18.140625" style="951" customWidth="1"/>
    <col min="1798" max="1798" width="21.85546875" style="951" customWidth="1"/>
    <col min="1799" max="1799" width="20.42578125" style="951" customWidth="1"/>
    <col min="1800" max="2049" width="11.42578125" style="951"/>
    <col min="2050" max="2050" width="9.140625" style="951" customWidth="1"/>
    <col min="2051" max="2051" width="19.7109375" style="951" customWidth="1"/>
    <col min="2052" max="2052" width="44.42578125" style="951" customWidth="1"/>
    <col min="2053" max="2053" width="18.140625" style="951" customWidth="1"/>
    <col min="2054" max="2054" width="21.85546875" style="951" customWidth="1"/>
    <col min="2055" max="2055" width="20.42578125" style="951" customWidth="1"/>
    <col min="2056" max="2305" width="11.42578125" style="951"/>
    <col min="2306" max="2306" width="9.140625" style="951" customWidth="1"/>
    <col min="2307" max="2307" width="19.7109375" style="951" customWidth="1"/>
    <col min="2308" max="2308" width="44.42578125" style="951" customWidth="1"/>
    <col min="2309" max="2309" width="18.140625" style="951" customWidth="1"/>
    <col min="2310" max="2310" width="21.85546875" style="951" customWidth="1"/>
    <col min="2311" max="2311" width="20.42578125" style="951" customWidth="1"/>
    <col min="2312" max="2561" width="11.42578125" style="951"/>
    <col min="2562" max="2562" width="9.140625" style="951" customWidth="1"/>
    <col min="2563" max="2563" width="19.7109375" style="951" customWidth="1"/>
    <col min="2564" max="2564" width="44.42578125" style="951" customWidth="1"/>
    <col min="2565" max="2565" width="18.140625" style="951" customWidth="1"/>
    <col min="2566" max="2566" width="21.85546875" style="951" customWidth="1"/>
    <col min="2567" max="2567" width="20.42578125" style="951" customWidth="1"/>
    <col min="2568" max="2817" width="11.42578125" style="951"/>
    <col min="2818" max="2818" width="9.140625" style="951" customWidth="1"/>
    <col min="2819" max="2819" width="19.7109375" style="951" customWidth="1"/>
    <col min="2820" max="2820" width="44.42578125" style="951" customWidth="1"/>
    <col min="2821" max="2821" width="18.140625" style="951" customWidth="1"/>
    <col min="2822" max="2822" width="21.85546875" style="951" customWidth="1"/>
    <col min="2823" max="2823" width="20.42578125" style="951" customWidth="1"/>
    <col min="2824" max="3073" width="11.42578125" style="951"/>
    <col min="3074" max="3074" width="9.140625" style="951" customWidth="1"/>
    <col min="3075" max="3075" width="19.7109375" style="951" customWidth="1"/>
    <col min="3076" max="3076" width="44.42578125" style="951" customWidth="1"/>
    <col min="3077" max="3077" width="18.140625" style="951" customWidth="1"/>
    <col min="3078" max="3078" width="21.85546875" style="951" customWidth="1"/>
    <col min="3079" max="3079" width="20.42578125" style="951" customWidth="1"/>
    <col min="3080" max="3329" width="11.42578125" style="951"/>
    <col min="3330" max="3330" width="9.140625" style="951" customWidth="1"/>
    <col min="3331" max="3331" width="19.7109375" style="951" customWidth="1"/>
    <col min="3332" max="3332" width="44.42578125" style="951" customWidth="1"/>
    <col min="3333" max="3333" width="18.140625" style="951" customWidth="1"/>
    <col min="3334" max="3334" width="21.85546875" style="951" customWidth="1"/>
    <col min="3335" max="3335" width="20.42578125" style="951" customWidth="1"/>
    <col min="3336" max="3585" width="11.42578125" style="951"/>
    <col min="3586" max="3586" width="9.140625" style="951" customWidth="1"/>
    <col min="3587" max="3587" width="19.7109375" style="951" customWidth="1"/>
    <col min="3588" max="3588" width="44.42578125" style="951" customWidth="1"/>
    <col min="3589" max="3589" width="18.140625" style="951" customWidth="1"/>
    <col min="3590" max="3590" width="21.85546875" style="951" customWidth="1"/>
    <col min="3591" max="3591" width="20.42578125" style="951" customWidth="1"/>
    <col min="3592" max="3841" width="11.42578125" style="951"/>
    <col min="3842" max="3842" width="9.140625" style="951" customWidth="1"/>
    <col min="3843" max="3843" width="19.7109375" style="951" customWidth="1"/>
    <col min="3844" max="3844" width="44.42578125" style="951" customWidth="1"/>
    <col min="3845" max="3845" width="18.140625" style="951" customWidth="1"/>
    <col min="3846" max="3846" width="21.85546875" style="951" customWidth="1"/>
    <col min="3847" max="3847" width="20.42578125" style="951" customWidth="1"/>
    <col min="3848" max="4097" width="11.42578125" style="951"/>
    <col min="4098" max="4098" width="9.140625" style="951" customWidth="1"/>
    <col min="4099" max="4099" width="19.7109375" style="951" customWidth="1"/>
    <col min="4100" max="4100" width="44.42578125" style="951" customWidth="1"/>
    <col min="4101" max="4101" width="18.140625" style="951" customWidth="1"/>
    <col min="4102" max="4102" width="21.85546875" style="951" customWidth="1"/>
    <col min="4103" max="4103" width="20.42578125" style="951" customWidth="1"/>
    <col min="4104" max="4353" width="11.42578125" style="951"/>
    <col min="4354" max="4354" width="9.140625" style="951" customWidth="1"/>
    <col min="4355" max="4355" width="19.7109375" style="951" customWidth="1"/>
    <col min="4356" max="4356" width="44.42578125" style="951" customWidth="1"/>
    <col min="4357" max="4357" width="18.140625" style="951" customWidth="1"/>
    <col min="4358" max="4358" width="21.85546875" style="951" customWidth="1"/>
    <col min="4359" max="4359" width="20.42578125" style="951" customWidth="1"/>
    <col min="4360" max="4609" width="11.42578125" style="951"/>
    <col min="4610" max="4610" width="9.140625" style="951" customWidth="1"/>
    <col min="4611" max="4611" width="19.7109375" style="951" customWidth="1"/>
    <col min="4612" max="4612" width="44.42578125" style="951" customWidth="1"/>
    <col min="4613" max="4613" width="18.140625" style="951" customWidth="1"/>
    <col min="4614" max="4614" width="21.85546875" style="951" customWidth="1"/>
    <col min="4615" max="4615" width="20.42578125" style="951" customWidth="1"/>
    <col min="4616" max="4865" width="11.42578125" style="951"/>
    <col min="4866" max="4866" width="9.140625" style="951" customWidth="1"/>
    <col min="4867" max="4867" width="19.7109375" style="951" customWidth="1"/>
    <col min="4868" max="4868" width="44.42578125" style="951" customWidth="1"/>
    <col min="4869" max="4869" width="18.140625" style="951" customWidth="1"/>
    <col min="4870" max="4870" width="21.85546875" style="951" customWidth="1"/>
    <col min="4871" max="4871" width="20.42578125" style="951" customWidth="1"/>
    <col min="4872" max="5121" width="11.42578125" style="951"/>
    <col min="5122" max="5122" width="9.140625" style="951" customWidth="1"/>
    <col min="5123" max="5123" width="19.7109375" style="951" customWidth="1"/>
    <col min="5124" max="5124" width="44.42578125" style="951" customWidth="1"/>
    <col min="5125" max="5125" width="18.140625" style="951" customWidth="1"/>
    <col min="5126" max="5126" width="21.85546875" style="951" customWidth="1"/>
    <col min="5127" max="5127" width="20.42578125" style="951" customWidth="1"/>
    <col min="5128" max="5377" width="11.42578125" style="951"/>
    <col min="5378" max="5378" width="9.140625" style="951" customWidth="1"/>
    <col min="5379" max="5379" width="19.7109375" style="951" customWidth="1"/>
    <col min="5380" max="5380" width="44.42578125" style="951" customWidth="1"/>
    <col min="5381" max="5381" width="18.140625" style="951" customWidth="1"/>
    <col min="5382" max="5382" width="21.85546875" style="951" customWidth="1"/>
    <col min="5383" max="5383" width="20.42578125" style="951" customWidth="1"/>
    <col min="5384" max="5633" width="11.42578125" style="951"/>
    <col min="5634" max="5634" width="9.140625" style="951" customWidth="1"/>
    <col min="5635" max="5635" width="19.7109375" style="951" customWidth="1"/>
    <col min="5636" max="5636" width="44.42578125" style="951" customWidth="1"/>
    <col min="5637" max="5637" width="18.140625" style="951" customWidth="1"/>
    <col min="5638" max="5638" width="21.85546875" style="951" customWidth="1"/>
    <col min="5639" max="5639" width="20.42578125" style="951" customWidth="1"/>
    <col min="5640" max="5889" width="11.42578125" style="951"/>
    <col min="5890" max="5890" width="9.140625" style="951" customWidth="1"/>
    <col min="5891" max="5891" width="19.7109375" style="951" customWidth="1"/>
    <col min="5892" max="5892" width="44.42578125" style="951" customWidth="1"/>
    <col min="5893" max="5893" width="18.140625" style="951" customWidth="1"/>
    <col min="5894" max="5894" width="21.85546875" style="951" customWidth="1"/>
    <col min="5895" max="5895" width="20.42578125" style="951" customWidth="1"/>
    <col min="5896" max="6145" width="11.42578125" style="951"/>
    <col min="6146" max="6146" width="9.140625" style="951" customWidth="1"/>
    <col min="6147" max="6147" width="19.7109375" style="951" customWidth="1"/>
    <col min="6148" max="6148" width="44.42578125" style="951" customWidth="1"/>
    <col min="6149" max="6149" width="18.140625" style="951" customWidth="1"/>
    <col min="6150" max="6150" width="21.85546875" style="951" customWidth="1"/>
    <col min="6151" max="6151" width="20.42578125" style="951" customWidth="1"/>
    <col min="6152" max="6401" width="11.42578125" style="951"/>
    <col min="6402" max="6402" width="9.140625" style="951" customWidth="1"/>
    <col min="6403" max="6403" width="19.7109375" style="951" customWidth="1"/>
    <col min="6404" max="6404" width="44.42578125" style="951" customWidth="1"/>
    <col min="6405" max="6405" width="18.140625" style="951" customWidth="1"/>
    <col min="6406" max="6406" width="21.85546875" style="951" customWidth="1"/>
    <col min="6407" max="6407" width="20.42578125" style="951" customWidth="1"/>
    <col min="6408" max="6657" width="11.42578125" style="951"/>
    <col min="6658" max="6658" width="9.140625" style="951" customWidth="1"/>
    <col min="6659" max="6659" width="19.7109375" style="951" customWidth="1"/>
    <col min="6660" max="6660" width="44.42578125" style="951" customWidth="1"/>
    <col min="6661" max="6661" width="18.140625" style="951" customWidth="1"/>
    <col min="6662" max="6662" width="21.85546875" style="951" customWidth="1"/>
    <col min="6663" max="6663" width="20.42578125" style="951" customWidth="1"/>
    <col min="6664" max="6913" width="11.42578125" style="951"/>
    <col min="6914" max="6914" width="9.140625" style="951" customWidth="1"/>
    <col min="6915" max="6915" width="19.7109375" style="951" customWidth="1"/>
    <col min="6916" max="6916" width="44.42578125" style="951" customWidth="1"/>
    <col min="6917" max="6917" width="18.140625" style="951" customWidth="1"/>
    <col min="6918" max="6918" width="21.85546875" style="951" customWidth="1"/>
    <col min="6919" max="6919" width="20.42578125" style="951" customWidth="1"/>
    <col min="6920" max="7169" width="11.42578125" style="951"/>
    <col min="7170" max="7170" width="9.140625" style="951" customWidth="1"/>
    <col min="7171" max="7171" width="19.7109375" style="951" customWidth="1"/>
    <col min="7172" max="7172" width="44.42578125" style="951" customWidth="1"/>
    <col min="7173" max="7173" width="18.140625" style="951" customWidth="1"/>
    <col min="7174" max="7174" width="21.85546875" style="951" customWidth="1"/>
    <col min="7175" max="7175" width="20.42578125" style="951" customWidth="1"/>
    <col min="7176" max="7425" width="11.42578125" style="951"/>
    <col min="7426" max="7426" width="9.140625" style="951" customWidth="1"/>
    <col min="7427" max="7427" width="19.7109375" style="951" customWidth="1"/>
    <col min="7428" max="7428" width="44.42578125" style="951" customWidth="1"/>
    <col min="7429" max="7429" width="18.140625" style="951" customWidth="1"/>
    <col min="7430" max="7430" width="21.85546875" style="951" customWidth="1"/>
    <col min="7431" max="7431" width="20.42578125" style="951" customWidth="1"/>
    <col min="7432" max="7681" width="11.42578125" style="951"/>
    <col min="7682" max="7682" width="9.140625" style="951" customWidth="1"/>
    <col min="7683" max="7683" width="19.7109375" style="951" customWidth="1"/>
    <col min="7684" max="7684" width="44.42578125" style="951" customWidth="1"/>
    <col min="7685" max="7685" width="18.140625" style="951" customWidth="1"/>
    <col min="7686" max="7686" width="21.85546875" style="951" customWidth="1"/>
    <col min="7687" max="7687" width="20.42578125" style="951" customWidth="1"/>
    <col min="7688" max="7937" width="11.42578125" style="951"/>
    <col min="7938" max="7938" width="9.140625" style="951" customWidth="1"/>
    <col min="7939" max="7939" width="19.7109375" style="951" customWidth="1"/>
    <col min="7940" max="7940" width="44.42578125" style="951" customWidth="1"/>
    <col min="7941" max="7941" width="18.140625" style="951" customWidth="1"/>
    <col min="7942" max="7942" width="21.85546875" style="951" customWidth="1"/>
    <col min="7943" max="7943" width="20.42578125" style="951" customWidth="1"/>
    <col min="7944" max="8193" width="11.42578125" style="951"/>
    <col min="8194" max="8194" width="9.140625" style="951" customWidth="1"/>
    <col min="8195" max="8195" width="19.7109375" style="951" customWidth="1"/>
    <col min="8196" max="8196" width="44.42578125" style="951" customWidth="1"/>
    <col min="8197" max="8197" width="18.140625" style="951" customWidth="1"/>
    <col min="8198" max="8198" width="21.85546875" style="951" customWidth="1"/>
    <col min="8199" max="8199" width="20.42578125" style="951" customWidth="1"/>
    <col min="8200" max="8449" width="11.42578125" style="951"/>
    <col min="8450" max="8450" width="9.140625" style="951" customWidth="1"/>
    <col min="8451" max="8451" width="19.7109375" style="951" customWidth="1"/>
    <col min="8452" max="8452" width="44.42578125" style="951" customWidth="1"/>
    <col min="8453" max="8453" width="18.140625" style="951" customWidth="1"/>
    <col min="8454" max="8454" width="21.85546875" style="951" customWidth="1"/>
    <col min="8455" max="8455" width="20.42578125" style="951" customWidth="1"/>
    <col min="8456" max="8705" width="11.42578125" style="951"/>
    <col min="8706" max="8706" width="9.140625" style="951" customWidth="1"/>
    <col min="8707" max="8707" width="19.7109375" style="951" customWidth="1"/>
    <col min="8708" max="8708" width="44.42578125" style="951" customWidth="1"/>
    <col min="8709" max="8709" width="18.140625" style="951" customWidth="1"/>
    <col min="8710" max="8710" width="21.85546875" style="951" customWidth="1"/>
    <col min="8711" max="8711" width="20.42578125" style="951" customWidth="1"/>
    <col min="8712" max="8961" width="11.42578125" style="951"/>
    <col min="8962" max="8962" width="9.140625" style="951" customWidth="1"/>
    <col min="8963" max="8963" width="19.7109375" style="951" customWidth="1"/>
    <col min="8964" max="8964" width="44.42578125" style="951" customWidth="1"/>
    <col min="8965" max="8965" width="18.140625" style="951" customWidth="1"/>
    <col min="8966" max="8966" width="21.85546875" style="951" customWidth="1"/>
    <col min="8967" max="8967" width="20.42578125" style="951" customWidth="1"/>
    <col min="8968" max="9217" width="11.42578125" style="951"/>
    <col min="9218" max="9218" width="9.140625" style="951" customWidth="1"/>
    <col min="9219" max="9219" width="19.7109375" style="951" customWidth="1"/>
    <col min="9220" max="9220" width="44.42578125" style="951" customWidth="1"/>
    <col min="9221" max="9221" width="18.140625" style="951" customWidth="1"/>
    <col min="9222" max="9222" width="21.85546875" style="951" customWidth="1"/>
    <col min="9223" max="9223" width="20.42578125" style="951" customWidth="1"/>
    <col min="9224" max="9473" width="11.42578125" style="951"/>
    <col min="9474" max="9474" width="9.140625" style="951" customWidth="1"/>
    <col min="9475" max="9475" width="19.7109375" style="951" customWidth="1"/>
    <col min="9476" max="9476" width="44.42578125" style="951" customWidth="1"/>
    <col min="9477" max="9477" width="18.140625" style="951" customWidth="1"/>
    <col min="9478" max="9478" width="21.85546875" style="951" customWidth="1"/>
    <col min="9479" max="9479" width="20.42578125" style="951" customWidth="1"/>
    <col min="9480" max="9729" width="11.42578125" style="951"/>
    <col min="9730" max="9730" width="9.140625" style="951" customWidth="1"/>
    <col min="9731" max="9731" width="19.7109375" style="951" customWidth="1"/>
    <col min="9732" max="9732" width="44.42578125" style="951" customWidth="1"/>
    <col min="9733" max="9733" width="18.140625" style="951" customWidth="1"/>
    <col min="9734" max="9734" width="21.85546875" style="951" customWidth="1"/>
    <col min="9735" max="9735" width="20.42578125" style="951" customWidth="1"/>
    <col min="9736" max="9985" width="11.42578125" style="951"/>
    <col min="9986" max="9986" width="9.140625" style="951" customWidth="1"/>
    <col min="9987" max="9987" width="19.7109375" style="951" customWidth="1"/>
    <col min="9988" max="9988" width="44.42578125" style="951" customWidth="1"/>
    <col min="9989" max="9989" width="18.140625" style="951" customWidth="1"/>
    <col min="9990" max="9990" width="21.85546875" style="951" customWidth="1"/>
    <col min="9991" max="9991" width="20.42578125" style="951" customWidth="1"/>
    <col min="9992" max="10241" width="11.42578125" style="951"/>
    <col min="10242" max="10242" width="9.140625" style="951" customWidth="1"/>
    <col min="10243" max="10243" width="19.7109375" style="951" customWidth="1"/>
    <col min="10244" max="10244" width="44.42578125" style="951" customWidth="1"/>
    <col min="10245" max="10245" width="18.140625" style="951" customWidth="1"/>
    <col min="10246" max="10246" width="21.85546875" style="951" customWidth="1"/>
    <col min="10247" max="10247" width="20.42578125" style="951" customWidth="1"/>
    <col min="10248" max="10497" width="11.42578125" style="951"/>
    <col min="10498" max="10498" width="9.140625" style="951" customWidth="1"/>
    <col min="10499" max="10499" width="19.7109375" style="951" customWidth="1"/>
    <col min="10500" max="10500" width="44.42578125" style="951" customWidth="1"/>
    <col min="10501" max="10501" width="18.140625" style="951" customWidth="1"/>
    <col min="10502" max="10502" width="21.85546875" style="951" customWidth="1"/>
    <col min="10503" max="10503" width="20.42578125" style="951" customWidth="1"/>
    <col min="10504" max="10753" width="11.42578125" style="951"/>
    <col min="10754" max="10754" width="9.140625" style="951" customWidth="1"/>
    <col min="10755" max="10755" width="19.7109375" style="951" customWidth="1"/>
    <col min="10756" max="10756" width="44.42578125" style="951" customWidth="1"/>
    <col min="10757" max="10757" width="18.140625" style="951" customWidth="1"/>
    <col min="10758" max="10758" width="21.85546875" style="951" customWidth="1"/>
    <col min="10759" max="10759" width="20.42578125" style="951" customWidth="1"/>
    <col min="10760" max="11009" width="11.42578125" style="951"/>
    <col min="11010" max="11010" width="9.140625" style="951" customWidth="1"/>
    <col min="11011" max="11011" width="19.7109375" style="951" customWidth="1"/>
    <col min="11012" max="11012" width="44.42578125" style="951" customWidth="1"/>
    <col min="11013" max="11013" width="18.140625" style="951" customWidth="1"/>
    <col min="11014" max="11014" width="21.85546875" style="951" customWidth="1"/>
    <col min="11015" max="11015" width="20.42578125" style="951" customWidth="1"/>
    <col min="11016" max="11265" width="11.42578125" style="951"/>
    <col min="11266" max="11266" width="9.140625" style="951" customWidth="1"/>
    <col min="11267" max="11267" width="19.7109375" style="951" customWidth="1"/>
    <col min="11268" max="11268" width="44.42578125" style="951" customWidth="1"/>
    <col min="11269" max="11269" width="18.140625" style="951" customWidth="1"/>
    <col min="11270" max="11270" width="21.85546875" style="951" customWidth="1"/>
    <col min="11271" max="11271" width="20.42578125" style="951" customWidth="1"/>
    <col min="11272" max="11521" width="11.42578125" style="951"/>
    <col min="11522" max="11522" width="9.140625" style="951" customWidth="1"/>
    <col min="11523" max="11523" width="19.7109375" style="951" customWidth="1"/>
    <col min="11524" max="11524" width="44.42578125" style="951" customWidth="1"/>
    <col min="11525" max="11525" width="18.140625" style="951" customWidth="1"/>
    <col min="11526" max="11526" width="21.85546875" style="951" customWidth="1"/>
    <col min="11527" max="11527" width="20.42578125" style="951" customWidth="1"/>
    <col min="11528" max="11777" width="11.42578125" style="951"/>
    <col min="11778" max="11778" width="9.140625" style="951" customWidth="1"/>
    <col min="11779" max="11779" width="19.7109375" style="951" customWidth="1"/>
    <col min="11780" max="11780" width="44.42578125" style="951" customWidth="1"/>
    <col min="11781" max="11781" width="18.140625" style="951" customWidth="1"/>
    <col min="11782" max="11782" width="21.85546875" style="951" customWidth="1"/>
    <col min="11783" max="11783" width="20.42578125" style="951" customWidth="1"/>
    <col min="11784" max="12033" width="11.42578125" style="951"/>
    <col min="12034" max="12034" width="9.140625" style="951" customWidth="1"/>
    <col min="12035" max="12035" width="19.7109375" style="951" customWidth="1"/>
    <col min="12036" max="12036" width="44.42578125" style="951" customWidth="1"/>
    <col min="12037" max="12037" width="18.140625" style="951" customWidth="1"/>
    <col min="12038" max="12038" width="21.85546875" style="951" customWidth="1"/>
    <col min="12039" max="12039" width="20.42578125" style="951" customWidth="1"/>
    <col min="12040" max="12289" width="11.42578125" style="951"/>
    <col min="12290" max="12290" width="9.140625" style="951" customWidth="1"/>
    <col min="12291" max="12291" width="19.7109375" style="951" customWidth="1"/>
    <col min="12292" max="12292" width="44.42578125" style="951" customWidth="1"/>
    <col min="12293" max="12293" width="18.140625" style="951" customWidth="1"/>
    <col min="12294" max="12294" width="21.85546875" style="951" customWidth="1"/>
    <col min="12295" max="12295" width="20.42578125" style="951" customWidth="1"/>
    <col min="12296" max="12545" width="11.42578125" style="951"/>
    <col min="12546" max="12546" width="9.140625" style="951" customWidth="1"/>
    <col min="12547" max="12547" width="19.7109375" style="951" customWidth="1"/>
    <col min="12548" max="12548" width="44.42578125" style="951" customWidth="1"/>
    <col min="12549" max="12549" width="18.140625" style="951" customWidth="1"/>
    <col min="12550" max="12550" width="21.85546875" style="951" customWidth="1"/>
    <col min="12551" max="12551" width="20.42578125" style="951" customWidth="1"/>
    <col min="12552" max="12801" width="11.42578125" style="951"/>
    <col min="12802" max="12802" width="9.140625" style="951" customWidth="1"/>
    <col min="12803" max="12803" width="19.7109375" style="951" customWidth="1"/>
    <col min="12804" max="12804" width="44.42578125" style="951" customWidth="1"/>
    <col min="12805" max="12805" width="18.140625" style="951" customWidth="1"/>
    <col min="12806" max="12806" width="21.85546875" style="951" customWidth="1"/>
    <col min="12807" max="12807" width="20.42578125" style="951" customWidth="1"/>
    <col min="12808" max="13057" width="11.42578125" style="951"/>
    <col min="13058" max="13058" width="9.140625" style="951" customWidth="1"/>
    <col min="13059" max="13059" width="19.7109375" style="951" customWidth="1"/>
    <col min="13060" max="13060" width="44.42578125" style="951" customWidth="1"/>
    <col min="13061" max="13061" width="18.140625" style="951" customWidth="1"/>
    <col min="13062" max="13062" width="21.85546875" style="951" customWidth="1"/>
    <col min="13063" max="13063" width="20.42578125" style="951" customWidth="1"/>
    <col min="13064" max="13313" width="11.42578125" style="951"/>
    <col min="13314" max="13314" width="9.140625" style="951" customWidth="1"/>
    <col min="13315" max="13315" width="19.7109375" style="951" customWidth="1"/>
    <col min="13316" max="13316" width="44.42578125" style="951" customWidth="1"/>
    <col min="13317" max="13317" width="18.140625" style="951" customWidth="1"/>
    <col min="13318" max="13318" width="21.85546875" style="951" customWidth="1"/>
    <col min="13319" max="13319" width="20.42578125" style="951" customWidth="1"/>
    <col min="13320" max="13569" width="11.42578125" style="951"/>
    <col min="13570" max="13570" width="9.140625" style="951" customWidth="1"/>
    <col min="13571" max="13571" width="19.7109375" style="951" customWidth="1"/>
    <col min="13572" max="13572" width="44.42578125" style="951" customWidth="1"/>
    <col min="13573" max="13573" width="18.140625" style="951" customWidth="1"/>
    <col min="13574" max="13574" width="21.85546875" style="951" customWidth="1"/>
    <col min="13575" max="13575" width="20.42578125" style="951" customWidth="1"/>
    <col min="13576" max="13825" width="11.42578125" style="951"/>
    <col min="13826" max="13826" width="9.140625" style="951" customWidth="1"/>
    <col min="13827" max="13827" width="19.7109375" style="951" customWidth="1"/>
    <col min="13828" max="13828" width="44.42578125" style="951" customWidth="1"/>
    <col min="13829" max="13829" width="18.140625" style="951" customWidth="1"/>
    <col min="13830" max="13830" width="21.85546875" style="951" customWidth="1"/>
    <col min="13831" max="13831" width="20.42578125" style="951" customWidth="1"/>
    <col min="13832" max="14081" width="11.42578125" style="951"/>
    <col min="14082" max="14082" width="9.140625" style="951" customWidth="1"/>
    <col min="14083" max="14083" width="19.7109375" style="951" customWidth="1"/>
    <col min="14084" max="14084" width="44.42578125" style="951" customWidth="1"/>
    <col min="14085" max="14085" width="18.140625" style="951" customWidth="1"/>
    <col min="14086" max="14086" width="21.85546875" style="951" customWidth="1"/>
    <col min="14087" max="14087" width="20.42578125" style="951" customWidth="1"/>
    <col min="14088" max="14337" width="11.42578125" style="951"/>
    <col min="14338" max="14338" width="9.140625" style="951" customWidth="1"/>
    <col min="14339" max="14339" width="19.7109375" style="951" customWidth="1"/>
    <col min="14340" max="14340" width="44.42578125" style="951" customWidth="1"/>
    <col min="14341" max="14341" width="18.140625" style="951" customWidth="1"/>
    <col min="14342" max="14342" width="21.85546875" style="951" customWidth="1"/>
    <col min="14343" max="14343" width="20.42578125" style="951" customWidth="1"/>
    <col min="14344" max="14593" width="11.42578125" style="951"/>
    <col min="14594" max="14594" width="9.140625" style="951" customWidth="1"/>
    <col min="14595" max="14595" width="19.7109375" style="951" customWidth="1"/>
    <col min="14596" max="14596" width="44.42578125" style="951" customWidth="1"/>
    <col min="14597" max="14597" width="18.140625" style="951" customWidth="1"/>
    <col min="14598" max="14598" width="21.85546875" style="951" customWidth="1"/>
    <col min="14599" max="14599" width="20.42578125" style="951" customWidth="1"/>
    <col min="14600" max="14849" width="11.42578125" style="951"/>
    <col min="14850" max="14850" width="9.140625" style="951" customWidth="1"/>
    <col min="14851" max="14851" width="19.7109375" style="951" customWidth="1"/>
    <col min="14852" max="14852" width="44.42578125" style="951" customWidth="1"/>
    <col min="14853" max="14853" width="18.140625" style="951" customWidth="1"/>
    <col min="14854" max="14854" width="21.85546875" style="951" customWidth="1"/>
    <col min="14855" max="14855" width="20.42578125" style="951" customWidth="1"/>
    <col min="14856" max="15105" width="11.42578125" style="951"/>
    <col min="15106" max="15106" width="9.140625" style="951" customWidth="1"/>
    <col min="15107" max="15107" width="19.7109375" style="951" customWidth="1"/>
    <col min="15108" max="15108" width="44.42578125" style="951" customWidth="1"/>
    <col min="15109" max="15109" width="18.140625" style="951" customWidth="1"/>
    <col min="15110" max="15110" width="21.85546875" style="951" customWidth="1"/>
    <col min="15111" max="15111" width="20.42578125" style="951" customWidth="1"/>
    <col min="15112" max="15361" width="11.42578125" style="951"/>
    <col min="15362" max="15362" width="9.140625" style="951" customWidth="1"/>
    <col min="15363" max="15363" width="19.7109375" style="951" customWidth="1"/>
    <col min="15364" max="15364" width="44.42578125" style="951" customWidth="1"/>
    <col min="15365" max="15365" width="18.140625" style="951" customWidth="1"/>
    <col min="15366" max="15366" width="21.85546875" style="951" customWidth="1"/>
    <col min="15367" max="15367" width="20.42578125" style="951" customWidth="1"/>
    <col min="15368" max="15617" width="11.42578125" style="951"/>
    <col min="15618" max="15618" width="9.140625" style="951" customWidth="1"/>
    <col min="15619" max="15619" width="19.7109375" style="951" customWidth="1"/>
    <col min="15620" max="15620" width="44.42578125" style="951" customWidth="1"/>
    <col min="15621" max="15621" width="18.140625" style="951" customWidth="1"/>
    <col min="15622" max="15622" width="21.85546875" style="951" customWidth="1"/>
    <col min="15623" max="15623" width="20.42578125" style="951" customWidth="1"/>
    <col min="15624" max="15873" width="11.42578125" style="951"/>
    <col min="15874" max="15874" width="9.140625" style="951" customWidth="1"/>
    <col min="15875" max="15875" width="19.7109375" style="951" customWidth="1"/>
    <col min="15876" max="15876" width="44.42578125" style="951" customWidth="1"/>
    <col min="15877" max="15877" width="18.140625" style="951" customWidth="1"/>
    <col min="15878" max="15878" width="21.85546875" style="951" customWidth="1"/>
    <col min="15879" max="15879" width="20.42578125" style="951" customWidth="1"/>
    <col min="15880" max="16129" width="11.42578125" style="951"/>
    <col min="16130" max="16130" width="9.140625" style="951" customWidth="1"/>
    <col min="16131" max="16131" width="19.7109375" style="951" customWidth="1"/>
    <col min="16132" max="16132" width="44.42578125" style="951" customWidth="1"/>
    <col min="16133" max="16133" width="18.140625" style="951" customWidth="1"/>
    <col min="16134" max="16134" width="21.85546875" style="951" customWidth="1"/>
    <col min="16135" max="16135" width="20.42578125" style="951" customWidth="1"/>
    <col min="16136" max="16384" width="11.42578125" style="951"/>
  </cols>
  <sheetData>
    <row r="1" spans="1:9" ht="38.25" customHeight="1" x14ac:dyDescent="0.2">
      <c r="A1" s="960"/>
      <c r="B1" s="950" t="s">
        <v>3103</v>
      </c>
      <c r="C1" s="950" t="s">
        <v>3526</v>
      </c>
      <c r="D1" s="950" t="s">
        <v>3104</v>
      </c>
      <c r="E1" s="950" t="s">
        <v>3105</v>
      </c>
      <c r="F1" s="980" t="s">
        <v>3106</v>
      </c>
      <c r="G1" s="980" t="s">
        <v>3107</v>
      </c>
      <c r="H1" s="980" t="s">
        <v>3553</v>
      </c>
      <c r="I1" s="950" t="s">
        <v>3552</v>
      </c>
    </row>
    <row r="2" spans="1:9" ht="15" customHeight="1" x14ac:dyDescent="0.2">
      <c r="A2" s="960">
        <v>70</v>
      </c>
      <c r="B2" s="975" t="s">
        <v>2366</v>
      </c>
      <c r="C2" s="968" t="s">
        <v>3534</v>
      </c>
      <c r="D2" s="952" t="s">
        <v>3208</v>
      </c>
      <c r="E2" s="950"/>
      <c r="F2" s="980"/>
      <c r="G2" s="950" t="s">
        <v>3203</v>
      </c>
      <c r="H2" s="980"/>
      <c r="I2" s="950" t="s">
        <v>3554</v>
      </c>
    </row>
    <row r="3" spans="1:9" ht="15" customHeight="1" x14ac:dyDescent="0.2">
      <c r="A3" s="960">
        <v>71</v>
      </c>
      <c r="B3" s="975" t="s">
        <v>2378</v>
      </c>
      <c r="C3" s="968" t="s">
        <v>3534</v>
      </c>
      <c r="D3" s="952" t="s">
        <v>3208</v>
      </c>
      <c r="E3" s="950"/>
      <c r="F3" s="980"/>
      <c r="G3" s="950" t="s">
        <v>3203</v>
      </c>
      <c r="H3" s="980"/>
      <c r="I3" s="950" t="s">
        <v>3554</v>
      </c>
    </row>
    <row r="4" spans="1:9" ht="15" customHeight="1" x14ac:dyDescent="0.2">
      <c r="A4" s="960">
        <v>72</v>
      </c>
      <c r="B4" s="975" t="s">
        <v>2423</v>
      </c>
      <c r="C4" s="968" t="s">
        <v>3534</v>
      </c>
      <c r="D4" s="952" t="s">
        <v>3209</v>
      </c>
      <c r="E4" s="950"/>
      <c r="F4" s="980"/>
      <c r="G4" s="950" t="s">
        <v>3203</v>
      </c>
      <c r="H4" s="980"/>
      <c r="I4" s="950" t="s">
        <v>3554</v>
      </c>
    </row>
    <row r="5" spans="1:9" ht="15" customHeight="1" x14ac:dyDescent="0.2">
      <c r="A5" s="960">
        <v>174</v>
      </c>
      <c r="B5" s="975" t="s">
        <v>2593</v>
      </c>
      <c r="C5" s="968" t="s">
        <v>3534</v>
      </c>
      <c r="D5" s="952" t="s">
        <v>2594</v>
      </c>
      <c r="E5" s="989" t="s">
        <v>3344</v>
      </c>
      <c r="F5" s="980" t="s">
        <v>3336</v>
      </c>
      <c r="G5" s="980" t="s">
        <v>3345</v>
      </c>
      <c r="H5" s="980"/>
      <c r="I5" s="950" t="s">
        <v>3554</v>
      </c>
    </row>
    <row r="6" spans="1:9" ht="15" customHeight="1" x14ac:dyDescent="0.2">
      <c r="A6" s="960">
        <v>177</v>
      </c>
      <c r="B6" s="971" t="s">
        <v>3352</v>
      </c>
      <c r="C6" s="968" t="s">
        <v>3534</v>
      </c>
      <c r="D6" s="952" t="s">
        <v>12</v>
      </c>
      <c r="E6" s="989" t="s">
        <v>3353</v>
      </c>
      <c r="F6" s="980" t="s">
        <v>3351</v>
      </c>
      <c r="G6" s="980" t="s">
        <v>3345</v>
      </c>
      <c r="H6" s="980"/>
      <c r="I6" s="950" t="s">
        <v>3554</v>
      </c>
    </row>
    <row r="7" spans="1:9" ht="15" customHeight="1" x14ac:dyDescent="0.2">
      <c r="A7" s="960">
        <v>179</v>
      </c>
      <c r="B7" s="971" t="s">
        <v>2514</v>
      </c>
      <c r="C7" s="968" t="s">
        <v>3534</v>
      </c>
      <c r="D7" s="952" t="s">
        <v>3357</v>
      </c>
      <c r="E7" s="989" t="s">
        <v>3358</v>
      </c>
      <c r="F7" s="980" t="s">
        <v>3343</v>
      </c>
      <c r="G7" s="980" t="s">
        <v>3345</v>
      </c>
      <c r="H7" s="980"/>
      <c r="I7" s="950" t="s">
        <v>3554</v>
      </c>
    </row>
    <row r="8" spans="1:9" ht="15" customHeight="1" x14ac:dyDescent="0.2">
      <c r="A8" s="960">
        <v>189</v>
      </c>
      <c r="B8" s="971" t="s">
        <v>3378</v>
      </c>
      <c r="C8" s="968" t="s">
        <v>3534</v>
      </c>
      <c r="D8" s="952" t="s">
        <v>3379</v>
      </c>
      <c r="E8" s="989" t="s">
        <v>3380</v>
      </c>
      <c r="F8" s="980" t="s">
        <v>3351</v>
      </c>
      <c r="G8" s="980" t="s">
        <v>3345</v>
      </c>
      <c r="H8" s="980"/>
      <c r="I8" s="950" t="s">
        <v>3351</v>
      </c>
    </row>
    <row r="9" spans="1:9" ht="15" customHeight="1" x14ac:dyDescent="0.2">
      <c r="A9" s="960">
        <v>190</v>
      </c>
      <c r="B9" s="971" t="s">
        <v>1979</v>
      </c>
      <c r="C9" s="968" t="s">
        <v>3534</v>
      </c>
      <c r="D9" s="952" t="s">
        <v>3381</v>
      </c>
      <c r="E9" s="989" t="s">
        <v>3382</v>
      </c>
      <c r="F9" s="980" t="s">
        <v>3351</v>
      </c>
      <c r="G9" s="980" t="s">
        <v>3345</v>
      </c>
      <c r="H9" s="980"/>
      <c r="I9" s="950" t="s">
        <v>3351</v>
      </c>
    </row>
    <row r="10" spans="1:9" ht="15" customHeight="1" x14ac:dyDescent="0.2">
      <c r="A10" s="960">
        <v>199</v>
      </c>
      <c r="B10" s="971" t="s">
        <v>1582</v>
      </c>
      <c r="C10" s="968" t="s">
        <v>3534</v>
      </c>
      <c r="D10" s="952" t="s">
        <v>3397</v>
      </c>
      <c r="E10" s="989" t="s">
        <v>3398</v>
      </c>
      <c r="F10" s="980" t="s">
        <v>3351</v>
      </c>
      <c r="G10" s="980" t="s">
        <v>3345</v>
      </c>
      <c r="H10" s="980"/>
      <c r="I10" s="950" t="s">
        <v>3554</v>
      </c>
    </row>
    <row r="11" spans="1:9" ht="15" customHeight="1" x14ac:dyDescent="0.2">
      <c r="A11" s="960">
        <v>201</v>
      </c>
      <c r="B11" s="971" t="s">
        <v>3402</v>
      </c>
      <c r="C11" s="968" t="s">
        <v>3534</v>
      </c>
      <c r="D11" s="952" t="s">
        <v>3403</v>
      </c>
      <c r="E11" s="989" t="s">
        <v>3404</v>
      </c>
      <c r="F11" s="980" t="s">
        <v>3351</v>
      </c>
      <c r="G11" s="980" t="s">
        <v>3345</v>
      </c>
      <c r="H11" s="980"/>
      <c r="I11" s="950" t="s">
        <v>3351</v>
      </c>
    </row>
    <row r="12" spans="1:9" ht="15" customHeight="1" x14ac:dyDescent="0.2">
      <c r="A12" s="960">
        <v>204</v>
      </c>
      <c r="B12" s="971" t="s">
        <v>2104</v>
      </c>
      <c r="C12" s="968" t="s">
        <v>3534</v>
      </c>
      <c r="D12" s="952" t="s">
        <v>3409</v>
      </c>
      <c r="E12" s="989" t="s">
        <v>3410</v>
      </c>
      <c r="F12" s="980" t="s">
        <v>3386</v>
      </c>
      <c r="G12" s="980" t="s">
        <v>3345</v>
      </c>
      <c r="H12" s="980"/>
      <c r="I12" s="950" t="s">
        <v>3386</v>
      </c>
    </row>
    <row r="13" spans="1:9" ht="15" customHeight="1" x14ac:dyDescent="0.2">
      <c r="A13" s="960">
        <v>205</v>
      </c>
      <c r="B13" s="971" t="s">
        <v>2241</v>
      </c>
      <c r="C13" s="968" t="s">
        <v>3534</v>
      </c>
      <c r="D13" s="952" t="s">
        <v>1346</v>
      </c>
      <c r="E13" s="989" t="s">
        <v>3411</v>
      </c>
      <c r="F13" s="980" t="s">
        <v>3336</v>
      </c>
      <c r="G13" s="980" t="s">
        <v>3345</v>
      </c>
      <c r="H13" s="980"/>
      <c r="I13" s="950" t="s">
        <v>3554</v>
      </c>
    </row>
    <row r="14" spans="1:9" ht="15" customHeight="1" x14ac:dyDescent="0.2">
      <c r="A14" s="960">
        <v>206</v>
      </c>
      <c r="B14" s="971" t="s">
        <v>2743</v>
      </c>
      <c r="C14" s="968" t="s">
        <v>3534</v>
      </c>
      <c r="D14" s="952" t="s">
        <v>3412</v>
      </c>
      <c r="E14" s="989" t="s">
        <v>3413</v>
      </c>
      <c r="F14" s="980" t="s">
        <v>3386</v>
      </c>
      <c r="G14" s="980" t="s">
        <v>3345</v>
      </c>
      <c r="H14" s="980"/>
      <c r="I14" s="950" t="s">
        <v>3386</v>
      </c>
    </row>
    <row r="15" spans="1:9" ht="15" customHeight="1" x14ac:dyDescent="0.2">
      <c r="A15" s="960">
        <v>207</v>
      </c>
      <c r="B15" s="971" t="s">
        <v>2254</v>
      </c>
      <c r="C15" s="968" t="s">
        <v>3534</v>
      </c>
      <c r="D15" s="952" t="s">
        <v>2748</v>
      </c>
      <c r="E15" s="989" t="s">
        <v>3414</v>
      </c>
      <c r="F15" s="980" t="s">
        <v>3386</v>
      </c>
      <c r="G15" s="980" t="s">
        <v>3345</v>
      </c>
      <c r="H15" s="980"/>
      <c r="I15" s="950" t="s">
        <v>3554</v>
      </c>
    </row>
    <row r="16" spans="1:9" ht="15" customHeight="1" x14ac:dyDescent="0.2">
      <c r="A16" s="960">
        <v>210</v>
      </c>
      <c r="B16" s="971" t="s">
        <v>2505</v>
      </c>
      <c r="C16" s="968" t="s">
        <v>3534</v>
      </c>
      <c r="D16" s="952" t="s">
        <v>3419</v>
      </c>
      <c r="E16" s="989" t="s">
        <v>3420</v>
      </c>
      <c r="F16" s="980" t="s">
        <v>3336</v>
      </c>
      <c r="G16" s="980" t="s">
        <v>3345</v>
      </c>
      <c r="H16" s="980"/>
      <c r="I16" s="950" t="s">
        <v>3554</v>
      </c>
    </row>
    <row r="17" spans="1:11" ht="25.5" x14ac:dyDescent="0.2">
      <c r="A17" s="960">
        <v>211</v>
      </c>
      <c r="B17" s="971" t="s">
        <v>3421</v>
      </c>
      <c r="C17" s="968" t="s">
        <v>3527</v>
      </c>
      <c r="D17" s="952" t="s">
        <v>2221</v>
      </c>
      <c r="E17" s="989" t="s">
        <v>3422</v>
      </c>
      <c r="F17" s="980" t="s">
        <v>3336</v>
      </c>
      <c r="G17" s="980" t="s">
        <v>3345</v>
      </c>
      <c r="H17" s="980" t="s">
        <v>3771</v>
      </c>
      <c r="I17" s="950" t="s">
        <v>3554</v>
      </c>
    </row>
    <row r="18" spans="1:11" ht="32.25" customHeight="1" x14ac:dyDescent="0.2">
      <c r="A18" s="960">
        <v>214</v>
      </c>
      <c r="B18" s="971" t="s">
        <v>919</v>
      </c>
      <c r="C18" s="968" t="s">
        <v>3534</v>
      </c>
      <c r="D18" s="952" t="s">
        <v>3427</v>
      </c>
      <c r="E18" s="989" t="s">
        <v>3428</v>
      </c>
      <c r="F18" s="980" t="s">
        <v>3351</v>
      </c>
      <c r="G18" s="980" t="s">
        <v>3345</v>
      </c>
      <c r="H18" s="980" t="s">
        <v>3643</v>
      </c>
      <c r="I18" s="950" t="s">
        <v>3554</v>
      </c>
    </row>
    <row r="19" spans="1:11" ht="27.75" customHeight="1" x14ac:dyDescent="0.2">
      <c r="A19" s="960">
        <v>220</v>
      </c>
      <c r="B19" s="971" t="s">
        <v>2663</v>
      </c>
      <c r="C19" s="968" t="s">
        <v>3534</v>
      </c>
      <c r="D19" s="952" t="s">
        <v>2664</v>
      </c>
      <c r="E19" s="989" t="s">
        <v>3439</v>
      </c>
      <c r="F19" s="980" t="s">
        <v>3351</v>
      </c>
      <c r="G19" s="980" t="s">
        <v>3345</v>
      </c>
      <c r="H19" s="980"/>
      <c r="I19" s="950" t="s">
        <v>3554</v>
      </c>
    </row>
    <row r="20" spans="1:11" ht="33" customHeight="1" x14ac:dyDescent="0.2">
      <c r="A20" s="960">
        <v>221</v>
      </c>
      <c r="B20" s="971" t="s">
        <v>3440</v>
      </c>
      <c r="C20" s="968" t="s">
        <v>3534</v>
      </c>
      <c r="D20" s="952" t="s">
        <v>3441</v>
      </c>
      <c r="E20" s="989" t="s">
        <v>3442</v>
      </c>
      <c r="F20" s="980" t="s">
        <v>3351</v>
      </c>
      <c r="G20" s="980" t="s">
        <v>3345</v>
      </c>
      <c r="H20" s="980"/>
      <c r="I20" s="950" t="s">
        <v>3351</v>
      </c>
    </row>
    <row r="21" spans="1:11" ht="28.5" customHeight="1" x14ac:dyDescent="0.2">
      <c r="A21" s="960">
        <v>224</v>
      </c>
      <c r="B21" s="971" t="s">
        <v>1878</v>
      </c>
      <c r="C21" s="968" t="s">
        <v>3534</v>
      </c>
      <c r="D21" s="952" t="s">
        <v>3446</v>
      </c>
      <c r="E21" s="989" t="s">
        <v>3447</v>
      </c>
      <c r="F21" s="980" t="s">
        <v>3386</v>
      </c>
      <c r="G21" s="980" t="s">
        <v>3345</v>
      </c>
      <c r="H21" s="980"/>
      <c r="I21" s="950" t="s">
        <v>3554</v>
      </c>
    </row>
    <row r="22" spans="1:11" ht="48" customHeight="1" x14ac:dyDescent="0.2">
      <c r="A22" s="960">
        <v>229</v>
      </c>
      <c r="B22" s="971" t="s">
        <v>2185</v>
      </c>
      <c r="C22" s="968" t="s">
        <v>3526</v>
      </c>
      <c r="D22" s="952" t="s">
        <v>3457</v>
      </c>
      <c r="E22" s="989" t="s">
        <v>3458</v>
      </c>
      <c r="F22" s="980" t="s">
        <v>3351</v>
      </c>
      <c r="G22" s="980" t="s">
        <v>3345</v>
      </c>
      <c r="H22" s="980" t="s">
        <v>3727</v>
      </c>
      <c r="I22" s="950" t="s">
        <v>3554</v>
      </c>
      <c r="J22" s="1014" t="s">
        <v>3736</v>
      </c>
      <c r="K22" s="1014" t="s">
        <v>3741</v>
      </c>
    </row>
    <row r="23" spans="1:11" ht="26.25" customHeight="1" x14ac:dyDescent="0.2">
      <c r="A23" s="960">
        <v>235</v>
      </c>
      <c r="B23" s="971" t="s">
        <v>2157</v>
      </c>
      <c r="C23" s="968" t="s">
        <v>3534</v>
      </c>
      <c r="D23" s="952" t="s">
        <v>3466</v>
      </c>
      <c r="E23" s="989" t="s">
        <v>3467</v>
      </c>
      <c r="F23" s="980" t="s">
        <v>3343</v>
      </c>
      <c r="G23" s="980" t="s">
        <v>3345</v>
      </c>
      <c r="H23" s="980"/>
      <c r="I23" s="950" t="s">
        <v>3554</v>
      </c>
    </row>
    <row r="24" spans="1:11" s="953" customFormat="1" ht="29.25" customHeight="1" x14ac:dyDescent="0.2">
      <c r="A24" s="960">
        <v>244</v>
      </c>
      <c r="B24" s="971" t="s">
        <v>2755</v>
      </c>
      <c r="C24" s="968" t="s">
        <v>3534</v>
      </c>
      <c r="D24" s="952" t="s">
        <v>2756</v>
      </c>
      <c r="E24" s="989" t="s">
        <v>3481</v>
      </c>
      <c r="F24" s="980" t="s">
        <v>3478</v>
      </c>
      <c r="G24" s="980" t="s">
        <v>3345</v>
      </c>
      <c r="H24" s="980"/>
      <c r="I24" s="950" t="s">
        <v>3554</v>
      </c>
    </row>
    <row r="25" spans="1:11" s="953" customFormat="1" ht="15" customHeight="1" x14ac:dyDescent="0.2">
      <c r="A25" s="960">
        <v>5</v>
      </c>
      <c r="B25" s="967" t="s">
        <v>249</v>
      </c>
      <c r="C25" s="968" t="s">
        <v>3527</v>
      </c>
      <c r="D25" s="952" t="s">
        <v>3112</v>
      </c>
      <c r="E25" s="950"/>
      <c r="F25" s="980"/>
      <c r="G25" s="950"/>
      <c r="H25" s="980"/>
      <c r="I25" s="950"/>
    </row>
    <row r="26" spans="1:11" ht="15" customHeight="1" x14ac:dyDescent="0.2">
      <c r="A26" s="960">
        <v>6</v>
      </c>
      <c r="B26" s="968" t="s">
        <v>288</v>
      </c>
      <c r="C26" s="968" t="s">
        <v>3527</v>
      </c>
      <c r="D26" s="952" t="s">
        <v>3113</v>
      </c>
      <c r="E26" s="950"/>
      <c r="F26" s="980"/>
      <c r="G26" s="950"/>
      <c r="H26" s="980"/>
      <c r="I26" s="950"/>
    </row>
    <row r="27" spans="1:11" ht="15" customHeight="1" x14ac:dyDescent="0.2">
      <c r="A27" s="960">
        <v>12</v>
      </c>
      <c r="B27" s="968" t="s">
        <v>1595</v>
      </c>
      <c r="C27" s="968" t="s">
        <v>3527</v>
      </c>
      <c r="D27" s="952" t="s">
        <v>3119</v>
      </c>
      <c r="E27" s="950"/>
      <c r="F27" s="980"/>
      <c r="G27" s="950"/>
      <c r="H27" s="980"/>
      <c r="I27" s="950"/>
    </row>
    <row r="28" spans="1:11" ht="15" customHeight="1" x14ac:dyDescent="0.2">
      <c r="A28" s="960">
        <v>13</v>
      </c>
      <c r="B28" s="968" t="s">
        <v>245</v>
      </c>
      <c r="C28" s="968" t="s">
        <v>3527</v>
      </c>
      <c r="D28" s="952" t="s">
        <v>3120</v>
      </c>
      <c r="E28" s="950"/>
      <c r="F28" s="980"/>
      <c r="G28" s="950"/>
      <c r="H28" s="980"/>
      <c r="I28" s="950"/>
    </row>
    <row r="29" spans="1:11" ht="24" customHeight="1" x14ac:dyDescent="0.2">
      <c r="A29" s="960">
        <v>14</v>
      </c>
      <c r="B29" s="968" t="s">
        <v>125</v>
      </c>
      <c r="C29" s="968" t="s">
        <v>3527</v>
      </c>
      <c r="D29" s="952" t="s">
        <v>3121</v>
      </c>
      <c r="E29" s="950"/>
      <c r="F29" s="980"/>
      <c r="G29" s="950"/>
      <c r="H29" s="980"/>
      <c r="I29" s="950"/>
    </row>
    <row r="30" spans="1:11" ht="28.5" customHeight="1" x14ac:dyDescent="0.2">
      <c r="A30" s="960">
        <v>15</v>
      </c>
      <c r="B30" s="968" t="s">
        <v>218</v>
      </c>
      <c r="C30" s="968" t="s">
        <v>3527</v>
      </c>
      <c r="D30" s="952" t="s">
        <v>3122</v>
      </c>
      <c r="E30" s="950"/>
      <c r="F30" s="980"/>
      <c r="G30" s="950"/>
      <c r="H30" s="980"/>
      <c r="I30" s="950"/>
    </row>
    <row r="31" spans="1:11" ht="26.25" customHeight="1" x14ac:dyDescent="0.2">
      <c r="A31" s="960">
        <v>16</v>
      </c>
      <c r="B31" s="968" t="s">
        <v>1495</v>
      </c>
      <c r="C31" s="968" t="s">
        <v>3527</v>
      </c>
      <c r="D31" s="952" t="s">
        <v>3123</v>
      </c>
      <c r="E31" s="950"/>
      <c r="F31" s="980"/>
      <c r="G31" s="950" t="s">
        <v>3124</v>
      </c>
      <c r="H31" s="980"/>
      <c r="I31" s="950"/>
    </row>
    <row r="32" spans="1:11" ht="15" customHeight="1" x14ac:dyDescent="0.2">
      <c r="A32" s="960">
        <v>19</v>
      </c>
      <c r="B32" s="968" t="s">
        <v>183</v>
      </c>
      <c r="C32" s="968" t="s">
        <v>3527</v>
      </c>
      <c r="D32" s="952" t="s">
        <v>3129</v>
      </c>
      <c r="E32" s="950"/>
      <c r="F32" s="980"/>
      <c r="G32" s="950"/>
      <c r="H32" s="980"/>
      <c r="I32" s="950"/>
    </row>
    <row r="33" spans="1:9" ht="15" customHeight="1" x14ac:dyDescent="0.2">
      <c r="A33" s="960">
        <v>24</v>
      </c>
      <c r="B33" s="971" t="s">
        <v>232</v>
      </c>
      <c r="C33" s="968" t="s">
        <v>3527</v>
      </c>
      <c r="D33" s="970" t="s">
        <v>3134</v>
      </c>
      <c r="E33" s="988"/>
      <c r="F33" s="982"/>
      <c r="G33" s="988"/>
      <c r="H33" s="980"/>
      <c r="I33" s="950"/>
    </row>
    <row r="34" spans="1:9" ht="15" customHeight="1" x14ac:dyDescent="0.2">
      <c r="A34" s="960">
        <v>4</v>
      </c>
      <c r="B34" s="968" t="s">
        <v>1952</v>
      </c>
      <c r="C34" s="968" t="s">
        <v>3527</v>
      </c>
      <c r="D34" s="952" t="s">
        <v>3144</v>
      </c>
      <c r="E34" s="950"/>
      <c r="F34" s="980"/>
      <c r="G34" s="950"/>
      <c r="H34" s="980"/>
      <c r="I34" s="950"/>
    </row>
    <row r="35" spans="1:9" ht="24.75" customHeight="1" x14ac:dyDescent="0.2">
      <c r="A35" s="960">
        <v>8</v>
      </c>
      <c r="B35" s="968" t="s">
        <v>3148</v>
      </c>
      <c r="C35" s="968" t="s">
        <v>3527</v>
      </c>
      <c r="D35" s="952" t="s">
        <v>3149</v>
      </c>
      <c r="E35" s="950"/>
      <c r="F35" s="980"/>
      <c r="G35" s="950"/>
      <c r="H35" s="980"/>
      <c r="I35" s="950"/>
    </row>
    <row r="36" spans="1:9" ht="15" customHeight="1" x14ac:dyDescent="0.2">
      <c r="A36" s="960">
        <v>20</v>
      </c>
      <c r="B36" s="968" t="s">
        <v>240</v>
      </c>
      <c r="C36" s="968" t="s">
        <v>3527</v>
      </c>
      <c r="D36" s="952" t="s">
        <v>3116</v>
      </c>
      <c r="E36" s="950"/>
      <c r="F36" s="980"/>
      <c r="G36" s="950"/>
      <c r="H36" s="980"/>
      <c r="I36" s="950"/>
    </row>
    <row r="37" spans="1:9" ht="15" customHeight="1" x14ac:dyDescent="0.2">
      <c r="A37" s="960">
        <v>25</v>
      </c>
      <c r="B37" s="968" t="s">
        <v>85</v>
      </c>
      <c r="C37" s="968" t="s">
        <v>3527</v>
      </c>
      <c r="D37" s="952" t="s">
        <v>3166</v>
      </c>
      <c r="E37" s="950"/>
      <c r="F37" s="980"/>
      <c r="G37" s="950"/>
      <c r="H37" s="980"/>
      <c r="I37" s="950"/>
    </row>
    <row r="38" spans="1:9" ht="15" customHeight="1" x14ac:dyDescent="0.2">
      <c r="A38" s="960">
        <v>33</v>
      </c>
      <c r="B38" s="968" t="s">
        <v>218</v>
      </c>
      <c r="C38" s="968" t="s">
        <v>3527</v>
      </c>
      <c r="D38" s="952" t="s">
        <v>3122</v>
      </c>
      <c r="E38" s="950"/>
      <c r="F38" s="980"/>
      <c r="G38" s="950" t="s">
        <v>3173</v>
      </c>
      <c r="H38" s="980"/>
      <c r="I38" s="950"/>
    </row>
    <row r="39" spans="1:9" ht="15" customHeight="1" x14ac:dyDescent="0.2">
      <c r="A39" s="960">
        <v>34</v>
      </c>
      <c r="B39" s="968" t="s">
        <v>1367</v>
      </c>
      <c r="C39" s="968" t="s">
        <v>3527</v>
      </c>
      <c r="D39" s="952" t="s">
        <v>3174</v>
      </c>
      <c r="E39" s="950"/>
      <c r="F39" s="980"/>
      <c r="G39" s="950"/>
      <c r="H39" s="980"/>
      <c r="I39" s="950"/>
    </row>
    <row r="40" spans="1:9" ht="15" customHeight="1" x14ac:dyDescent="0.2">
      <c r="A40" s="960">
        <v>35</v>
      </c>
      <c r="B40" s="968" t="s">
        <v>3175</v>
      </c>
      <c r="C40" s="968" t="s">
        <v>3527</v>
      </c>
      <c r="D40" s="952" t="s">
        <v>3158</v>
      </c>
      <c r="E40" s="950"/>
      <c r="F40" s="980"/>
      <c r="G40" s="950"/>
      <c r="H40" s="980"/>
      <c r="I40" s="950"/>
    </row>
    <row r="41" spans="1:9" ht="15" customHeight="1" x14ac:dyDescent="0.2">
      <c r="A41" s="960">
        <v>36</v>
      </c>
      <c r="B41" s="968" t="s">
        <v>1101</v>
      </c>
      <c r="C41" s="968" t="s">
        <v>3527</v>
      </c>
      <c r="D41" s="952" t="s">
        <v>3176</v>
      </c>
      <c r="E41" s="950"/>
      <c r="F41" s="980"/>
      <c r="G41" s="950"/>
      <c r="H41" s="980"/>
      <c r="I41" s="950"/>
    </row>
    <row r="42" spans="1:9" ht="15" customHeight="1" x14ac:dyDescent="0.2">
      <c r="A42" s="960">
        <v>41</v>
      </c>
      <c r="B42" s="968" t="s">
        <v>187</v>
      </c>
      <c r="C42" s="968" t="s">
        <v>3527</v>
      </c>
      <c r="D42" s="952" t="s">
        <v>3182</v>
      </c>
      <c r="E42" s="950"/>
      <c r="F42" s="980"/>
      <c r="G42" s="950"/>
      <c r="H42" s="980"/>
      <c r="I42" s="950"/>
    </row>
    <row r="43" spans="1:9" ht="15" customHeight="1" x14ac:dyDescent="0.2">
      <c r="A43" s="960">
        <v>49</v>
      </c>
      <c r="B43" s="968" t="s">
        <v>268</v>
      </c>
      <c r="C43" s="968" t="s">
        <v>3527</v>
      </c>
      <c r="D43" s="952" t="s">
        <v>3189</v>
      </c>
      <c r="E43" s="950"/>
      <c r="F43" s="980"/>
      <c r="G43" s="950"/>
      <c r="H43" s="980"/>
      <c r="I43" s="950"/>
    </row>
    <row r="44" spans="1:9" ht="15" customHeight="1" x14ac:dyDescent="0.2">
      <c r="A44" s="960">
        <v>50</v>
      </c>
      <c r="B44" s="968" t="s">
        <v>3190</v>
      </c>
      <c r="C44" s="968" t="s">
        <v>3527</v>
      </c>
      <c r="D44" s="952" t="s">
        <v>3191</v>
      </c>
      <c r="E44" s="950"/>
      <c r="F44" s="980"/>
      <c r="G44" s="950"/>
      <c r="H44" s="980"/>
      <c r="I44" s="950"/>
    </row>
    <row r="45" spans="1:9" ht="15" customHeight="1" x14ac:dyDescent="0.2">
      <c r="A45" s="960">
        <v>51</v>
      </c>
      <c r="B45" s="968" t="s">
        <v>1502</v>
      </c>
      <c r="C45" s="968" t="s">
        <v>3527</v>
      </c>
      <c r="D45" s="952" t="s">
        <v>3192</v>
      </c>
      <c r="E45" s="950"/>
      <c r="F45" s="980"/>
      <c r="G45" s="950"/>
      <c r="H45" s="980"/>
      <c r="I45" s="950"/>
    </row>
    <row r="46" spans="1:9" ht="15" customHeight="1" x14ac:dyDescent="0.2">
      <c r="A46" s="960">
        <v>57</v>
      </c>
      <c r="B46" s="968" t="s">
        <v>264</v>
      </c>
      <c r="C46" s="968" t="s">
        <v>3527</v>
      </c>
      <c r="D46" s="952" t="s">
        <v>3114</v>
      </c>
      <c r="E46" s="950"/>
      <c r="F46" s="980"/>
      <c r="G46" s="950"/>
      <c r="H46" s="980"/>
      <c r="I46" s="950"/>
    </row>
    <row r="47" spans="1:9" ht="15" customHeight="1" x14ac:dyDescent="0.2">
      <c r="A47" s="960">
        <v>67</v>
      </c>
      <c r="B47" s="968" t="s">
        <v>2202</v>
      </c>
      <c r="C47" s="968" t="s">
        <v>3527</v>
      </c>
      <c r="D47" s="952" t="s">
        <v>3205</v>
      </c>
      <c r="E47" s="950"/>
      <c r="F47" s="980"/>
      <c r="G47" s="950" t="s">
        <v>3647</v>
      </c>
      <c r="H47" s="980" t="s">
        <v>3557</v>
      </c>
      <c r="I47" s="950" t="s">
        <v>3343</v>
      </c>
    </row>
    <row r="48" spans="1:9" ht="15" customHeight="1" x14ac:dyDescent="0.2">
      <c r="A48" s="960">
        <v>73</v>
      </c>
      <c r="B48" s="968" t="s">
        <v>1549</v>
      </c>
      <c r="C48" s="968" t="s">
        <v>3527</v>
      </c>
      <c r="D48" s="952" t="s">
        <v>3210</v>
      </c>
      <c r="E48" s="950"/>
      <c r="F48" s="980"/>
      <c r="G48" s="950"/>
      <c r="H48" s="980"/>
      <c r="I48" s="950"/>
    </row>
    <row r="49" spans="1:9" ht="25.5" customHeight="1" x14ac:dyDescent="0.2">
      <c r="A49" s="960">
        <v>74</v>
      </c>
      <c r="B49" s="968" t="s">
        <v>1601</v>
      </c>
      <c r="C49" s="968" t="s">
        <v>3527</v>
      </c>
      <c r="D49" s="952" t="s">
        <v>3211</v>
      </c>
      <c r="E49" s="950"/>
      <c r="F49" s="980"/>
      <c r="G49" s="950"/>
      <c r="H49" s="980"/>
      <c r="I49" s="950"/>
    </row>
    <row r="50" spans="1:9" ht="15" customHeight="1" x14ac:dyDescent="0.2">
      <c r="A50" s="960">
        <v>78</v>
      </c>
      <c r="B50" s="968" t="s">
        <v>3214</v>
      </c>
      <c r="C50" s="968" t="s">
        <v>3527</v>
      </c>
      <c r="D50" s="952" t="s">
        <v>3215</v>
      </c>
      <c r="E50" s="950"/>
      <c r="F50" s="980"/>
      <c r="G50" s="950"/>
      <c r="H50" s="980"/>
      <c r="I50" s="950"/>
    </row>
    <row r="51" spans="1:9" ht="15" customHeight="1" x14ac:dyDescent="0.2">
      <c r="A51" s="960">
        <v>80</v>
      </c>
      <c r="B51" s="968" t="s">
        <v>3217</v>
      </c>
      <c r="C51" s="968" t="s">
        <v>3527</v>
      </c>
      <c r="D51" s="970" t="s">
        <v>3119</v>
      </c>
      <c r="E51" s="950"/>
      <c r="F51" s="980"/>
      <c r="G51" s="950"/>
      <c r="H51" s="980"/>
      <c r="I51" s="950"/>
    </row>
    <row r="52" spans="1:9" ht="15" customHeight="1" x14ac:dyDescent="0.2">
      <c r="A52" s="960">
        <v>82</v>
      </c>
      <c r="B52" s="968" t="s">
        <v>3219</v>
      </c>
      <c r="C52" s="968" t="s">
        <v>3527</v>
      </c>
      <c r="D52" s="952" t="s">
        <v>3195</v>
      </c>
      <c r="E52" s="950"/>
      <c r="F52" s="980"/>
      <c r="G52" s="950"/>
      <c r="H52" s="980"/>
      <c r="I52" s="950"/>
    </row>
    <row r="53" spans="1:9" ht="15" customHeight="1" x14ac:dyDescent="0.2">
      <c r="A53" s="960">
        <v>85</v>
      </c>
      <c r="B53" s="968" t="s">
        <v>3221</v>
      </c>
      <c r="C53" s="968" t="s">
        <v>3527</v>
      </c>
      <c r="D53" s="952" t="s">
        <v>3222</v>
      </c>
      <c r="E53" s="950"/>
      <c r="F53" s="980"/>
      <c r="G53" s="950"/>
      <c r="H53" s="980"/>
      <c r="I53" s="950"/>
    </row>
    <row r="54" spans="1:9" ht="15" customHeight="1" x14ac:dyDescent="0.2">
      <c r="A54" s="960">
        <v>86</v>
      </c>
      <c r="B54" s="968" t="s">
        <v>3223</v>
      </c>
      <c r="C54" s="968" t="s">
        <v>3527</v>
      </c>
      <c r="D54" s="952" t="s">
        <v>3224</v>
      </c>
      <c r="E54" s="950"/>
      <c r="F54" s="980"/>
      <c r="G54" s="950"/>
      <c r="H54" s="980"/>
      <c r="I54" s="950"/>
    </row>
    <row r="55" spans="1:9" ht="15" customHeight="1" x14ac:dyDescent="0.2">
      <c r="A55" s="960">
        <v>87</v>
      </c>
      <c r="B55" s="968" t="s">
        <v>3225</v>
      </c>
      <c r="C55" s="968" t="s">
        <v>3527</v>
      </c>
      <c r="D55" s="952" t="s">
        <v>3132</v>
      </c>
      <c r="E55" s="950"/>
      <c r="F55" s="980"/>
      <c r="G55" s="950"/>
      <c r="H55" s="980"/>
      <c r="I55" s="950"/>
    </row>
    <row r="56" spans="1:9" ht="15" customHeight="1" x14ac:dyDescent="0.2">
      <c r="A56" s="960">
        <v>88</v>
      </c>
      <c r="B56" s="968" t="s">
        <v>3226</v>
      </c>
      <c r="C56" s="968" t="s">
        <v>3527</v>
      </c>
      <c r="D56" s="952" t="s">
        <v>3170</v>
      </c>
      <c r="E56" s="950"/>
      <c r="F56" s="980"/>
      <c r="G56" s="950"/>
      <c r="H56" s="980"/>
      <c r="I56" s="950"/>
    </row>
    <row r="57" spans="1:9" ht="15" customHeight="1" x14ac:dyDescent="0.2">
      <c r="A57" s="960">
        <v>89</v>
      </c>
      <c r="B57" s="968" t="s">
        <v>3227</v>
      </c>
      <c r="C57" s="968" t="s">
        <v>3527</v>
      </c>
      <c r="D57" s="952" t="s">
        <v>3171</v>
      </c>
      <c r="E57" s="950"/>
      <c r="F57" s="980"/>
      <c r="G57" s="950" t="s">
        <v>3228</v>
      </c>
      <c r="H57" s="980"/>
      <c r="I57" s="950"/>
    </row>
    <row r="58" spans="1:9" ht="15" customHeight="1" x14ac:dyDescent="0.2">
      <c r="A58" s="960">
        <v>90</v>
      </c>
      <c r="B58" s="968" t="s">
        <v>3229</v>
      </c>
      <c r="C58" s="968" t="s">
        <v>3527</v>
      </c>
      <c r="D58" s="952" t="s">
        <v>3230</v>
      </c>
      <c r="E58" s="950"/>
      <c r="F58" s="980"/>
      <c r="G58" s="950" t="s">
        <v>3231</v>
      </c>
      <c r="H58" s="980"/>
      <c r="I58" s="950"/>
    </row>
    <row r="59" spans="1:9" ht="15" customHeight="1" x14ac:dyDescent="0.2">
      <c r="A59" s="960">
        <v>91</v>
      </c>
      <c r="B59" s="968" t="s">
        <v>3232</v>
      </c>
      <c r="C59" s="968" t="s">
        <v>3527</v>
      </c>
      <c r="D59" s="952" t="s">
        <v>3233</v>
      </c>
      <c r="E59" s="950"/>
      <c r="F59" s="980"/>
      <c r="G59" s="950"/>
      <c r="H59" s="980"/>
      <c r="I59" s="950"/>
    </row>
    <row r="60" spans="1:9" ht="15" customHeight="1" x14ac:dyDescent="0.2">
      <c r="A60" s="960">
        <v>93</v>
      </c>
      <c r="B60" s="968" t="s">
        <v>3235</v>
      </c>
      <c r="C60" s="968" t="s">
        <v>3527</v>
      </c>
      <c r="D60" s="952" t="s">
        <v>3236</v>
      </c>
      <c r="E60" s="950"/>
      <c r="F60" s="980"/>
      <c r="G60" s="950"/>
      <c r="H60" s="980"/>
      <c r="I60" s="950"/>
    </row>
    <row r="61" spans="1:9" ht="31.5" customHeight="1" x14ac:dyDescent="0.2">
      <c r="A61" s="960">
        <v>94</v>
      </c>
      <c r="B61" s="968" t="s">
        <v>3237</v>
      </c>
      <c r="C61" s="968" t="s">
        <v>3527</v>
      </c>
      <c r="D61" s="952" t="s">
        <v>3238</v>
      </c>
      <c r="E61" s="950"/>
      <c r="F61" s="980"/>
      <c r="G61" s="950"/>
      <c r="H61" s="980"/>
      <c r="I61" s="950"/>
    </row>
    <row r="62" spans="1:9" ht="15" customHeight="1" x14ac:dyDescent="0.2">
      <c r="A62" s="960">
        <v>95</v>
      </c>
      <c r="B62" s="968" t="s">
        <v>246</v>
      </c>
      <c r="C62" s="968" t="s">
        <v>3527</v>
      </c>
      <c r="D62" s="952" t="s">
        <v>3239</v>
      </c>
      <c r="E62" s="950"/>
      <c r="F62" s="980"/>
      <c r="G62" s="950"/>
      <c r="H62" s="980"/>
      <c r="I62" s="950"/>
    </row>
    <row r="63" spans="1:9" ht="15" customHeight="1" x14ac:dyDescent="0.2">
      <c r="A63" s="960">
        <v>96</v>
      </c>
      <c r="B63" s="968" t="s">
        <v>3240</v>
      </c>
      <c r="C63" s="968" t="s">
        <v>3527</v>
      </c>
      <c r="D63" s="970" t="s">
        <v>3241</v>
      </c>
      <c r="E63" s="950"/>
      <c r="F63" s="980"/>
      <c r="G63" s="950"/>
      <c r="H63" s="980"/>
      <c r="I63" s="950"/>
    </row>
    <row r="64" spans="1:9" ht="15" customHeight="1" x14ac:dyDescent="0.2">
      <c r="A64" s="960">
        <v>98</v>
      </c>
      <c r="B64" s="968" t="s">
        <v>3244</v>
      </c>
      <c r="C64" s="968" t="s">
        <v>3527</v>
      </c>
      <c r="D64" s="952" t="s">
        <v>3245</v>
      </c>
      <c r="E64" s="950"/>
      <c r="F64" s="980"/>
      <c r="G64" s="950"/>
      <c r="H64" s="980"/>
      <c r="I64" s="950"/>
    </row>
    <row r="65" spans="1:9" ht="15" customHeight="1" x14ac:dyDescent="0.2">
      <c r="A65" s="960">
        <v>99</v>
      </c>
      <c r="B65" s="968" t="s">
        <v>3246</v>
      </c>
      <c r="C65" s="968" t="s">
        <v>3527</v>
      </c>
      <c r="D65" s="952" t="s">
        <v>3247</v>
      </c>
      <c r="E65" s="950"/>
      <c r="F65" s="980"/>
      <c r="G65" s="950" t="s">
        <v>3248</v>
      </c>
      <c r="H65" s="980"/>
      <c r="I65" s="950"/>
    </row>
    <row r="66" spans="1:9" ht="15" customHeight="1" x14ac:dyDescent="0.2">
      <c r="A66" s="960">
        <v>100</v>
      </c>
      <c r="B66" s="968" t="s">
        <v>3249</v>
      </c>
      <c r="C66" s="968" t="s">
        <v>3527</v>
      </c>
      <c r="D66" s="952" t="s">
        <v>3250</v>
      </c>
      <c r="E66" s="950"/>
      <c r="F66" s="980"/>
      <c r="G66" s="950"/>
      <c r="H66" s="980"/>
      <c r="I66" s="950"/>
    </row>
    <row r="67" spans="1:9" ht="15" customHeight="1" x14ac:dyDescent="0.2">
      <c r="A67" s="960">
        <v>107</v>
      </c>
      <c r="B67" s="968" t="s">
        <v>3257</v>
      </c>
      <c r="C67" s="968" t="s">
        <v>3527</v>
      </c>
      <c r="D67" s="952" t="s">
        <v>3258</v>
      </c>
      <c r="E67" s="950"/>
      <c r="F67" s="980"/>
      <c r="G67" s="950"/>
      <c r="H67" s="980"/>
      <c r="I67" s="950"/>
    </row>
    <row r="68" spans="1:9" ht="23.25" customHeight="1" x14ac:dyDescent="0.2">
      <c r="A68" s="960">
        <v>108</v>
      </c>
      <c r="B68" s="968" t="s">
        <v>3259</v>
      </c>
      <c r="C68" s="968" t="s">
        <v>3527</v>
      </c>
      <c r="D68" s="952" t="s">
        <v>3260</v>
      </c>
      <c r="E68" s="950"/>
      <c r="F68" s="980"/>
      <c r="G68" s="950"/>
      <c r="H68" s="980"/>
      <c r="I68" s="950"/>
    </row>
    <row r="69" spans="1:9" ht="15" customHeight="1" x14ac:dyDescent="0.2">
      <c r="A69" s="960">
        <v>109</v>
      </c>
      <c r="B69" s="968" t="s">
        <v>3261</v>
      </c>
      <c r="C69" s="968" t="s">
        <v>3527</v>
      </c>
      <c r="D69" s="952" t="s">
        <v>3262</v>
      </c>
      <c r="E69" s="950"/>
      <c r="F69" s="980"/>
      <c r="G69" s="950"/>
      <c r="H69" s="980"/>
      <c r="I69" s="950"/>
    </row>
    <row r="70" spans="1:9" ht="15" customHeight="1" x14ac:dyDescent="0.2">
      <c r="A70" s="960">
        <v>110</v>
      </c>
      <c r="B70" s="968" t="s">
        <v>3263</v>
      </c>
      <c r="C70" s="968" t="s">
        <v>3527</v>
      </c>
      <c r="D70" s="952" t="s">
        <v>3264</v>
      </c>
      <c r="E70" s="950"/>
      <c r="F70" s="980"/>
      <c r="G70" s="950"/>
      <c r="H70" s="980"/>
      <c r="I70" s="950"/>
    </row>
    <row r="71" spans="1:9" ht="27.75" customHeight="1" x14ac:dyDescent="0.2">
      <c r="A71" s="960">
        <v>111</v>
      </c>
      <c r="B71" s="968" t="s">
        <v>3265</v>
      </c>
      <c r="C71" s="968" t="s">
        <v>3534</v>
      </c>
      <c r="D71" s="952" t="s">
        <v>3266</v>
      </c>
      <c r="E71" s="950"/>
      <c r="F71" s="980"/>
      <c r="G71" s="950" t="s">
        <v>3658</v>
      </c>
      <c r="H71" s="980"/>
      <c r="I71" s="950"/>
    </row>
    <row r="72" spans="1:9" ht="15" customHeight="1" x14ac:dyDescent="0.2">
      <c r="A72" s="960">
        <v>113</v>
      </c>
      <c r="B72" s="968" t="s">
        <v>1606</v>
      </c>
      <c r="C72" s="968" t="s">
        <v>3527</v>
      </c>
      <c r="D72" s="952" t="s">
        <v>3267</v>
      </c>
      <c r="E72" s="950"/>
      <c r="F72" s="980"/>
      <c r="G72" s="950"/>
      <c r="H72" s="980"/>
      <c r="I72" s="950"/>
    </row>
    <row r="73" spans="1:9" ht="15" customHeight="1" x14ac:dyDescent="0.2">
      <c r="A73" s="960">
        <v>114</v>
      </c>
      <c r="B73" s="968" t="s">
        <v>239</v>
      </c>
      <c r="C73" s="968" t="s">
        <v>3527</v>
      </c>
      <c r="D73" s="952" t="s">
        <v>3268</v>
      </c>
      <c r="E73" s="950"/>
      <c r="F73" s="980"/>
      <c r="G73" s="950"/>
      <c r="H73" s="980"/>
      <c r="I73" s="950"/>
    </row>
    <row r="74" spans="1:9" ht="15" customHeight="1" x14ac:dyDescent="0.2">
      <c r="A74" s="960">
        <v>116</v>
      </c>
      <c r="B74" s="968" t="s">
        <v>3270</v>
      </c>
      <c r="C74" s="968" t="s">
        <v>3527</v>
      </c>
      <c r="D74" s="952" t="s">
        <v>3230</v>
      </c>
      <c r="E74" s="950"/>
      <c r="F74" s="980"/>
      <c r="G74" s="950"/>
      <c r="H74" s="980"/>
      <c r="I74" s="950"/>
    </row>
    <row r="75" spans="1:9" ht="15" customHeight="1" x14ac:dyDescent="0.2">
      <c r="A75" s="960">
        <v>117</v>
      </c>
      <c r="B75" s="968" t="s">
        <v>3271</v>
      </c>
      <c r="C75" s="968" t="s">
        <v>3527</v>
      </c>
      <c r="D75" s="952" t="s">
        <v>3272</v>
      </c>
      <c r="E75" s="950"/>
      <c r="F75" s="980"/>
      <c r="G75" s="950"/>
      <c r="H75" s="980"/>
      <c r="I75" s="950"/>
    </row>
    <row r="76" spans="1:9" ht="15" customHeight="1" x14ac:dyDescent="0.2">
      <c r="A76" s="960">
        <v>121</v>
      </c>
      <c r="B76" s="968" t="s">
        <v>3276</v>
      </c>
      <c r="C76" s="968" t="s">
        <v>3527</v>
      </c>
      <c r="D76" s="952" t="s">
        <v>3277</v>
      </c>
      <c r="E76" s="950"/>
      <c r="F76" s="980"/>
      <c r="G76" s="950"/>
      <c r="H76" s="980"/>
      <c r="I76" s="950"/>
    </row>
    <row r="77" spans="1:9" ht="15" customHeight="1" x14ac:dyDescent="0.2">
      <c r="A77" s="960">
        <v>123</v>
      </c>
      <c r="B77" s="968" t="s">
        <v>3279</v>
      </c>
      <c r="C77" s="968" t="s">
        <v>3527</v>
      </c>
      <c r="D77" s="952" t="s">
        <v>3280</v>
      </c>
      <c r="E77" s="950"/>
      <c r="F77" s="980"/>
      <c r="G77" s="950"/>
      <c r="H77" s="980"/>
      <c r="I77" s="950"/>
    </row>
    <row r="78" spans="1:9" ht="15" customHeight="1" x14ac:dyDescent="0.2">
      <c r="A78" s="960">
        <v>124</v>
      </c>
      <c r="B78" s="968" t="s">
        <v>3281</v>
      </c>
      <c r="C78" s="968" t="s">
        <v>3527</v>
      </c>
      <c r="D78" s="952" t="s">
        <v>3282</v>
      </c>
      <c r="E78" s="950"/>
      <c r="F78" s="980"/>
      <c r="G78" s="950"/>
      <c r="H78" s="980"/>
      <c r="I78" s="950"/>
    </row>
    <row r="79" spans="1:9" ht="15" customHeight="1" x14ac:dyDescent="0.2">
      <c r="A79" s="960">
        <v>125</v>
      </c>
      <c r="B79" s="968" t="s">
        <v>3283</v>
      </c>
      <c r="C79" s="968" t="s">
        <v>3527</v>
      </c>
      <c r="D79" s="952" t="s">
        <v>3284</v>
      </c>
      <c r="E79" s="950"/>
      <c r="F79" s="980"/>
      <c r="G79" s="950"/>
      <c r="H79" s="980"/>
      <c r="I79" s="950"/>
    </row>
    <row r="80" spans="1:9" ht="15" customHeight="1" x14ac:dyDescent="0.2">
      <c r="A80" s="960">
        <v>134</v>
      </c>
      <c r="B80" s="968" t="s">
        <v>3288</v>
      </c>
      <c r="C80" s="968" t="s">
        <v>3527</v>
      </c>
      <c r="D80" s="952" t="s">
        <v>3289</v>
      </c>
      <c r="E80" s="950"/>
      <c r="F80" s="980"/>
      <c r="G80" s="950"/>
      <c r="H80" s="980"/>
      <c r="I80" s="950"/>
    </row>
    <row r="81" spans="1:9" ht="15" customHeight="1" x14ac:dyDescent="0.2">
      <c r="A81" s="960">
        <v>135</v>
      </c>
      <c r="B81" s="968" t="s">
        <v>3290</v>
      </c>
      <c r="C81" s="968" t="s">
        <v>3527</v>
      </c>
      <c r="D81" s="952" t="s">
        <v>3291</v>
      </c>
      <c r="E81" s="950"/>
      <c r="F81" s="980"/>
      <c r="G81" s="950"/>
      <c r="H81" s="980"/>
      <c r="I81" s="950"/>
    </row>
    <row r="82" spans="1:9" ht="15" customHeight="1" x14ac:dyDescent="0.2">
      <c r="A82" s="960">
        <v>139</v>
      </c>
      <c r="B82" s="968" t="s">
        <v>3295</v>
      </c>
      <c r="C82" s="968" t="s">
        <v>3527</v>
      </c>
      <c r="D82" s="952" t="s">
        <v>3296</v>
      </c>
      <c r="E82" s="950"/>
      <c r="F82" s="980"/>
      <c r="G82" s="950"/>
      <c r="H82" s="980"/>
      <c r="I82" s="950"/>
    </row>
    <row r="83" spans="1:9" ht="15" customHeight="1" x14ac:dyDescent="0.2">
      <c r="A83" s="960">
        <v>140</v>
      </c>
      <c r="B83" s="968" t="s">
        <v>3297</v>
      </c>
      <c r="C83" s="968" t="s">
        <v>3527</v>
      </c>
      <c r="D83" s="952" t="s">
        <v>3298</v>
      </c>
      <c r="E83" s="950"/>
      <c r="F83" s="980"/>
      <c r="G83" s="950"/>
      <c r="H83" s="980"/>
      <c r="I83" s="950"/>
    </row>
    <row r="84" spans="1:9" ht="15" customHeight="1" x14ac:dyDescent="0.2">
      <c r="A84" s="960">
        <v>141</v>
      </c>
      <c r="B84" s="968" t="s">
        <v>3299</v>
      </c>
      <c r="C84" s="968" t="s">
        <v>3527</v>
      </c>
      <c r="D84" s="952" t="s">
        <v>3149</v>
      </c>
      <c r="E84" s="950"/>
      <c r="F84" s="980"/>
      <c r="G84" s="950"/>
      <c r="H84" s="980"/>
      <c r="I84" s="950"/>
    </row>
    <row r="85" spans="1:9" ht="15" customHeight="1" x14ac:dyDescent="0.2">
      <c r="A85" s="960">
        <v>142</v>
      </c>
      <c r="B85" s="968" t="s">
        <v>78</v>
      </c>
      <c r="C85" s="968" t="s">
        <v>3527</v>
      </c>
      <c r="D85" s="952" t="s">
        <v>3300</v>
      </c>
      <c r="E85" s="950"/>
      <c r="F85" s="980"/>
      <c r="G85" s="950" t="s">
        <v>3578</v>
      </c>
      <c r="H85" s="980"/>
      <c r="I85" s="950"/>
    </row>
    <row r="86" spans="1:9" ht="15" customHeight="1" x14ac:dyDescent="0.2">
      <c r="A86" s="960">
        <v>143</v>
      </c>
      <c r="B86" s="968" t="s">
        <v>3301</v>
      </c>
      <c r="C86" s="968" t="s">
        <v>3527</v>
      </c>
      <c r="D86" s="952" t="s">
        <v>3302</v>
      </c>
      <c r="E86" s="950"/>
      <c r="F86" s="980"/>
      <c r="G86" s="950"/>
      <c r="H86" s="980"/>
      <c r="I86" s="950"/>
    </row>
    <row r="87" spans="1:9" ht="15" customHeight="1" x14ac:dyDescent="0.2">
      <c r="A87" s="960">
        <v>144</v>
      </c>
      <c r="B87" s="968" t="s">
        <v>2145</v>
      </c>
      <c r="C87" s="968" t="s">
        <v>3527</v>
      </c>
      <c r="D87" s="952" t="s">
        <v>3303</v>
      </c>
      <c r="E87" s="950"/>
      <c r="F87" s="980"/>
      <c r="G87" s="950"/>
      <c r="H87" s="980"/>
      <c r="I87" s="950"/>
    </row>
    <row r="88" spans="1:9" ht="15" customHeight="1" x14ac:dyDescent="0.2">
      <c r="A88" s="960">
        <v>148</v>
      </c>
      <c r="B88" s="968" t="s">
        <v>3306</v>
      </c>
      <c r="C88" s="968" t="s">
        <v>3527</v>
      </c>
      <c r="D88" s="952" t="s">
        <v>3307</v>
      </c>
      <c r="E88" s="950"/>
      <c r="F88" s="980"/>
      <c r="G88" s="950"/>
      <c r="H88" s="980"/>
      <c r="I88" s="950"/>
    </row>
    <row r="89" spans="1:9" ht="15" customHeight="1" x14ac:dyDescent="0.2">
      <c r="A89" s="960">
        <v>149</v>
      </c>
      <c r="B89" s="968" t="s">
        <v>213</v>
      </c>
      <c r="C89" s="968" t="s">
        <v>3527</v>
      </c>
      <c r="D89" s="952" t="s">
        <v>3308</v>
      </c>
      <c r="E89" s="950"/>
      <c r="F89" s="980"/>
      <c r="G89" s="950"/>
      <c r="H89" s="980"/>
      <c r="I89" s="950"/>
    </row>
    <row r="90" spans="1:9" ht="15" customHeight="1" x14ac:dyDescent="0.2">
      <c r="A90" s="960">
        <v>150</v>
      </c>
      <c r="B90" s="968" t="s">
        <v>3309</v>
      </c>
      <c r="C90" s="968" t="s">
        <v>3527</v>
      </c>
      <c r="D90" s="952" t="s">
        <v>3113</v>
      </c>
      <c r="E90" s="950"/>
      <c r="F90" s="980"/>
      <c r="G90" s="950"/>
      <c r="H90" s="980"/>
      <c r="I90" s="950"/>
    </row>
    <row r="91" spans="1:9" ht="15" customHeight="1" x14ac:dyDescent="0.2">
      <c r="A91" s="960">
        <v>151</v>
      </c>
      <c r="B91" s="968" t="s">
        <v>3310</v>
      </c>
      <c r="C91" s="968" t="s">
        <v>3527</v>
      </c>
      <c r="D91" s="952" t="s">
        <v>3311</v>
      </c>
      <c r="E91" s="950"/>
      <c r="F91" s="980"/>
      <c r="G91" s="950"/>
      <c r="H91" s="980"/>
      <c r="I91" s="950"/>
    </row>
    <row r="92" spans="1:9" ht="15" customHeight="1" x14ac:dyDescent="0.2">
      <c r="A92" s="960">
        <v>152</v>
      </c>
      <c r="B92" s="968" t="s">
        <v>3312</v>
      </c>
      <c r="C92" s="968" t="s">
        <v>3527</v>
      </c>
      <c r="D92" s="952" t="s">
        <v>3313</v>
      </c>
      <c r="E92" s="950"/>
      <c r="F92" s="980"/>
      <c r="G92" s="950"/>
      <c r="H92" s="980"/>
      <c r="I92" s="950"/>
    </row>
    <row r="93" spans="1:9" ht="27.75" customHeight="1" x14ac:dyDescent="0.2">
      <c r="A93" s="960">
        <v>153</v>
      </c>
      <c r="B93" s="968" t="s">
        <v>3314</v>
      </c>
      <c r="C93" s="968" t="s">
        <v>3527</v>
      </c>
      <c r="D93" s="952" t="s">
        <v>3315</v>
      </c>
      <c r="E93" s="950"/>
      <c r="F93" s="980"/>
      <c r="G93" s="950"/>
      <c r="H93" s="980"/>
      <c r="I93" s="950"/>
    </row>
    <row r="94" spans="1:9" ht="28.5" customHeight="1" x14ac:dyDescent="0.2">
      <c r="A94" s="960">
        <v>154</v>
      </c>
      <c r="B94" s="968" t="s">
        <v>252</v>
      </c>
      <c r="C94" s="968" t="s">
        <v>3527</v>
      </c>
      <c r="D94" s="952" t="s">
        <v>3166</v>
      </c>
      <c r="E94" s="950"/>
      <c r="F94" s="980"/>
      <c r="G94" s="950"/>
      <c r="H94" s="980"/>
      <c r="I94" s="950"/>
    </row>
    <row r="95" spans="1:9" ht="33.75" customHeight="1" x14ac:dyDescent="0.2">
      <c r="A95" s="960">
        <v>155</v>
      </c>
      <c r="B95" s="968" t="s">
        <v>3316</v>
      </c>
      <c r="C95" s="968" t="s">
        <v>3527</v>
      </c>
      <c r="D95" s="952" t="s">
        <v>3317</v>
      </c>
      <c r="E95" s="950"/>
      <c r="F95" s="980"/>
      <c r="G95" s="950"/>
      <c r="H95" s="980"/>
      <c r="I95" s="950"/>
    </row>
    <row r="96" spans="1:9" ht="15" customHeight="1" x14ac:dyDescent="0.2">
      <c r="A96" s="960">
        <v>156</v>
      </c>
      <c r="B96" s="968" t="s">
        <v>3229</v>
      </c>
      <c r="C96" s="968" t="s">
        <v>3527</v>
      </c>
      <c r="D96" s="952" t="s">
        <v>3230</v>
      </c>
      <c r="E96" s="950"/>
      <c r="F96" s="980"/>
      <c r="G96" s="950"/>
      <c r="H96" s="980"/>
      <c r="I96" s="950"/>
    </row>
    <row r="97" spans="1:9" ht="15" customHeight="1" x14ac:dyDescent="0.2">
      <c r="A97" s="960">
        <v>157</v>
      </c>
      <c r="B97" s="968" t="s">
        <v>3318</v>
      </c>
      <c r="C97" s="968" t="s">
        <v>3527</v>
      </c>
      <c r="D97" s="952" t="s">
        <v>3121</v>
      </c>
      <c r="E97" s="950"/>
      <c r="F97" s="980"/>
      <c r="G97" s="950"/>
      <c r="H97" s="980"/>
      <c r="I97" s="950"/>
    </row>
    <row r="98" spans="1:9" ht="15" customHeight="1" x14ac:dyDescent="0.2">
      <c r="A98" s="960">
        <v>158</v>
      </c>
      <c r="B98" s="968" t="s">
        <v>3319</v>
      </c>
      <c r="C98" s="968" t="s">
        <v>3527</v>
      </c>
      <c r="D98" s="952" t="s">
        <v>3320</v>
      </c>
      <c r="E98" s="950"/>
      <c r="F98" s="980"/>
      <c r="G98" s="950"/>
      <c r="H98" s="980"/>
      <c r="I98" s="950"/>
    </row>
    <row r="99" spans="1:9" ht="15" customHeight="1" x14ac:dyDescent="0.2">
      <c r="A99" s="960">
        <v>159</v>
      </c>
      <c r="B99" s="968" t="s">
        <v>3321</v>
      </c>
      <c r="C99" s="968" t="s">
        <v>3527</v>
      </c>
      <c r="D99" s="952" t="s">
        <v>3267</v>
      </c>
      <c r="E99" s="950"/>
      <c r="F99" s="980"/>
      <c r="G99" s="950"/>
      <c r="H99" s="980"/>
      <c r="I99" s="950"/>
    </row>
    <row r="100" spans="1:9" ht="15" customHeight="1" x14ac:dyDescent="0.2">
      <c r="A100" s="960">
        <v>160</v>
      </c>
      <c r="B100" s="968" t="s">
        <v>3322</v>
      </c>
      <c r="C100" s="968" t="s">
        <v>3527</v>
      </c>
      <c r="D100" s="952" t="s">
        <v>3323</v>
      </c>
      <c r="E100" s="950"/>
      <c r="F100" s="980"/>
      <c r="G100" s="950"/>
      <c r="H100" s="980"/>
      <c r="I100" s="950"/>
    </row>
    <row r="101" spans="1:9" ht="15" customHeight="1" x14ac:dyDescent="0.2">
      <c r="A101" s="960">
        <v>162</v>
      </c>
      <c r="B101" s="968" t="s">
        <v>3325</v>
      </c>
      <c r="C101" s="968" t="s">
        <v>3527</v>
      </c>
      <c r="D101" s="952" t="s">
        <v>3326</v>
      </c>
      <c r="E101" s="950"/>
      <c r="F101" s="980"/>
      <c r="G101" s="950"/>
      <c r="H101" s="980"/>
      <c r="I101" s="950"/>
    </row>
    <row r="102" spans="1:9" ht="18.75" customHeight="1" x14ac:dyDescent="0.2">
      <c r="A102" s="960">
        <v>163</v>
      </c>
      <c r="B102" s="968" t="s">
        <v>250</v>
      </c>
      <c r="C102" s="968" t="s">
        <v>3527</v>
      </c>
      <c r="D102" s="952" t="s">
        <v>3327</v>
      </c>
      <c r="E102" s="950"/>
      <c r="F102" s="980"/>
      <c r="G102" s="950"/>
      <c r="H102" s="980"/>
      <c r="I102" s="950"/>
    </row>
    <row r="103" spans="1:9" ht="34.5" customHeight="1" x14ac:dyDescent="0.2">
      <c r="A103" s="960">
        <v>164</v>
      </c>
      <c r="B103" s="968" t="s">
        <v>3328</v>
      </c>
      <c r="C103" s="968" t="s">
        <v>3527</v>
      </c>
      <c r="D103" s="952" t="s">
        <v>3329</v>
      </c>
      <c r="E103" s="950"/>
      <c r="F103" s="980"/>
      <c r="G103" s="950"/>
      <c r="H103" s="980"/>
      <c r="I103" s="950"/>
    </row>
    <row r="104" spans="1:9" ht="15" customHeight="1" x14ac:dyDescent="0.2">
      <c r="A104" s="960">
        <v>165</v>
      </c>
      <c r="B104" s="968" t="s">
        <v>3330</v>
      </c>
      <c r="C104" s="968" t="s">
        <v>3527</v>
      </c>
      <c r="D104" s="952" t="s">
        <v>3331</v>
      </c>
      <c r="E104" s="950"/>
      <c r="F104" s="980"/>
      <c r="G104" s="950"/>
      <c r="H104" s="980"/>
      <c r="I104" s="950"/>
    </row>
    <row r="105" spans="1:9" ht="15" customHeight="1" x14ac:dyDescent="0.2">
      <c r="A105" s="960">
        <v>166</v>
      </c>
      <c r="B105" s="968" t="s">
        <v>168</v>
      </c>
      <c r="C105" s="968" t="s">
        <v>3527</v>
      </c>
      <c r="D105" s="952" t="s">
        <v>3332</v>
      </c>
      <c r="E105" s="950"/>
      <c r="F105" s="980"/>
      <c r="G105" s="950"/>
      <c r="H105" s="980"/>
      <c r="I105" s="950"/>
    </row>
    <row r="106" spans="1:9" ht="15" customHeight="1" x14ac:dyDescent="0.2">
      <c r="A106" s="960">
        <v>167</v>
      </c>
      <c r="B106" s="968" t="s">
        <v>285</v>
      </c>
      <c r="C106" s="968" t="s">
        <v>3527</v>
      </c>
      <c r="D106" s="952" t="s">
        <v>3241</v>
      </c>
      <c r="E106" s="950"/>
      <c r="F106" s="980"/>
      <c r="G106" s="950"/>
      <c r="H106" s="980"/>
      <c r="I106" s="950"/>
    </row>
    <row r="107" spans="1:9" ht="27" customHeight="1" x14ac:dyDescent="0.2">
      <c r="A107" s="960">
        <v>168</v>
      </c>
      <c r="B107" s="968" t="s">
        <v>256</v>
      </c>
      <c r="C107" s="968" t="s">
        <v>3527</v>
      </c>
      <c r="D107" s="952" t="s">
        <v>3333</v>
      </c>
      <c r="E107" s="950"/>
      <c r="F107" s="980"/>
      <c r="G107" s="950"/>
      <c r="H107" s="980"/>
      <c r="I107" s="950"/>
    </row>
    <row r="108" spans="1:9" ht="15" customHeight="1" x14ac:dyDescent="0.2">
      <c r="A108" s="960">
        <v>170</v>
      </c>
      <c r="B108" s="968" t="s">
        <v>287</v>
      </c>
      <c r="C108" s="968" t="s">
        <v>3527</v>
      </c>
      <c r="D108" s="952" t="s">
        <v>3334</v>
      </c>
      <c r="E108" s="989" t="s">
        <v>3335</v>
      </c>
      <c r="F108" s="980" t="s">
        <v>3336</v>
      </c>
      <c r="G108" s="980"/>
      <c r="H108" s="980" t="s">
        <v>3557</v>
      </c>
      <c r="I108" s="950" t="s">
        <v>3555</v>
      </c>
    </row>
    <row r="109" spans="1:9" ht="15" customHeight="1" x14ac:dyDescent="0.2">
      <c r="A109" s="960">
        <v>176</v>
      </c>
      <c r="B109" s="968" t="s">
        <v>3348</v>
      </c>
      <c r="C109" s="968" t="s">
        <v>3527</v>
      </c>
      <c r="D109" s="952" t="s">
        <v>3349</v>
      </c>
      <c r="E109" s="989" t="s">
        <v>3350</v>
      </c>
      <c r="F109" s="980" t="s">
        <v>3351</v>
      </c>
      <c r="G109" s="980"/>
      <c r="H109" s="980"/>
      <c r="I109" s="950" t="s">
        <v>3351</v>
      </c>
    </row>
    <row r="110" spans="1:9" ht="15" customHeight="1" x14ac:dyDescent="0.2">
      <c r="A110" s="960">
        <v>178</v>
      </c>
      <c r="B110" s="968" t="s">
        <v>3354</v>
      </c>
      <c r="C110" s="968" t="s">
        <v>3527</v>
      </c>
      <c r="D110" s="952" t="s">
        <v>3355</v>
      </c>
      <c r="E110" s="989" t="s">
        <v>3356</v>
      </c>
      <c r="F110" s="980" t="s">
        <v>3343</v>
      </c>
      <c r="G110" s="980"/>
      <c r="H110" s="980"/>
      <c r="I110" s="950" t="s">
        <v>3343</v>
      </c>
    </row>
    <row r="111" spans="1:9" ht="15" customHeight="1" x14ac:dyDescent="0.2">
      <c r="A111" s="960">
        <v>182</v>
      </c>
      <c r="B111" s="968" t="s">
        <v>3363</v>
      </c>
      <c r="C111" s="968" t="s">
        <v>3527</v>
      </c>
      <c r="D111" s="952" t="s">
        <v>3364</v>
      </c>
      <c r="E111" s="989" t="s">
        <v>3365</v>
      </c>
      <c r="F111" s="980" t="s">
        <v>3336</v>
      </c>
      <c r="G111" s="980"/>
      <c r="H111" s="980"/>
      <c r="I111" s="950" t="s">
        <v>3336</v>
      </c>
    </row>
    <row r="112" spans="1:9" ht="15" customHeight="1" x14ac:dyDescent="0.2">
      <c r="A112" s="960">
        <v>187</v>
      </c>
      <c r="B112" s="968" t="s">
        <v>3373</v>
      </c>
      <c r="C112" s="968" t="s">
        <v>3527</v>
      </c>
      <c r="D112" s="952" t="s">
        <v>3374</v>
      </c>
      <c r="E112" s="989" t="s">
        <v>3375</v>
      </c>
      <c r="F112" s="980" t="s">
        <v>3343</v>
      </c>
      <c r="G112" s="980"/>
      <c r="H112" s="980"/>
      <c r="I112" s="950" t="s">
        <v>3343</v>
      </c>
    </row>
    <row r="113" spans="1:9" ht="15" customHeight="1" x14ac:dyDescent="0.2">
      <c r="A113" s="960">
        <v>196</v>
      </c>
      <c r="B113" s="968" t="s">
        <v>3391</v>
      </c>
      <c r="C113" s="968" t="s">
        <v>3527</v>
      </c>
      <c r="D113" s="952" t="s">
        <v>3392</v>
      </c>
      <c r="E113" s="989" t="s">
        <v>3393</v>
      </c>
      <c r="F113" s="980" t="s">
        <v>3386</v>
      </c>
      <c r="G113" s="980"/>
      <c r="H113" s="980"/>
      <c r="I113" s="950" t="s">
        <v>3386</v>
      </c>
    </row>
    <row r="114" spans="1:9" ht="15" customHeight="1" x14ac:dyDescent="0.2">
      <c r="A114" s="960">
        <v>200</v>
      </c>
      <c r="B114" s="968" t="s">
        <v>3399</v>
      </c>
      <c r="C114" s="968" t="s">
        <v>3527</v>
      </c>
      <c r="D114" s="952" t="s">
        <v>3400</v>
      </c>
      <c r="E114" s="989" t="s">
        <v>3401</v>
      </c>
      <c r="F114" s="980" t="s">
        <v>3351</v>
      </c>
      <c r="G114" s="980"/>
      <c r="H114" s="980"/>
      <c r="I114" s="950" t="s">
        <v>3351</v>
      </c>
    </row>
    <row r="115" spans="1:9" ht="15" customHeight="1" x14ac:dyDescent="0.2">
      <c r="A115" s="960">
        <v>218</v>
      </c>
      <c r="B115" s="968" t="s">
        <v>3434</v>
      </c>
      <c r="C115" s="968" t="s">
        <v>3527</v>
      </c>
      <c r="D115" s="952" t="s">
        <v>3435</v>
      </c>
      <c r="E115" s="989" t="s">
        <v>3436</v>
      </c>
      <c r="F115" s="980" t="s">
        <v>3386</v>
      </c>
      <c r="G115" s="980"/>
      <c r="H115" s="980"/>
      <c r="I115" s="950" t="s">
        <v>3386</v>
      </c>
    </row>
    <row r="116" spans="1:9" ht="15" customHeight="1" x14ac:dyDescent="0.2">
      <c r="A116" s="960">
        <v>222</v>
      </c>
      <c r="B116" s="968" t="s">
        <v>3265</v>
      </c>
      <c r="C116" s="968" t="s">
        <v>3527</v>
      </c>
      <c r="D116" s="952" t="s">
        <v>3443</v>
      </c>
      <c r="E116" s="989" t="s">
        <v>3444</v>
      </c>
      <c r="F116" s="980" t="s">
        <v>3386</v>
      </c>
      <c r="G116" s="980"/>
      <c r="H116" s="980"/>
      <c r="I116" s="950" t="s">
        <v>3386</v>
      </c>
    </row>
    <row r="117" spans="1:9" ht="30" customHeight="1" x14ac:dyDescent="0.2">
      <c r="A117" s="960">
        <v>223</v>
      </c>
      <c r="B117" s="968" t="s">
        <v>1478</v>
      </c>
      <c r="C117" s="968" t="s">
        <v>3527</v>
      </c>
      <c r="D117" s="952" t="s">
        <v>3397</v>
      </c>
      <c r="E117" s="989" t="s">
        <v>3445</v>
      </c>
      <c r="F117" s="980" t="s">
        <v>3386</v>
      </c>
      <c r="G117" s="980" t="s">
        <v>3345</v>
      </c>
      <c r="H117" s="980" t="s">
        <v>3558</v>
      </c>
      <c r="I117" s="950" t="s">
        <v>3554</v>
      </c>
    </row>
    <row r="118" spans="1:9" ht="27" customHeight="1" x14ac:dyDescent="0.25">
      <c r="A118" s="960">
        <v>265</v>
      </c>
      <c r="B118" s="987" t="s">
        <v>2808</v>
      </c>
      <c r="C118" s="968" t="s">
        <v>3526</v>
      </c>
      <c r="D118" s="952" t="s">
        <v>3516</v>
      </c>
      <c r="E118" s="989" t="s">
        <v>3517</v>
      </c>
      <c r="F118" s="980" t="s">
        <v>3343</v>
      </c>
      <c r="G118" s="980"/>
      <c r="H118" s="980" t="s">
        <v>3560</v>
      </c>
      <c r="I118" s="950" t="s">
        <v>3343</v>
      </c>
    </row>
    <row r="119" spans="1:9" ht="15" customHeight="1" x14ac:dyDescent="0.2">
      <c r="A119" s="960">
        <v>267</v>
      </c>
      <c r="B119" s="968" t="s">
        <v>2636</v>
      </c>
      <c r="C119" s="968" t="s">
        <v>3527</v>
      </c>
      <c r="D119" s="952" t="s">
        <v>2272</v>
      </c>
      <c r="E119" s="989" t="s">
        <v>3519</v>
      </c>
      <c r="F119" s="980" t="s">
        <v>3508</v>
      </c>
      <c r="G119" s="980"/>
      <c r="H119" s="980" t="s">
        <v>3557</v>
      </c>
      <c r="I119" s="950" t="s">
        <v>3555</v>
      </c>
    </row>
    <row r="120" spans="1:9" ht="15" customHeight="1" x14ac:dyDescent="0.2">
      <c r="A120" s="960">
        <v>268</v>
      </c>
      <c r="B120" s="968" t="s">
        <v>2601</v>
      </c>
      <c r="C120" s="968" t="s">
        <v>3527</v>
      </c>
      <c r="D120" s="952" t="s">
        <v>3520</v>
      </c>
      <c r="E120" s="989" t="s">
        <v>3521</v>
      </c>
      <c r="F120" s="980" t="s">
        <v>3508</v>
      </c>
      <c r="G120" s="980"/>
      <c r="H120" s="980" t="s">
        <v>3557</v>
      </c>
      <c r="I120" s="950" t="s">
        <v>3555</v>
      </c>
    </row>
    <row r="121" spans="1:9" ht="15" customHeight="1" x14ac:dyDescent="0.25">
      <c r="A121" s="960">
        <v>269</v>
      </c>
      <c r="B121" s="987" t="s">
        <v>2036</v>
      </c>
      <c r="C121" s="968" t="s">
        <v>3526</v>
      </c>
      <c r="D121" s="952" t="s">
        <v>2037</v>
      </c>
      <c r="E121" s="989" t="s">
        <v>3522</v>
      </c>
      <c r="F121" s="980" t="s">
        <v>3508</v>
      </c>
      <c r="G121" s="980"/>
      <c r="H121" s="980" t="s">
        <v>3557</v>
      </c>
      <c r="I121" s="950" t="s">
        <v>3555</v>
      </c>
    </row>
    <row r="122" spans="1:9" ht="15" customHeight="1" x14ac:dyDescent="0.25">
      <c r="A122" s="960">
        <v>270</v>
      </c>
      <c r="B122" s="987" t="s">
        <v>2069</v>
      </c>
      <c r="C122" s="968" t="s">
        <v>3526</v>
      </c>
      <c r="D122" s="952" t="s">
        <v>2068</v>
      </c>
      <c r="E122" s="989" t="s">
        <v>3523</v>
      </c>
      <c r="F122" s="980" t="s">
        <v>3508</v>
      </c>
      <c r="G122" s="980"/>
      <c r="H122" s="980" t="s">
        <v>3557</v>
      </c>
      <c r="I122" s="950" t="s">
        <v>3555</v>
      </c>
    </row>
    <row r="123" spans="1:9" ht="34.5" customHeight="1" x14ac:dyDescent="0.2">
      <c r="A123" s="960">
        <v>291</v>
      </c>
      <c r="B123" s="952" t="s">
        <v>2525</v>
      </c>
      <c r="C123" s="952" t="s">
        <v>3527</v>
      </c>
      <c r="D123" s="952" t="s">
        <v>1909</v>
      </c>
      <c r="E123" s="950" t="s">
        <v>3673</v>
      </c>
      <c r="F123" s="980" t="s">
        <v>3508</v>
      </c>
      <c r="G123" s="965"/>
      <c r="H123" s="980"/>
      <c r="I123" s="966" t="s">
        <v>3555</v>
      </c>
    </row>
    <row r="124" spans="1:9" ht="15" customHeight="1" x14ac:dyDescent="0.2">
      <c r="A124" s="960">
        <v>292</v>
      </c>
      <c r="B124" s="952" t="s">
        <v>2579</v>
      </c>
      <c r="C124" s="952" t="s">
        <v>3527</v>
      </c>
      <c r="D124" s="952" t="s">
        <v>233</v>
      </c>
      <c r="E124" s="950"/>
      <c r="F124" s="980"/>
      <c r="G124" s="965" t="s">
        <v>3563</v>
      </c>
      <c r="H124" s="980"/>
      <c r="I124" s="966" t="s">
        <v>3555</v>
      </c>
    </row>
    <row r="125" spans="1:9" ht="33" customHeight="1" x14ac:dyDescent="0.25">
      <c r="A125" s="960">
        <v>293</v>
      </c>
      <c r="B125" s="997" t="s">
        <v>2682</v>
      </c>
      <c r="C125" s="952" t="s">
        <v>3526</v>
      </c>
      <c r="D125" s="952" t="s">
        <v>2685</v>
      </c>
      <c r="E125" s="950" t="s">
        <v>3672</v>
      </c>
      <c r="F125" s="980" t="s">
        <v>3508</v>
      </c>
      <c r="G125" s="965"/>
      <c r="H125" s="980"/>
      <c r="I125" s="966" t="s">
        <v>3555</v>
      </c>
    </row>
    <row r="126" spans="1:9" ht="18" customHeight="1" x14ac:dyDescent="0.2">
      <c r="A126" s="960">
        <v>300</v>
      </c>
      <c r="B126" s="966" t="s">
        <v>2208</v>
      </c>
      <c r="C126" s="952" t="s">
        <v>3527</v>
      </c>
      <c r="D126" s="952" t="s">
        <v>2209</v>
      </c>
      <c r="E126" s="950" t="s">
        <v>3623</v>
      </c>
      <c r="F126" s="980" t="s">
        <v>3343</v>
      </c>
      <c r="G126" s="980"/>
      <c r="H126" s="980"/>
      <c r="I126" s="950" t="s">
        <v>3555</v>
      </c>
    </row>
    <row r="127" spans="1:9" ht="33.75" customHeight="1" x14ac:dyDescent="0.2">
      <c r="A127" s="960">
        <v>308</v>
      </c>
      <c r="B127" s="1000" t="s">
        <v>2472</v>
      </c>
      <c r="C127" s="952" t="s">
        <v>3526</v>
      </c>
      <c r="D127" s="952" t="s">
        <v>1034</v>
      </c>
      <c r="E127" s="950" t="s">
        <v>3577</v>
      </c>
      <c r="F127" s="980"/>
      <c r="G127" s="980" t="s">
        <v>3569</v>
      </c>
      <c r="H127" s="980"/>
      <c r="I127" s="950" t="s">
        <v>3343</v>
      </c>
    </row>
    <row r="128" spans="1:9" ht="33" customHeight="1" x14ac:dyDescent="0.2">
      <c r="A128" s="992">
        <v>401</v>
      </c>
      <c r="B128" s="992" t="s">
        <v>2380</v>
      </c>
      <c r="C128" s="991" t="s">
        <v>3527</v>
      </c>
      <c r="D128" s="991" t="s">
        <v>3208</v>
      </c>
      <c r="E128" s="998" t="s">
        <v>3611</v>
      </c>
      <c r="F128" s="993" t="s">
        <v>3343</v>
      </c>
      <c r="G128" s="999" t="s">
        <v>3699</v>
      </c>
      <c r="H128" s="993"/>
      <c r="I128" s="992"/>
    </row>
    <row r="129" spans="1:9" ht="15" customHeight="1" x14ac:dyDescent="0.2">
      <c r="A129" s="992">
        <v>402</v>
      </c>
      <c r="B129" s="994" t="s">
        <v>2614</v>
      </c>
      <c r="C129" s="991" t="s">
        <v>3526</v>
      </c>
      <c r="D129" s="991" t="s">
        <v>90</v>
      </c>
      <c r="E129" s="998" t="s">
        <v>3612</v>
      </c>
      <c r="F129" s="993" t="s">
        <v>3343</v>
      </c>
      <c r="G129" s="993"/>
      <c r="H129" s="993"/>
      <c r="I129" s="992"/>
    </row>
    <row r="130" spans="1:9" ht="15" customHeight="1" x14ac:dyDescent="0.2">
      <c r="A130" s="960">
        <v>1</v>
      </c>
      <c r="B130" s="967" t="s">
        <v>247</v>
      </c>
      <c r="C130" s="967" t="s">
        <v>3526</v>
      </c>
      <c r="D130" s="952" t="s">
        <v>3108</v>
      </c>
      <c r="E130" s="950"/>
      <c r="F130" s="980"/>
      <c r="G130" s="950"/>
      <c r="H130" s="980"/>
      <c r="I130" s="950"/>
    </row>
    <row r="131" spans="1:9" ht="15" customHeight="1" x14ac:dyDescent="0.2">
      <c r="A131" s="960">
        <v>2</v>
      </c>
      <c r="B131" s="967" t="s">
        <v>248</v>
      </c>
      <c r="C131" s="967" t="s">
        <v>3526</v>
      </c>
      <c r="D131" s="952" t="s">
        <v>3109</v>
      </c>
      <c r="E131" s="950"/>
      <c r="F131" s="980"/>
      <c r="G131" s="950"/>
      <c r="H131" s="980"/>
      <c r="I131" s="950"/>
    </row>
    <row r="132" spans="1:9" ht="15" customHeight="1" x14ac:dyDescent="0.2">
      <c r="A132" s="960">
        <v>3</v>
      </c>
      <c r="B132" s="967" t="s">
        <v>1348</v>
      </c>
      <c r="C132" s="967" t="s">
        <v>3526</v>
      </c>
      <c r="D132" s="952" t="s">
        <v>3110</v>
      </c>
      <c r="E132" s="950"/>
      <c r="F132" s="980"/>
      <c r="G132" s="950"/>
      <c r="H132" s="980"/>
      <c r="I132" s="950"/>
    </row>
    <row r="133" spans="1:9" ht="15" customHeight="1" x14ac:dyDescent="0.2">
      <c r="A133" s="960">
        <v>4</v>
      </c>
      <c r="B133" s="967" t="s">
        <v>1365</v>
      </c>
      <c r="C133" s="967" t="s">
        <v>3526</v>
      </c>
      <c r="D133" s="952" t="s">
        <v>3111</v>
      </c>
      <c r="E133" s="950"/>
      <c r="F133" s="980"/>
      <c r="G133" s="950"/>
      <c r="H133" s="980"/>
      <c r="I133" s="950"/>
    </row>
    <row r="134" spans="1:9" ht="15" customHeight="1" x14ac:dyDescent="0.2">
      <c r="A134" s="960">
        <v>7</v>
      </c>
      <c r="B134" s="967" t="s">
        <v>1158</v>
      </c>
      <c r="C134" s="967" t="s">
        <v>3526</v>
      </c>
      <c r="D134" s="952" t="s">
        <v>3114</v>
      </c>
      <c r="E134" s="950"/>
      <c r="F134" s="980"/>
      <c r="G134" s="950"/>
      <c r="H134" s="980"/>
      <c r="I134" s="950"/>
    </row>
    <row r="135" spans="1:9" ht="30.75" customHeight="1" x14ac:dyDescent="0.2">
      <c r="A135" s="960">
        <v>8</v>
      </c>
      <c r="B135" s="967" t="s">
        <v>283</v>
      </c>
      <c r="C135" s="967" t="s">
        <v>3526</v>
      </c>
      <c r="D135" s="952" t="s">
        <v>3115</v>
      </c>
      <c r="E135" s="950"/>
      <c r="F135" s="980"/>
      <c r="G135" s="950"/>
      <c r="H135" s="980"/>
      <c r="I135" s="950"/>
    </row>
    <row r="136" spans="1:9" ht="15" customHeight="1" x14ac:dyDescent="0.2">
      <c r="A136" s="960">
        <v>9</v>
      </c>
      <c r="B136" s="967" t="s">
        <v>289</v>
      </c>
      <c r="C136" s="967" t="s">
        <v>3526</v>
      </c>
      <c r="D136" s="952" t="s">
        <v>3116</v>
      </c>
      <c r="E136" s="950"/>
      <c r="F136" s="980"/>
      <c r="G136" s="950"/>
      <c r="H136" s="980"/>
      <c r="I136" s="950"/>
    </row>
    <row r="137" spans="1:9" ht="15" customHeight="1" x14ac:dyDescent="0.2">
      <c r="A137" s="960">
        <v>10</v>
      </c>
      <c r="B137" s="967" t="s">
        <v>294</v>
      </c>
      <c r="C137" s="967" t="s">
        <v>3526</v>
      </c>
      <c r="D137" s="952" t="s">
        <v>3117</v>
      </c>
      <c r="E137" s="950"/>
      <c r="F137" s="980"/>
      <c r="G137" s="950"/>
      <c r="H137" s="980"/>
      <c r="I137" s="950"/>
    </row>
    <row r="138" spans="1:9" ht="15" customHeight="1" x14ac:dyDescent="0.2">
      <c r="A138" s="960">
        <v>11</v>
      </c>
      <c r="B138" s="967" t="s">
        <v>278</v>
      </c>
      <c r="C138" s="967" t="s">
        <v>3526</v>
      </c>
      <c r="D138" s="952" t="s">
        <v>3118</v>
      </c>
      <c r="E138" s="950"/>
      <c r="F138" s="980"/>
      <c r="G138" s="950"/>
      <c r="H138" s="980"/>
      <c r="I138" s="950"/>
    </row>
    <row r="139" spans="1:9" ht="32.25" customHeight="1" x14ac:dyDescent="0.25">
      <c r="A139" s="960">
        <v>17</v>
      </c>
      <c r="B139" s="987" t="s">
        <v>3659</v>
      </c>
      <c r="C139" s="968" t="s">
        <v>3526</v>
      </c>
      <c r="D139" s="952" t="s">
        <v>3125</v>
      </c>
      <c r="E139" s="950"/>
      <c r="F139" s="980"/>
      <c r="G139" s="950"/>
      <c r="H139" s="980"/>
      <c r="I139" s="950"/>
    </row>
    <row r="140" spans="1:9" ht="15" customHeight="1" x14ac:dyDescent="0.2">
      <c r="A140" s="960">
        <v>18</v>
      </c>
      <c r="B140" s="969" t="s">
        <v>3126</v>
      </c>
      <c r="C140" s="968" t="s">
        <v>3526</v>
      </c>
      <c r="D140" s="952" t="s">
        <v>3127</v>
      </c>
      <c r="E140" s="950"/>
      <c r="F140" s="980"/>
      <c r="G140" s="950" t="s">
        <v>3128</v>
      </c>
      <c r="H140" s="980"/>
      <c r="I140" s="950"/>
    </row>
    <row r="141" spans="1:9" ht="15" customHeight="1" x14ac:dyDescent="0.2">
      <c r="A141" s="960">
        <v>20</v>
      </c>
      <c r="B141" s="967" t="s">
        <v>400</v>
      </c>
      <c r="C141" s="967" t="s">
        <v>3526</v>
      </c>
      <c r="D141" s="952" t="s">
        <v>3130</v>
      </c>
      <c r="E141" s="950"/>
      <c r="F141" s="980"/>
      <c r="G141" s="950"/>
      <c r="H141" s="980"/>
      <c r="I141" s="950"/>
    </row>
    <row r="142" spans="1:9" ht="15" customHeight="1" x14ac:dyDescent="0.2">
      <c r="A142" s="960">
        <v>21</v>
      </c>
      <c r="B142" s="967" t="s">
        <v>1345</v>
      </c>
      <c r="C142" s="967" t="s">
        <v>3526</v>
      </c>
      <c r="D142" s="952" t="s">
        <v>3131</v>
      </c>
      <c r="E142" s="950"/>
      <c r="F142" s="980"/>
      <c r="G142" s="950"/>
      <c r="H142" s="980"/>
      <c r="I142" s="950"/>
    </row>
    <row r="143" spans="1:9" ht="15" customHeight="1" x14ac:dyDescent="0.2">
      <c r="A143" s="960">
        <v>22</v>
      </c>
      <c r="B143" s="967" t="s">
        <v>548</v>
      </c>
      <c r="C143" s="967" t="s">
        <v>3526</v>
      </c>
      <c r="D143" s="952" t="s">
        <v>3132</v>
      </c>
      <c r="E143" s="950"/>
      <c r="F143" s="980"/>
      <c r="G143" s="950"/>
      <c r="H143" s="980"/>
      <c r="I143" s="950"/>
    </row>
    <row r="144" spans="1:9" ht="15" customHeight="1" x14ac:dyDescent="0.2">
      <c r="A144" s="960">
        <v>23</v>
      </c>
      <c r="B144" s="967" t="s">
        <v>1425</v>
      </c>
      <c r="C144" s="967" t="s">
        <v>3526</v>
      </c>
      <c r="D144" s="970" t="s">
        <v>3133</v>
      </c>
      <c r="E144" s="988"/>
      <c r="F144" s="982"/>
      <c r="G144" s="988"/>
      <c r="H144" s="980"/>
      <c r="I144" s="950"/>
    </row>
    <row r="145" spans="1:9" ht="15" customHeight="1" x14ac:dyDescent="0.25">
      <c r="A145" s="960">
        <v>25</v>
      </c>
      <c r="B145" s="987" t="s">
        <v>3135</v>
      </c>
      <c r="C145" s="968" t="s">
        <v>3526</v>
      </c>
      <c r="D145" s="952" t="s">
        <v>3136</v>
      </c>
      <c r="E145" s="950"/>
      <c r="F145" s="980"/>
      <c r="G145" s="950"/>
      <c r="H145" s="980"/>
      <c r="I145" s="950"/>
    </row>
    <row r="146" spans="1:9" ht="15" customHeight="1" x14ac:dyDescent="0.2">
      <c r="A146" s="960">
        <v>26</v>
      </c>
      <c r="B146" s="967" t="s">
        <v>297</v>
      </c>
      <c r="C146" s="967" t="s">
        <v>3526</v>
      </c>
      <c r="D146" s="952" t="s">
        <v>3137</v>
      </c>
      <c r="E146" s="950"/>
      <c r="F146" s="980"/>
      <c r="G146" s="950"/>
      <c r="H146" s="980"/>
      <c r="I146" s="950"/>
    </row>
    <row r="147" spans="1:9" ht="15" customHeight="1" x14ac:dyDescent="0.2">
      <c r="A147" s="960">
        <v>27</v>
      </c>
      <c r="B147" s="967" t="s">
        <v>1492</v>
      </c>
      <c r="C147" s="967" t="s">
        <v>3526</v>
      </c>
      <c r="D147" s="952" t="s">
        <v>3138</v>
      </c>
      <c r="E147" s="950"/>
      <c r="F147" s="980"/>
      <c r="G147" s="950" t="s">
        <v>3139</v>
      </c>
      <c r="H147" s="980"/>
      <c r="I147" s="950"/>
    </row>
    <row r="148" spans="1:9" ht="15" customHeight="1" x14ac:dyDescent="0.2">
      <c r="A148" s="960">
        <v>1</v>
      </c>
      <c r="B148" s="961" t="s">
        <v>1999</v>
      </c>
      <c r="C148" s="967" t="s">
        <v>3526</v>
      </c>
      <c r="D148" s="952" t="s">
        <v>3140</v>
      </c>
      <c r="E148" s="950"/>
      <c r="F148" s="980"/>
      <c r="G148" s="950" t="s">
        <v>3141</v>
      </c>
      <c r="H148" s="980"/>
      <c r="I148" s="950"/>
    </row>
    <row r="149" spans="1:9" ht="15" customHeight="1" x14ac:dyDescent="0.25">
      <c r="A149" s="960">
        <v>2</v>
      </c>
      <c r="B149" s="987" t="s">
        <v>2043</v>
      </c>
      <c r="C149" s="968" t="s">
        <v>3526</v>
      </c>
      <c r="D149" s="970" t="s">
        <v>3142</v>
      </c>
      <c r="E149" s="950"/>
      <c r="F149" s="980"/>
      <c r="G149" s="950"/>
      <c r="H149" s="980"/>
      <c r="I149" s="950"/>
    </row>
    <row r="150" spans="1:9" ht="15" customHeight="1" x14ac:dyDescent="0.25">
      <c r="A150" s="960">
        <v>3</v>
      </c>
      <c r="B150" s="987" t="s">
        <v>2049</v>
      </c>
      <c r="C150" s="968" t="s">
        <v>3526</v>
      </c>
      <c r="D150" s="970" t="s">
        <v>3143</v>
      </c>
      <c r="E150" s="950"/>
      <c r="F150" s="980"/>
      <c r="G150" s="950"/>
      <c r="H150" s="980"/>
      <c r="I150" s="950"/>
    </row>
    <row r="151" spans="1:9" ht="15" customHeight="1" x14ac:dyDescent="0.2">
      <c r="A151" s="960">
        <v>5</v>
      </c>
      <c r="B151" s="961" t="s">
        <v>1990</v>
      </c>
      <c r="C151" s="967" t="s">
        <v>3526</v>
      </c>
      <c r="D151" s="952" t="s">
        <v>3145</v>
      </c>
      <c r="E151" s="950"/>
      <c r="F151" s="980"/>
      <c r="G151" s="950"/>
      <c r="H151" s="980"/>
      <c r="I151" s="950"/>
    </row>
    <row r="152" spans="1:9" ht="15" customHeight="1" x14ac:dyDescent="0.2">
      <c r="A152" s="960">
        <v>6</v>
      </c>
      <c r="B152" s="961" t="s">
        <v>1764</v>
      </c>
      <c r="C152" s="967" t="s">
        <v>3526</v>
      </c>
      <c r="D152" s="952" t="s">
        <v>3116</v>
      </c>
      <c r="E152" s="950"/>
      <c r="F152" s="980"/>
      <c r="G152" s="950"/>
      <c r="H152" s="980"/>
      <c r="I152" s="950"/>
    </row>
    <row r="153" spans="1:9" ht="15" customHeight="1" x14ac:dyDescent="0.25">
      <c r="A153" s="960">
        <v>7</v>
      </c>
      <c r="B153" s="987" t="s">
        <v>1337</v>
      </c>
      <c r="C153" s="968" t="s">
        <v>3526</v>
      </c>
      <c r="D153" s="952" t="s">
        <v>3146</v>
      </c>
      <c r="E153" s="950"/>
      <c r="F153" s="980"/>
      <c r="G153" s="950" t="s">
        <v>3147</v>
      </c>
      <c r="H153" s="980"/>
      <c r="I153" s="950"/>
    </row>
    <row r="154" spans="1:9" ht="15" customHeight="1" x14ac:dyDescent="0.2">
      <c r="A154" s="960">
        <v>9</v>
      </c>
      <c r="B154" s="961" t="s">
        <v>401</v>
      </c>
      <c r="C154" s="967" t="s">
        <v>3526</v>
      </c>
      <c r="D154" s="952" t="s">
        <v>3150</v>
      </c>
      <c r="E154" s="950"/>
      <c r="F154" s="980"/>
      <c r="G154" s="950"/>
      <c r="H154" s="980"/>
      <c r="I154" s="950"/>
    </row>
    <row r="155" spans="1:9" ht="15" customHeight="1" x14ac:dyDescent="0.2">
      <c r="A155" s="960">
        <v>10</v>
      </c>
      <c r="B155" s="961" t="s">
        <v>1420</v>
      </c>
      <c r="C155" s="967" t="s">
        <v>3526</v>
      </c>
      <c r="D155" s="952" t="s">
        <v>3151</v>
      </c>
      <c r="E155" s="950"/>
      <c r="F155" s="980"/>
      <c r="G155" s="950"/>
      <c r="H155" s="980"/>
      <c r="I155" s="950"/>
    </row>
    <row r="156" spans="1:9" ht="15" customHeight="1" x14ac:dyDescent="0.25">
      <c r="A156" s="960">
        <v>11</v>
      </c>
      <c r="B156" s="997" t="s">
        <v>2197</v>
      </c>
      <c r="C156" s="968" t="s">
        <v>3526</v>
      </c>
      <c r="D156" s="952" t="s">
        <v>3152</v>
      </c>
      <c r="E156" s="950"/>
      <c r="F156" s="980"/>
      <c r="G156" s="950"/>
      <c r="H156" s="980"/>
      <c r="I156" s="950"/>
    </row>
    <row r="157" spans="1:9" ht="15" customHeight="1" x14ac:dyDescent="0.2">
      <c r="A157" s="960">
        <v>12</v>
      </c>
      <c r="B157" s="967" t="s">
        <v>276</v>
      </c>
      <c r="C157" s="967" t="s">
        <v>3526</v>
      </c>
      <c r="D157" s="952" t="s">
        <v>3153</v>
      </c>
      <c r="E157" s="950"/>
      <c r="F157" s="980"/>
      <c r="G157" s="950"/>
      <c r="H157" s="980"/>
      <c r="I157" s="950"/>
    </row>
    <row r="158" spans="1:9" ht="15" customHeight="1" x14ac:dyDescent="0.2">
      <c r="A158" s="960">
        <v>13</v>
      </c>
      <c r="B158" s="961" t="s">
        <v>1555</v>
      </c>
      <c r="C158" s="967" t="s">
        <v>3526</v>
      </c>
      <c r="D158" s="952" t="s">
        <v>3154</v>
      </c>
      <c r="E158" s="950"/>
      <c r="F158" s="980"/>
      <c r="G158" s="950"/>
      <c r="H158" s="980"/>
      <c r="I158" s="950"/>
    </row>
    <row r="159" spans="1:9" ht="15" customHeight="1" x14ac:dyDescent="0.25">
      <c r="A159" s="960">
        <v>14</v>
      </c>
      <c r="B159" s="987" t="s">
        <v>1583</v>
      </c>
      <c r="C159" s="968" t="s">
        <v>3526</v>
      </c>
      <c r="D159" s="952" t="s">
        <v>3155</v>
      </c>
      <c r="E159" s="950"/>
      <c r="F159" s="980"/>
      <c r="G159" s="950"/>
      <c r="H159" s="980"/>
      <c r="I159" s="950"/>
    </row>
    <row r="160" spans="1:9" ht="15" customHeight="1" x14ac:dyDescent="0.2">
      <c r="A160" s="960">
        <v>15</v>
      </c>
      <c r="B160" s="961" t="s">
        <v>1553</v>
      </c>
      <c r="C160" s="967" t="s">
        <v>3526</v>
      </c>
      <c r="D160" s="952" t="s">
        <v>3156</v>
      </c>
      <c r="E160" s="950"/>
      <c r="F160" s="980"/>
      <c r="G160" s="950"/>
      <c r="H160" s="980"/>
      <c r="I160" s="950"/>
    </row>
    <row r="161" spans="1:9" ht="15" customHeight="1" x14ac:dyDescent="0.2">
      <c r="A161" s="960">
        <v>16</v>
      </c>
      <c r="B161" s="961" t="s">
        <v>1557</v>
      </c>
      <c r="C161" s="967" t="s">
        <v>3526</v>
      </c>
      <c r="D161" s="952" t="s">
        <v>3157</v>
      </c>
      <c r="E161" s="950"/>
      <c r="F161" s="980"/>
      <c r="G161" s="950"/>
      <c r="H161" s="980"/>
      <c r="I161" s="950"/>
    </row>
    <row r="162" spans="1:9" ht="15" customHeight="1" x14ac:dyDescent="0.25">
      <c r="A162" s="960">
        <v>17</v>
      </c>
      <c r="B162" s="987" t="s">
        <v>1106</v>
      </c>
      <c r="C162" s="968" t="s">
        <v>3526</v>
      </c>
      <c r="D162" s="952" t="s">
        <v>3158</v>
      </c>
      <c r="E162" s="950"/>
      <c r="F162" s="980"/>
      <c r="G162" s="950"/>
      <c r="H162" s="980"/>
      <c r="I162" s="950"/>
    </row>
    <row r="163" spans="1:9" ht="15" customHeight="1" x14ac:dyDescent="0.2">
      <c r="A163" s="960">
        <v>18</v>
      </c>
      <c r="B163" s="961" t="s">
        <v>1987</v>
      </c>
      <c r="C163" s="967" t="s">
        <v>3526</v>
      </c>
      <c r="D163" s="952" t="s">
        <v>3159</v>
      </c>
      <c r="E163" s="950"/>
      <c r="F163" s="980"/>
      <c r="G163" s="950"/>
      <c r="H163" s="980"/>
      <c r="I163" s="950"/>
    </row>
    <row r="164" spans="1:9" ht="15" customHeight="1" x14ac:dyDescent="0.2">
      <c r="A164" s="960">
        <v>19</v>
      </c>
      <c r="B164" s="961" t="s">
        <v>1967</v>
      </c>
      <c r="C164" s="967" t="s">
        <v>3526</v>
      </c>
      <c r="D164" s="952" t="s">
        <v>3160</v>
      </c>
      <c r="E164" s="950"/>
      <c r="F164" s="980"/>
      <c r="G164" s="950"/>
      <c r="H164" s="980"/>
      <c r="I164" s="950"/>
    </row>
    <row r="165" spans="1:9" ht="15" customHeight="1" x14ac:dyDescent="0.2">
      <c r="A165" s="960">
        <v>21</v>
      </c>
      <c r="B165" s="961" t="s">
        <v>1957</v>
      </c>
      <c r="C165" s="967" t="s">
        <v>3526</v>
      </c>
      <c r="D165" s="952" t="s">
        <v>3161</v>
      </c>
      <c r="E165" s="950"/>
      <c r="F165" s="980"/>
      <c r="G165" s="950" t="s">
        <v>3162</v>
      </c>
      <c r="H165" s="980"/>
      <c r="I165" s="950"/>
    </row>
    <row r="166" spans="1:9" ht="15" customHeight="1" x14ac:dyDescent="0.2">
      <c r="A166" s="960">
        <v>22</v>
      </c>
      <c r="B166" s="961" t="s">
        <v>2033</v>
      </c>
      <c r="C166" s="967" t="s">
        <v>3526</v>
      </c>
      <c r="D166" s="952" t="s">
        <v>3163</v>
      </c>
      <c r="E166" s="950"/>
      <c r="F166" s="980"/>
      <c r="G166" s="950"/>
      <c r="H166" s="980"/>
      <c r="I166" s="950"/>
    </row>
    <row r="167" spans="1:9" ht="15" customHeight="1" x14ac:dyDescent="0.25">
      <c r="A167" s="960">
        <v>23</v>
      </c>
      <c r="B167" s="987" t="s">
        <v>1560</v>
      </c>
      <c r="C167" s="968" t="s">
        <v>3526</v>
      </c>
      <c r="D167" s="952" t="s">
        <v>3164</v>
      </c>
      <c r="E167" s="950"/>
      <c r="F167" s="980"/>
      <c r="G167" s="950"/>
      <c r="H167" s="980"/>
      <c r="I167" s="950"/>
    </row>
    <row r="168" spans="1:9" ht="15" customHeight="1" x14ac:dyDescent="0.25">
      <c r="A168" s="960">
        <v>24</v>
      </c>
      <c r="B168" s="987" t="s">
        <v>1587</v>
      </c>
      <c r="C168" s="968" t="s">
        <v>3526</v>
      </c>
      <c r="D168" s="952" t="s">
        <v>3165</v>
      </c>
      <c r="E168" s="950"/>
      <c r="F168" s="980"/>
      <c r="G168" s="950"/>
      <c r="H168" s="980"/>
      <c r="I168" s="950"/>
    </row>
    <row r="169" spans="1:9" ht="15" customHeight="1" x14ac:dyDescent="0.2">
      <c r="A169" s="972">
        <v>26</v>
      </c>
      <c r="B169" s="961" t="s">
        <v>1545</v>
      </c>
      <c r="C169" s="967" t="s">
        <v>3526</v>
      </c>
      <c r="D169" s="952" t="s">
        <v>3167</v>
      </c>
      <c r="E169" s="950"/>
      <c r="F169" s="980"/>
      <c r="G169" s="950"/>
      <c r="H169" s="980"/>
      <c r="I169" s="950"/>
    </row>
    <row r="170" spans="1:9" ht="32.25" customHeight="1" x14ac:dyDescent="0.25">
      <c r="A170" s="960">
        <v>27</v>
      </c>
      <c r="B170" s="987" t="s">
        <v>2351</v>
      </c>
      <c r="C170" s="968" t="s">
        <v>3526</v>
      </c>
      <c r="D170" s="952" t="s">
        <v>3168</v>
      </c>
      <c r="E170" s="950"/>
      <c r="F170" s="980"/>
      <c r="G170" s="950"/>
      <c r="H170" s="980"/>
      <c r="I170" s="950"/>
    </row>
    <row r="171" spans="1:9" ht="15" customHeight="1" x14ac:dyDescent="0.2">
      <c r="A171" s="960">
        <v>28</v>
      </c>
      <c r="B171" s="961" t="s">
        <v>2229</v>
      </c>
      <c r="C171" s="967" t="s">
        <v>3526</v>
      </c>
      <c r="D171" s="952" t="s">
        <v>3169</v>
      </c>
      <c r="E171" s="950"/>
      <c r="F171" s="980"/>
      <c r="G171" s="950"/>
      <c r="H171" s="980"/>
      <c r="I171" s="950"/>
    </row>
    <row r="172" spans="1:9" ht="15" customHeight="1" x14ac:dyDescent="0.25">
      <c r="A172" s="960">
        <v>29</v>
      </c>
      <c r="B172" s="987" t="s">
        <v>1628</v>
      </c>
      <c r="C172" s="968" t="s">
        <v>3526</v>
      </c>
      <c r="D172" s="952" t="s">
        <v>3170</v>
      </c>
      <c r="E172" s="950"/>
      <c r="F172" s="980"/>
      <c r="G172" s="950"/>
      <c r="H172" s="980"/>
      <c r="I172" s="950"/>
    </row>
    <row r="173" spans="1:9" ht="15" customHeight="1" x14ac:dyDescent="0.2">
      <c r="A173" s="960">
        <v>30</v>
      </c>
      <c r="B173" s="961" t="s">
        <v>1862</v>
      </c>
      <c r="C173" s="967" t="s">
        <v>3526</v>
      </c>
      <c r="D173" s="952" t="s">
        <v>3146</v>
      </c>
      <c r="E173" s="950"/>
      <c r="F173" s="980"/>
      <c r="G173" s="950"/>
      <c r="H173" s="980"/>
      <c r="I173" s="950"/>
    </row>
    <row r="174" spans="1:9" ht="15" customHeight="1" x14ac:dyDescent="0.25">
      <c r="A174" s="960">
        <v>31</v>
      </c>
      <c r="B174" s="990" t="s">
        <v>83</v>
      </c>
      <c r="C174" s="968" t="s">
        <v>3526</v>
      </c>
      <c r="D174" s="952" t="s">
        <v>3171</v>
      </c>
      <c r="E174" s="950"/>
      <c r="F174" s="980"/>
      <c r="G174" s="950"/>
      <c r="H174" s="980"/>
      <c r="I174" s="950"/>
    </row>
    <row r="175" spans="1:9" ht="15" customHeight="1" x14ac:dyDescent="0.25">
      <c r="A175" s="960">
        <v>32</v>
      </c>
      <c r="B175" s="987" t="s">
        <v>1561</v>
      </c>
      <c r="C175" s="968" t="s">
        <v>3526</v>
      </c>
      <c r="D175" s="952" t="s">
        <v>3172</v>
      </c>
      <c r="E175" s="950"/>
      <c r="F175" s="980"/>
      <c r="G175" s="950"/>
      <c r="H175" s="980"/>
      <c r="I175" s="950"/>
    </row>
    <row r="176" spans="1:9" ht="15" customHeight="1" x14ac:dyDescent="0.25">
      <c r="A176" s="960">
        <v>37</v>
      </c>
      <c r="B176" s="987" t="s">
        <v>2273</v>
      </c>
      <c r="C176" s="968" t="s">
        <v>3526</v>
      </c>
      <c r="D176" s="952" t="s">
        <v>3177</v>
      </c>
      <c r="E176" s="950"/>
      <c r="F176" s="980"/>
      <c r="G176" s="950"/>
      <c r="H176" s="980"/>
      <c r="I176" s="950" t="s">
        <v>3554</v>
      </c>
    </row>
    <row r="177" spans="1:9" ht="15" customHeight="1" x14ac:dyDescent="0.2">
      <c r="A177" s="960">
        <v>38</v>
      </c>
      <c r="B177" s="969" t="s">
        <v>1352</v>
      </c>
      <c r="C177" s="968" t="s">
        <v>3526</v>
      </c>
      <c r="D177" s="952" t="s">
        <v>3178</v>
      </c>
      <c r="E177" s="950"/>
      <c r="F177" s="980"/>
      <c r="G177" s="950"/>
      <c r="H177" s="980"/>
      <c r="I177" s="950"/>
    </row>
    <row r="178" spans="1:9" ht="15" customHeight="1" x14ac:dyDescent="0.25">
      <c r="A178" s="960">
        <v>39</v>
      </c>
      <c r="B178" s="987" t="s">
        <v>300</v>
      </c>
      <c r="C178" s="968" t="s">
        <v>3526</v>
      </c>
      <c r="D178" s="952" t="s">
        <v>3179</v>
      </c>
      <c r="E178" s="950"/>
      <c r="F178" s="980"/>
      <c r="G178" s="950"/>
      <c r="H178" s="980"/>
      <c r="I178" s="950"/>
    </row>
    <row r="179" spans="1:9" ht="15" customHeight="1" x14ac:dyDescent="0.2">
      <c r="A179" s="960">
        <v>40</v>
      </c>
      <c r="B179" s="961" t="s">
        <v>1639</v>
      </c>
      <c r="C179" s="967" t="s">
        <v>3526</v>
      </c>
      <c r="D179" s="952" t="s">
        <v>3180</v>
      </c>
      <c r="E179" s="950"/>
      <c r="F179" s="980"/>
      <c r="G179" s="950" t="s">
        <v>3181</v>
      </c>
      <c r="H179" s="980"/>
      <c r="I179" s="950"/>
    </row>
    <row r="180" spans="1:9" ht="15" customHeight="1" x14ac:dyDescent="0.25">
      <c r="A180" s="960">
        <v>42</v>
      </c>
      <c r="B180" s="987" t="s">
        <v>1111</v>
      </c>
      <c r="C180" s="968" t="s">
        <v>3526</v>
      </c>
      <c r="D180" s="952" t="s">
        <v>3183</v>
      </c>
      <c r="E180" s="950"/>
      <c r="F180" s="980"/>
      <c r="G180" s="950"/>
      <c r="H180" s="980"/>
      <c r="I180" s="950"/>
    </row>
    <row r="181" spans="1:9" ht="15" customHeight="1" x14ac:dyDescent="0.2">
      <c r="A181" s="960">
        <v>43</v>
      </c>
      <c r="B181" s="969" t="s">
        <v>1526</v>
      </c>
      <c r="C181" s="968" t="s">
        <v>3526</v>
      </c>
      <c r="D181" s="973" t="s">
        <v>3184</v>
      </c>
      <c r="E181" s="950"/>
      <c r="F181" s="980"/>
      <c r="G181" s="950"/>
      <c r="H181" s="980"/>
      <c r="I181" s="950"/>
    </row>
    <row r="182" spans="1:9" ht="15" customHeight="1" x14ac:dyDescent="0.2">
      <c r="A182" s="960">
        <v>44</v>
      </c>
      <c r="B182" s="961" t="s">
        <v>1751</v>
      </c>
      <c r="C182" s="967" t="s">
        <v>3526</v>
      </c>
      <c r="D182" s="952" t="s">
        <v>3185</v>
      </c>
      <c r="E182" s="950"/>
      <c r="F182" s="980"/>
      <c r="G182" s="950"/>
      <c r="H182" s="980"/>
      <c r="I182" s="950"/>
    </row>
    <row r="183" spans="1:9" ht="15" customHeight="1" x14ac:dyDescent="0.25">
      <c r="A183" s="960">
        <v>45</v>
      </c>
      <c r="B183" s="987" t="s">
        <v>291</v>
      </c>
      <c r="C183" s="968" t="s">
        <v>3526</v>
      </c>
      <c r="D183" s="952" t="s">
        <v>3180</v>
      </c>
      <c r="E183" s="950"/>
      <c r="F183" s="980"/>
      <c r="G183" s="950"/>
      <c r="H183" s="980"/>
      <c r="I183" s="950"/>
    </row>
    <row r="184" spans="1:9" ht="15" customHeight="1" x14ac:dyDescent="0.25">
      <c r="A184" s="960">
        <v>46</v>
      </c>
      <c r="B184" s="987" t="s">
        <v>1161</v>
      </c>
      <c r="C184" s="968" t="s">
        <v>3526</v>
      </c>
      <c r="D184" s="952" t="s">
        <v>3186</v>
      </c>
      <c r="E184" s="950"/>
      <c r="F184" s="980"/>
      <c r="G184" s="950"/>
      <c r="H184" s="980"/>
      <c r="I184" s="950"/>
    </row>
    <row r="185" spans="1:9" ht="15" customHeight="1" x14ac:dyDescent="0.2">
      <c r="A185" s="960">
        <v>47</v>
      </c>
      <c r="B185" s="961" t="s">
        <v>2046</v>
      </c>
      <c r="C185" s="967" t="s">
        <v>3526</v>
      </c>
      <c r="D185" s="952" t="s">
        <v>3187</v>
      </c>
      <c r="E185" s="950"/>
      <c r="F185" s="980"/>
      <c r="G185" s="950"/>
      <c r="H185" s="980"/>
      <c r="I185" s="950"/>
    </row>
    <row r="186" spans="1:9" ht="15" customHeight="1" x14ac:dyDescent="0.25">
      <c r="A186" s="960">
        <v>48</v>
      </c>
      <c r="B186" s="987" t="s">
        <v>1117</v>
      </c>
      <c r="C186" s="968" t="s">
        <v>3526</v>
      </c>
      <c r="D186" s="952" t="s">
        <v>3188</v>
      </c>
      <c r="E186" s="950"/>
      <c r="F186" s="980"/>
      <c r="G186" s="950"/>
      <c r="H186" s="980"/>
      <c r="I186" s="950"/>
    </row>
    <row r="187" spans="1:9" ht="15" customHeight="1" x14ac:dyDescent="0.25">
      <c r="A187" s="960">
        <v>52</v>
      </c>
      <c r="B187" s="987" t="s">
        <v>1530</v>
      </c>
      <c r="C187" s="968" t="s">
        <v>3526</v>
      </c>
      <c r="D187" s="952" t="s">
        <v>3193</v>
      </c>
      <c r="E187" s="950"/>
      <c r="F187" s="980"/>
      <c r="G187" s="950"/>
      <c r="H187" s="980"/>
      <c r="I187" s="950"/>
    </row>
    <row r="188" spans="1:9" ht="15" customHeight="1" x14ac:dyDescent="0.2">
      <c r="A188" s="960">
        <v>53</v>
      </c>
      <c r="B188" s="961" t="s">
        <v>1517</v>
      </c>
      <c r="C188" s="967" t="s">
        <v>3526</v>
      </c>
      <c r="D188" s="952" t="s">
        <v>3194</v>
      </c>
      <c r="E188" s="950"/>
      <c r="F188" s="980"/>
      <c r="G188" s="950"/>
      <c r="H188" s="980"/>
      <c r="I188" s="950"/>
    </row>
    <row r="189" spans="1:9" ht="15" customHeight="1" x14ac:dyDescent="0.25">
      <c r="A189" s="960">
        <v>54</v>
      </c>
      <c r="B189" s="987" t="s">
        <v>1156</v>
      </c>
      <c r="C189" s="968" t="s">
        <v>3526</v>
      </c>
      <c r="D189" s="952" t="s">
        <v>3195</v>
      </c>
      <c r="E189" s="950"/>
      <c r="F189" s="980"/>
      <c r="G189" s="950"/>
      <c r="H189" s="980"/>
      <c r="I189" s="950"/>
    </row>
    <row r="190" spans="1:9" ht="15" customHeight="1" x14ac:dyDescent="0.25">
      <c r="A190" s="960">
        <v>55</v>
      </c>
      <c r="B190" s="987" t="s">
        <v>1597</v>
      </c>
      <c r="C190" s="968" t="s">
        <v>3526</v>
      </c>
      <c r="D190" s="952" t="s">
        <v>3166</v>
      </c>
      <c r="E190" s="950"/>
      <c r="F190" s="980"/>
      <c r="G190" s="950"/>
      <c r="H190" s="980"/>
      <c r="I190" s="950"/>
    </row>
    <row r="191" spans="1:9" ht="15" customHeight="1" x14ac:dyDescent="0.25">
      <c r="A191" s="960">
        <v>56</v>
      </c>
      <c r="B191" s="987" t="s">
        <v>175</v>
      </c>
      <c r="C191" s="968" t="s">
        <v>3526</v>
      </c>
      <c r="D191" s="952" t="s">
        <v>3196</v>
      </c>
      <c r="E191" s="950"/>
      <c r="F191" s="980"/>
      <c r="G191" s="950"/>
      <c r="H191" s="980"/>
      <c r="I191" s="950"/>
    </row>
    <row r="192" spans="1:9" ht="15" customHeight="1" x14ac:dyDescent="0.25">
      <c r="A192" s="960">
        <v>58</v>
      </c>
      <c r="B192" s="987" t="s">
        <v>553</v>
      </c>
      <c r="C192" s="968" t="s">
        <v>3526</v>
      </c>
      <c r="D192" s="952" t="s">
        <v>3197</v>
      </c>
      <c r="E192" s="950"/>
      <c r="F192" s="980"/>
      <c r="G192" s="950"/>
      <c r="H192" s="980"/>
      <c r="I192" s="950"/>
    </row>
    <row r="193" spans="1:9" ht="15" customHeight="1" x14ac:dyDescent="0.2">
      <c r="A193" s="960">
        <v>59</v>
      </c>
      <c r="B193" s="969" t="s">
        <v>1498</v>
      </c>
      <c r="C193" s="968" t="s">
        <v>3526</v>
      </c>
      <c r="D193" s="952" t="s">
        <v>3198</v>
      </c>
      <c r="E193" s="950"/>
      <c r="F193" s="980"/>
      <c r="G193" s="950"/>
      <c r="H193" s="980"/>
      <c r="I193" s="950"/>
    </row>
    <row r="194" spans="1:9" ht="15" customHeight="1" x14ac:dyDescent="0.2">
      <c r="A194" s="960">
        <v>60</v>
      </c>
      <c r="B194" s="961" t="s">
        <v>292</v>
      </c>
      <c r="C194" s="967" t="s">
        <v>3526</v>
      </c>
      <c r="D194" s="952" t="s">
        <v>3199</v>
      </c>
      <c r="E194" s="950"/>
      <c r="F194" s="980"/>
      <c r="G194" s="950"/>
      <c r="H194" s="980"/>
      <c r="I194" s="950"/>
    </row>
    <row r="195" spans="1:9" ht="15" customHeight="1" x14ac:dyDescent="0.2">
      <c r="A195" s="960">
        <v>61</v>
      </c>
      <c r="B195" s="961" t="s">
        <v>1360</v>
      </c>
      <c r="C195" s="967" t="s">
        <v>3526</v>
      </c>
      <c r="D195" s="974" t="s">
        <v>3184</v>
      </c>
      <c r="E195" s="950"/>
      <c r="F195" s="980"/>
      <c r="G195" s="950"/>
      <c r="H195" s="980"/>
      <c r="I195" s="950"/>
    </row>
    <row r="196" spans="1:9" ht="15" customHeight="1" x14ac:dyDescent="0.2">
      <c r="A196" s="960">
        <v>62</v>
      </c>
      <c r="B196" s="961" t="s">
        <v>3200</v>
      </c>
      <c r="C196" s="967" t="s">
        <v>3526</v>
      </c>
      <c r="D196" s="952" t="s">
        <v>3201</v>
      </c>
      <c r="E196" s="950"/>
      <c r="F196" s="980"/>
      <c r="G196" s="950"/>
      <c r="H196" s="980"/>
      <c r="I196" s="950"/>
    </row>
    <row r="197" spans="1:9" ht="22.5" customHeight="1" x14ac:dyDescent="0.2">
      <c r="A197" s="960">
        <v>63</v>
      </c>
      <c r="B197" s="969" t="s">
        <v>1163</v>
      </c>
      <c r="C197" s="968" t="s">
        <v>3526</v>
      </c>
      <c r="D197" s="952" t="s">
        <v>3202</v>
      </c>
      <c r="E197" s="950"/>
      <c r="F197" s="980"/>
      <c r="G197" s="950"/>
      <c r="H197" s="980"/>
      <c r="I197" s="950"/>
    </row>
    <row r="198" spans="1:9" ht="30" customHeight="1" x14ac:dyDescent="0.25">
      <c r="A198" s="960">
        <v>64</v>
      </c>
      <c r="B198" s="987" t="s">
        <v>2474</v>
      </c>
      <c r="C198" s="968" t="s">
        <v>3526</v>
      </c>
      <c r="D198" s="952" t="s">
        <v>3116</v>
      </c>
      <c r="E198" s="950"/>
      <c r="F198" s="980"/>
      <c r="G198" s="950"/>
      <c r="H198" s="980"/>
      <c r="I198" s="950"/>
    </row>
    <row r="199" spans="1:9" ht="30" customHeight="1" x14ac:dyDescent="0.2">
      <c r="A199" s="960">
        <v>65</v>
      </c>
      <c r="B199" s="961" t="s">
        <v>2382</v>
      </c>
      <c r="C199" s="967" t="s">
        <v>3526</v>
      </c>
      <c r="D199" s="952" t="s">
        <v>3178</v>
      </c>
      <c r="E199" s="950"/>
      <c r="F199" s="980"/>
      <c r="G199" s="950"/>
      <c r="H199" s="980" t="s">
        <v>3556</v>
      </c>
      <c r="I199" s="950" t="s">
        <v>3554</v>
      </c>
    </row>
    <row r="200" spans="1:9" ht="30" customHeight="1" x14ac:dyDescent="0.2">
      <c r="A200" s="960">
        <v>66</v>
      </c>
      <c r="B200" s="961" t="s">
        <v>1883</v>
      </c>
      <c r="C200" s="967" t="s">
        <v>3526</v>
      </c>
      <c r="D200" s="952" t="s">
        <v>3204</v>
      </c>
      <c r="E200" s="950"/>
      <c r="F200" s="980"/>
      <c r="G200" s="950"/>
      <c r="H200" s="980"/>
      <c r="I200" s="950"/>
    </row>
    <row r="201" spans="1:9" ht="30" customHeight="1" x14ac:dyDescent="0.2">
      <c r="A201" s="960">
        <v>68</v>
      </c>
      <c r="B201" s="961" t="s">
        <v>1357</v>
      </c>
      <c r="C201" s="967" t="s">
        <v>3526</v>
      </c>
      <c r="D201" s="952" t="s">
        <v>3206</v>
      </c>
      <c r="E201" s="950"/>
      <c r="F201" s="980"/>
      <c r="G201" s="950"/>
      <c r="H201" s="980"/>
      <c r="I201" s="950"/>
    </row>
    <row r="202" spans="1:9" ht="30" customHeight="1" x14ac:dyDescent="0.2">
      <c r="A202" s="960">
        <v>69</v>
      </c>
      <c r="B202" s="961" t="s">
        <v>2041</v>
      </c>
      <c r="C202" s="967" t="s">
        <v>3526</v>
      </c>
      <c r="D202" s="952" t="s">
        <v>3207</v>
      </c>
      <c r="E202" s="950"/>
      <c r="F202" s="980"/>
      <c r="G202" s="950"/>
      <c r="H202" s="980"/>
      <c r="I202" s="950"/>
    </row>
    <row r="203" spans="1:9" ht="30" customHeight="1" x14ac:dyDescent="0.25">
      <c r="A203" s="960">
        <v>75</v>
      </c>
      <c r="B203" s="987" t="s">
        <v>1623</v>
      </c>
      <c r="C203" s="968" t="s">
        <v>3526</v>
      </c>
      <c r="D203" s="952" t="s">
        <v>3212</v>
      </c>
      <c r="E203" s="950"/>
      <c r="F203" s="980"/>
      <c r="G203" s="950"/>
      <c r="H203" s="980" t="s">
        <v>3557</v>
      </c>
      <c r="I203" s="950" t="s">
        <v>3555</v>
      </c>
    </row>
    <row r="204" spans="1:9" ht="30" customHeight="1" x14ac:dyDescent="0.25">
      <c r="A204" s="960">
        <v>76</v>
      </c>
      <c r="B204" s="987" t="s">
        <v>1618</v>
      </c>
      <c r="C204" s="968" t="s">
        <v>3526</v>
      </c>
      <c r="D204" s="952" t="s">
        <v>3213</v>
      </c>
      <c r="E204" s="950"/>
      <c r="F204" s="980"/>
      <c r="G204" s="950"/>
      <c r="H204" s="980"/>
      <c r="I204" s="950"/>
    </row>
    <row r="205" spans="1:9" ht="30" customHeight="1" x14ac:dyDescent="0.25">
      <c r="A205" s="960">
        <v>77</v>
      </c>
      <c r="B205" s="987" t="s">
        <v>2010</v>
      </c>
      <c r="C205" s="968" t="s">
        <v>3526</v>
      </c>
      <c r="D205" s="952" t="s">
        <v>3137</v>
      </c>
      <c r="E205" s="950"/>
      <c r="F205" s="980"/>
      <c r="G205" s="950"/>
      <c r="H205" s="980"/>
      <c r="I205" s="950"/>
    </row>
    <row r="206" spans="1:9" ht="30" customHeight="1" x14ac:dyDescent="0.2">
      <c r="A206" s="960">
        <v>79</v>
      </c>
      <c r="B206" s="961" t="s">
        <v>1611</v>
      </c>
      <c r="C206" s="967" t="s">
        <v>3526</v>
      </c>
      <c r="D206" s="952" t="s">
        <v>3216</v>
      </c>
      <c r="E206" s="950"/>
      <c r="F206" s="980"/>
      <c r="G206" s="950"/>
      <c r="H206" s="980"/>
      <c r="I206" s="950"/>
    </row>
    <row r="207" spans="1:9" ht="30" customHeight="1" x14ac:dyDescent="0.25">
      <c r="A207" s="960">
        <v>81</v>
      </c>
      <c r="B207" s="987" t="s">
        <v>1355</v>
      </c>
      <c r="C207" s="968" t="s">
        <v>3526</v>
      </c>
      <c r="D207" s="952" t="s">
        <v>3218</v>
      </c>
      <c r="E207" s="950"/>
      <c r="F207" s="980"/>
      <c r="G207" s="950"/>
      <c r="H207" s="980"/>
      <c r="I207" s="950"/>
    </row>
    <row r="208" spans="1:9" ht="30" customHeight="1" x14ac:dyDescent="0.2">
      <c r="A208" s="960">
        <v>83</v>
      </c>
      <c r="B208" s="967" t="s">
        <v>206</v>
      </c>
      <c r="C208" s="967" t="s">
        <v>3526</v>
      </c>
      <c r="D208" s="952" t="s">
        <v>3125</v>
      </c>
      <c r="E208" s="950"/>
      <c r="F208" s="980"/>
      <c r="G208" s="950"/>
      <c r="H208" s="980"/>
      <c r="I208" s="950"/>
    </row>
    <row r="209" spans="1:9" ht="30" customHeight="1" x14ac:dyDescent="0.2">
      <c r="A209" s="960">
        <v>84</v>
      </c>
      <c r="B209" s="967" t="s">
        <v>171</v>
      </c>
      <c r="C209" s="967" t="s">
        <v>3526</v>
      </c>
      <c r="D209" s="952" t="s">
        <v>3220</v>
      </c>
      <c r="E209" s="950"/>
      <c r="F209" s="980"/>
      <c r="G209" s="950"/>
      <c r="H209" s="980"/>
      <c r="I209" s="950"/>
    </row>
    <row r="210" spans="1:9" ht="30" customHeight="1" x14ac:dyDescent="0.2">
      <c r="A210" s="960">
        <v>92</v>
      </c>
      <c r="B210" s="961" t="s">
        <v>2070</v>
      </c>
      <c r="C210" s="967" t="s">
        <v>3526</v>
      </c>
      <c r="D210" s="952" t="s">
        <v>3234</v>
      </c>
      <c r="E210" s="950"/>
      <c r="F210" s="980"/>
      <c r="G210" s="950"/>
      <c r="H210" s="980"/>
      <c r="I210" s="950"/>
    </row>
    <row r="211" spans="1:9" ht="30" customHeight="1" x14ac:dyDescent="0.2">
      <c r="A211" s="960">
        <v>97</v>
      </c>
      <c r="B211" s="967" t="s">
        <v>3242</v>
      </c>
      <c r="C211" s="967" t="s">
        <v>3526</v>
      </c>
      <c r="D211" s="952" t="s">
        <v>3243</v>
      </c>
      <c r="E211" s="950"/>
      <c r="F211" s="980"/>
      <c r="G211" s="950"/>
      <c r="H211" s="980"/>
      <c r="I211" s="950"/>
    </row>
    <row r="212" spans="1:9" ht="30" customHeight="1" x14ac:dyDescent="0.25">
      <c r="A212" s="960">
        <v>101</v>
      </c>
      <c r="B212" s="987" t="s">
        <v>96</v>
      </c>
      <c r="C212" s="968" t="s">
        <v>3526</v>
      </c>
      <c r="D212" s="952" t="s">
        <v>3241</v>
      </c>
      <c r="E212" s="950"/>
      <c r="F212" s="980"/>
      <c r="G212" s="950"/>
      <c r="H212" s="980"/>
      <c r="I212" s="950"/>
    </row>
    <row r="213" spans="1:9" ht="30" customHeight="1" x14ac:dyDescent="0.2">
      <c r="A213" s="960">
        <v>102</v>
      </c>
      <c r="B213" s="967" t="s">
        <v>211</v>
      </c>
      <c r="C213" s="967" t="s">
        <v>3526</v>
      </c>
      <c r="D213" s="952" t="s">
        <v>3251</v>
      </c>
      <c r="E213" s="950"/>
      <c r="F213" s="980"/>
      <c r="G213" s="950"/>
      <c r="H213" s="980"/>
      <c r="I213" s="950"/>
    </row>
    <row r="214" spans="1:9" ht="30" customHeight="1" x14ac:dyDescent="0.2">
      <c r="A214" s="960">
        <v>103</v>
      </c>
      <c r="B214" s="967" t="s">
        <v>3252</v>
      </c>
      <c r="C214" s="967" t="s">
        <v>3526</v>
      </c>
      <c r="D214" s="952" t="s">
        <v>3250</v>
      </c>
      <c r="E214" s="950"/>
      <c r="F214" s="980"/>
      <c r="G214" s="950"/>
      <c r="H214" s="980"/>
      <c r="I214" s="950"/>
    </row>
    <row r="215" spans="1:9" ht="30" customHeight="1" x14ac:dyDescent="0.2">
      <c r="A215" s="960">
        <v>104</v>
      </c>
      <c r="B215" s="967" t="s">
        <v>3253</v>
      </c>
      <c r="C215" s="967" t="s">
        <v>3526</v>
      </c>
      <c r="D215" s="952" t="s">
        <v>3254</v>
      </c>
      <c r="E215" s="950"/>
      <c r="F215" s="980"/>
      <c r="G215" s="950"/>
      <c r="H215" s="980"/>
      <c r="I215" s="950"/>
    </row>
    <row r="216" spans="1:9" ht="30" customHeight="1" x14ac:dyDescent="0.2">
      <c r="A216" s="960">
        <v>105</v>
      </c>
      <c r="B216" s="961" t="s">
        <v>1642</v>
      </c>
      <c r="C216" s="967" t="s">
        <v>3526</v>
      </c>
      <c r="D216" s="952" t="s">
        <v>3255</v>
      </c>
      <c r="E216" s="950"/>
      <c r="F216" s="980"/>
      <c r="G216" s="950"/>
      <c r="H216" s="980"/>
      <c r="I216" s="950"/>
    </row>
    <row r="217" spans="1:9" ht="30" customHeight="1" x14ac:dyDescent="0.2">
      <c r="A217" s="960">
        <v>106</v>
      </c>
      <c r="B217" s="967" t="s">
        <v>3256</v>
      </c>
      <c r="C217" s="967" t="s">
        <v>3526</v>
      </c>
      <c r="D217" s="952" t="s">
        <v>3176</v>
      </c>
      <c r="E217" s="950"/>
      <c r="F217" s="980"/>
      <c r="G217" s="950"/>
      <c r="H217" s="980"/>
      <c r="I217" s="950"/>
    </row>
    <row r="218" spans="1:9" ht="30" customHeight="1" x14ac:dyDescent="0.2">
      <c r="A218" s="960">
        <v>112</v>
      </c>
      <c r="B218" s="961" t="s">
        <v>2192</v>
      </c>
      <c r="C218" s="967" t="s">
        <v>3526</v>
      </c>
      <c r="D218" s="952" t="s">
        <v>3111</v>
      </c>
      <c r="E218" s="950"/>
      <c r="F218" s="980"/>
      <c r="G218" s="950"/>
      <c r="H218" s="980"/>
      <c r="I218" s="950"/>
    </row>
    <row r="219" spans="1:9" ht="30" customHeight="1" x14ac:dyDescent="0.25">
      <c r="A219" s="960">
        <v>115</v>
      </c>
      <c r="B219" s="987" t="s">
        <v>1539</v>
      </c>
      <c r="C219" s="968" t="s">
        <v>3526</v>
      </c>
      <c r="D219" s="952" t="s">
        <v>3269</v>
      </c>
      <c r="E219" s="950"/>
      <c r="F219" s="980"/>
      <c r="G219" s="950"/>
      <c r="H219" s="980"/>
      <c r="I219" s="950"/>
    </row>
    <row r="220" spans="1:9" ht="30" customHeight="1" x14ac:dyDescent="0.25">
      <c r="A220" s="960">
        <v>118</v>
      </c>
      <c r="B220" s="987" t="s">
        <v>1579</v>
      </c>
      <c r="C220" s="968" t="s">
        <v>3526</v>
      </c>
      <c r="D220" s="952" t="s">
        <v>3273</v>
      </c>
      <c r="E220" s="950"/>
      <c r="F220" s="980"/>
      <c r="G220" s="950"/>
      <c r="H220" s="980"/>
      <c r="I220" s="950"/>
    </row>
    <row r="221" spans="1:9" ht="30" customHeight="1" x14ac:dyDescent="0.2">
      <c r="A221" s="960">
        <v>119</v>
      </c>
      <c r="B221" s="961" t="s">
        <v>2220</v>
      </c>
      <c r="C221" s="967" t="s">
        <v>3526</v>
      </c>
      <c r="D221" s="952" t="s">
        <v>3274</v>
      </c>
      <c r="E221" s="950"/>
      <c r="F221" s="980"/>
      <c r="G221" s="950"/>
      <c r="H221" s="980"/>
      <c r="I221" s="950"/>
    </row>
    <row r="222" spans="1:9" ht="30" customHeight="1" x14ac:dyDescent="0.2">
      <c r="A222" s="960">
        <v>120</v>
      </c>
      <c r="B222" s="967" t="s">
        <v>546</v>
      </c>
      <c r="C222" s="967" t="s">
        <v>3526</v>
      </c>
      <c r="D222" s="952" t="s">
        <v>3275</v>
      </c>
      <c r="E222" s="950"/>
      <c r="F222" s="980"/>
      <c r="G222" s="950"/>
      <c r="H222" s="980"/>
      <c r="I222" s="950"/>
    </row>
    <row r="223" spans="1:9" ht="30" customHeight="1" x14ac:dyDescent="0.25">
      <c r="A223" s="960">
        <v>122</v>
      </c>
      <c r="B223" s="987" t="s">
        <v>274</v>
      </c>
      <c r="C223" s="968" t="s">
        <v>3526</v>
      </c>
      <c r="D223" s="952" t="s">
        <v>3278</v>
      </c>
      <c r="E223" s="950"/>
      <c r="F223" s="980"/>
      <c r="G223" s="950"/>
      <c r="H223" s="980"/>
      <c r="I223" s="950"/>
    </row>
    <row r="224" spans="1:9" ht="30" customHeight="1" x14ac:dyDescent="0.2">
      <c r="A224" s="960">
        <v>126</v>
      </c>
      <c r="B224" s="961" t="s">
        <v>1746</v>
      </c>
      <c r="C224" s="967" t="s">
        <v>3526</v>
      </c>
      <c r="D224" s="952" t="s">
        <v>3285</v>
      </c>
      <c r="E224" s="950"/>
      <c r="F224" s="980"/>
      <c r="G224" s="950"/>
      <c r="H224" s="980"/>
      <c r="I224" s="950"/>
    </row>
    <row r="225" spans="1:9" ht="30" customHeight="1" x14ac:dyDescent="0.2">
      <c r="A225" s="960">
        <v>127</v>
      </c>
      <c r="B225" s="961" t="s">
        <v>2002</v>
      </c>
      <c r="C225" s="967" t="s">
        <v>3526</v>
      </c>
      <c r="D225" s="952" t="s">
        <v>3122</v>
      </c>
      <c r="E225" s="950"/>
      <c r="F225" s="980"/>
      <c r="G225" s="950"/>
      <c r="H225" s="980"/>
      <c r="I225" s="950"/>
    </row>
    <row r="226" spans="1:9" ht="30" customHeight="1" x14ac:dyDescent="0.2">
      <c r="A226" s="960">
        <v>128</v>
      </c>
      <c r="B226" s="961" t="s">
        <v>1895</v>
      </c>
      <c r="C226" s="967" t="s">
        <v>3526</v>
      </c>
      <c r="D226" s="952" t="s">
        <v>3118</v>
      </c>
      <c r="E226" s="950"/>
      <c r="F226" s="980"/>
      <c r="G226" s="950"/>
      <c r="H226" s="980"/>
      <c r="I226" s="950"/>
    </row>
    <row r="227" spans="1:9" ht="30" customHeight="1" x14ac:dyDescent="0.2">
      <c r="A227" s="960">
        <v>129</v>
      </c>
      <c r="B227" s="961" t="s">
        <v>2120</v>
      </c>
      <c r="C227" s="967" t="s">
        <v>3526</v>
      </c>
      <c r="D227" s="952" t="s">
        <v>3132</v>
      </c>
      <c r="E227" s="950"/>
      <c r="F227" s="980"/>
      <c r="G227" s="950"/>
      <c r="H227" s="980"/>
      <c r="I227" s="950"/>
    </row>
    <row r="228" spans="1:9" ht="30" customHeight="1" x14ac:dyDescent="0.2">
      <c r="A228" s="960">
        <v>130</v>
      </c>
      <c r="B228" s="961" t="s">
        <v>2165</v>
      </c>
      <c r="C228" s="967" t="s">
        <v>3526</v>
      </c>
      <c r="D228" s="952" t="s">
        <v>3195</v>
      </c>
      <c r="E228" s="950"/>
      <c r="F228" s="980"/>
      <c r="G228" s="950"/>
      <c r="H228" s="980"/>
      <c r="I228" s="950"/>
    </row>
    <row r="229" spans="1:9" ht="30" customHeight="1" x14ac:dyDescent="0.25">
      <c r="A229" s="960">
        <v>131</v>
      </c>
      <c r="B229" s="987" t="s">
        <v>2360</v>
      </c>
      <c r="C229" s="968" t="s">
        <v>3526</v>
      </c>
      <c r="D229" s="952" t="s">
        <v>3286</v>
      </c>
      <c r="E229" s="950"/>
      <c r="F229" s="980"/>
      <c r="G229" s="950"/>
      <c r="H229" s="980"/>
      <c r="I229" s="950"/>
    </row>
    <row r="230" spans="1:9" ht="30" customHeight="1" x14ac:dyDescent="0.2">
      <c r="A230" s="960">
        <v>132</v>
      </c>
      <c r="B230" s="961" t="s">
        <v>2057</v>
      </c>
      <c r="C230" s="967" t="s">
        <v>3526</v>
      </c>
      <c r="D230" s="952" t="s">
        <v>3287</v>
      </c>
      <c r="E230" s="950"/>
      <c r="F230" s="980"/>
      <c r="G230" s="950"/>
      <c r="H230" s="980"/>
      <c r="I230" s="950"/>
    </row>
    <row r="231" spans="1:9" ht="30" customHeight="1" x14ac:dyDescent="0.2">
      <c r="A231" s="960">
        <v>133</v>
      </c>
      <c r="B231" s="961" t="s">
        <v>1859</v>
      </c>
      <c r="C231" s="967" t="s">
        <v>3526</v>
      </c>
      <c r="D231" s="952" t="s">
        <v>3189</v>
      </c>
      <c r="E231" s="950"/>
      <c r="F231" s="980"/>
      <c r="G231" s="950"/>
      <c r="H231" s="980"/>
      <c r="I231" s="950"/>
    </row>
    <row r="232" spans="1:9" ht="30" customHeight="1" x14ac:dyDescent="0.2">
      <c r="A232" s="960">
        <v>136</v>
      </c>
      <c r="B232" s="976" t="s">
        <v>2426</v>
      </c>
      <c r="C232" s="967" t="s">
        <v>3526</v>
      </c>
      <c r="D232" s="952" t="s">
        <v>3292</v>
      </c>
      <c r="E232" s="950"/>
      <c r="F232" s="980"/>
      <c r="G232" s="950"/>
      <c r="H232" s="980"/>
      <c r="I232" s="950"/>
    </row>
    <row r="233" spans="1:9" ht="30" customHeight="1" x14ac:dyDescent="0.2">
      <c r="A233" s="960">
        <v>137</v>
      </c>
      <c r="B233" s="961" t="s">
        <v>2113</v>
      </c>
      <c r="C233" s="967" t="s">
        <v>3526</v>
      </c>
      <c r="D233" s="952" t="s">
        <v>3293</v>
      </c>
      <c r="E233" s="950"/>
      <c r="F233" s="980"/>
      <c r="G233" s="950"/>
      <c r="H233" s="980"/>
      <c r="I233" s="950"/>
    </row>
    <row r="234" spans="1:9" ht="30" customHeight="1" x14ac:dyDescent="0.2">
      <c r="A234" s="960">
        <v>138</v>
      </c>
      <c r="B234" s="961" t="s">
        <v>1613</v>
      </c>
      <c r="C234" s="967" t="s">
        <v>3526</v>
      </c>
      <c r="D234" s="952" t="s">
        <v>3294</v>
      </c>
      <c r="E234" s="950"/>
      <c r="F234" s="980"/>
      <c r="G234" s="950"/>
      <c r="H234" s="980"/>
      <c r="I234" s="950"/>
    </row>
    <row r="235" spans="1:9" ht="30" customHeight="1" x14ac:dyDescent="0.2">
      <c r="A235" s="960">
        <v>145</v>
      </c>
      <c r="B235" s="961" t="s">
        <v>2262</v>
      </c>
      <c r="C235" s="967" t="s">
        <v>3526</v>
      </c>
      <c r="D235" s="952" t="s">
        <v>3304</v>
      </c>
      <c r="E235" s="950"/>
      <c r="F235" s="980"/>
      <c r="G235" s="950"/>
      <c r="H235" s="980"/>
      <c r="I235" s="950"/>
    </row>
    <row r="236" spans="1:9" ht="30" customHeight="1" x14ac:dyDescent="0.25">
      <c r="A236" s="960">
        <v>146</v>
      </c>
      <c r="B236" s="987" t="s">
        <v>2150</v>
      </c>
      <c r="C236" s="968" t="s">
        <v>3526</v>
      </c>
      <c r="D236" s="952" t="s">
        <v>3305</v>
      </c>
      <c r="E236" s="950"/>
      <c r="F236" s="980"/>
      <c r="G236" s="950"/>
      <c r="H236" s="980"/>
      <c r="I236" s="950"/>
    </row>
    <row r="237" spans="1:9" ht="30" customHeight="1" x14ac:dyDescent="0.2">
      <c r="A237" s="960">
        <v>147</v>
      </c>
      <c r="B237" s="961" t="s">
        <v>2225</v>
      </c>
      <c r="C237" s="967" t="s">
        <v>3526</v>
      </c>
      <c r="D237" s="952" t="s">
        <v>3218</v>
      </c>
      <c r="E237" s="950"/>
      <c r="F237" s="980"/>
      <c r="G237" s="950"/>
      <c r="H237" s="980"/>
      <c r="I237" s="950"/>
    </row>
    <row r="238" spans="1:9" ht="30" customHeight="1" x14ac:dyDescent="0.25">
      <c r="A238" s="960">
        <v>161</v>
      </c>
      <c r="B238" s="987" t="s">
        <v>135</v>
      </c>
      <c r="C238" s="968" t="s">
        <v>3526</v>
      </c>
      <c r="D238" s="952" t="s">
        <v>3324</v>
      </c>
      <c r="E238" s="950"/>
      <c r="F238" s="980"/>
      <c r="G238" s="950"/>
      <c r="H238" s="980"/>
      <c r="I238" s="950"/>
    </row>
    <row r="239" spans="1:9" ht="30" customHeight="1" x14ac:dyDescent="0.2">
      <c r="A239" s="960">
        <v>169</v>
      </c>
      <c r="B239" s="961" t="s">
        <v>1964</v>
      </c>
      <c r="C239" s="967" t="s">
        <v>3526</v>
      </c>
      <c r="D239" s="970" t="s">
        <v>3324</v>
      </c>
      <c r="E239" s="950"/>
      <c r="F239" s="980"/>
      <c r="G239" s="950"/>
      <c r="H239" s="980"/>
      <c r="I239" s="950"/>
    </row>
    <row r="240" spans="1:9" ht="30" customHeight="1" x14ac:dyDescent="0.2">
      <c r="A240" s="960">
        <v>171</v>
      </c>
      <c r="B240" s="961" t="s">
        <v>1996</v>
      </c>
      <c r="C240" s="967" t="s">
        <v>3526</v>
      </c>
      <c r="D240" s="952" t="s">
        <v>3337</v>
      </c>
      <c r="E240" s="989" t="s">
        <v>3338</v>
      </c>
      <c r="F240" s="980" t="s">
        <v>3336</v>
      </c>
      <c r="G240" s="980"/>
      <c r="H240" s="980"/>
      <c r="I240" s="950" t="s">
        <v>3336</v>
      </c>
    </row>
    <row r="241" spans="1:9" ht="30" customHeight="1" x14ac:dyDescent="0.2">
      <c r="A241" s="960">
        <v>172</v>
      </c>
      <c r="B241" s="961" t="s">
        <v>3339</v>
      </c>
      <c r="C241" s="967" t="s">
        <v>3526</v>
      </c>
      <c r="D241" s="952" t="s">
        <v>1585</v>
      </c>
      <c r="E241" s="989" t="s">
        <v>3340</v>
      </c>
      <c r="F241" s="980" t="s">
        <v>3336</v>
      </c>
      <c r="G241" s="980"/>
      <c r="H241" s="980"/>
      <c r="I241" s="950" t="s">
        <v>3336</v>
      </c>
    </row>
    <row r="242" spans="1:9" ht="30" customHeight="1" x14ac:dyDescent="0.2">
      <c r="A242" s="960">
        <v>173</v>
      </c>
      <c r="B242" s="961" t="s">
        <v>2085</v>
      </c>
      <c r="C242" s="967" t="s">
        <v>3526</v>
      </c>
      <c r="D242" s="952" t="s">
        <v>3341</v>
      </c>
      <c r="E242" s="989" t="s">
        <v>3342</v>
      </c>
      <c r="F242" s="980" t="s">
        <v>3343</v>
      </c>
      <c r="G242" s="980"/>
      <c r="H242" s="980"/>
      <c r="I242" s="950" t="s">
        <v>3343</v>
      </c>
    </row>
    <row r="243" spans="1:9" ht="30" customHeight="1" x14ac:dyDescent="0.2">
      <c r="A243" s="960">
        <v>175</v>
      </c>
      <c r="B243" s="961" t="s">
        <v>3346</v>
      </c>
      <c r="C243" s="967" t="s">
        <v>3526</v>
      </c>
      <c r="D243" s="952" t="s">
        <v>3121</v>
      </c>
      <c r="E243" s="989" t="s">
        <v>3347</v>
      </c>
      <c r="F243" s="980" t="s">
        <v>3336</v>
      </c>
      <c r="G243" s="980"/>
      <c r="H243" s="980"/>
      <c r="I243" s="950" t="s">
        <v>3336</v>
      </c>
    </row>
    <row r="244" spans="1:9" ht="30" customHeight="1" x14ac:dyDescent="0.2">
      <c r="A244" s="960">
        <v>180</v>
      </c>
      <c r="B244" s="961" t="s">
        <v>1872</v>
      </c>
      <c r="C244" s="967" t="s">
        <v>3526</v>
      </c>
      <c r="D244" s="952" t="s">
        <v>3359</v>
      </c>
      <c r="E244" s="989" t="s">
        <v>3360</v>
      </c>
      <c r="F244" s="980" t="s">
        <v>3343</v>
      </c>
      <c r="G244" s="980"/>
      <c r="H244" s="980"/>
      <c r="I244" s="950" t="s">
        <v>3343</v>
      </c>
    </row>
    <row r="245" spans="1:9" ht="30" customHeight="1" x14ac:dyDescent="0.2">
      <c r="A245" s="960">
        <v>181</v>
      </c>
      <c r="B245" s="961" t="s">
        <v>2094</v>
      </c>
      <c r="C245" s="967" t="s">
        <v>3526</v>
      </c>
      <c r="D245" s="952" t="s">
        <v>3361</v>
      </c>
      <c r="E245" s="989" t="s">
        <v>3362</v>
      </c>
      <c r="F245" s="980" t="s">
        <v>3343</v>
      </c>
      <c r="G245" s="980"/>
      <c r="H245" s="980"/>
      <c r="I245" s="950" t="s">
        <v>3343</v>
      </c>
    </row>
    <row r="246" spans="1:9" ht="30" customHeight="1" x14ac:dyDescent="0.2">
      <c r="A246" s="960">
        <v>183</v>
      </c>
      <c r="B246" s="961" t="s">
        <v>1908</v>
      </c>
      <c r="C246" s="967" t="s">
        <v>3526</v>
      </c>
      <c r="D246" s="952" t="s">
        <v>3366</v>
      </c>
      <c r="E246" s="989" t="s">
        <v>3367</v>
      </c>
      <c r="F246" s="980" t="s">
        <v>3343</v>
      </c>
      <c r="G246" s="980"/>
      <c r="H246" s="980"/>
      <c r="I246" s="950" t="s">
        <v>3343</v>
      </c>
    </row>
    <row r="247" spans="1:9" ht="30" customHeight="1" x14ac:dyDescent="0.2">
      <c r="A247" s="960">
        <v>184</v>
      </c>
      <c r="B247" s="961" t="s">
        <v>2474</v>
      </c>
      <c r="C247" s="967" t="s">
        <v>3526</v>
      </c>
      <c r="D247" s="952" t="s">
        <v>290</v>
      </c>
      <c r="E247" s="989" t="s">
        <v>3368</v>
      </c>
      <c r="F247" s="980" t="s">
        <v>3343</v>
      </c>
      <c r="G247" s="980"/>
      <c r="H247" s="980"/>
      <c r="I247" s="950" t="s">
        <v>3343</v>
      </c>
    </row>
    <row r="248" spans="1:9" ht="30" customHeight="1" x14ac:dyDescent="0.2">
      <c r="A248" s="960">
        <v>185</v>
      </c>
      <c r="B248" s="967" t="s">
        <v>399</v>
      </c>
      <c r="C248" s="967" t="s">
        <v>3526</v>
      </c>
      <c r="D248" s="952" t="s">
        <v>3369</v>
      </c>
      <c r="E248" s="989" t="s">
        <v>3370</v>
      </c>
      <c r="F248" s="980" t="s">
        <v>3336</v>
      </c>
      <c r="G248" s="980"/>
      <c r="H248" s="980"/>
      <c r="I248" s="950" t="s">
        <v>3336</v>
      </c>
    </row>
    <row r="249" spans="1:9" ht="30" customHeight="1" x14ac:dyDescent="0.2">
      <c r="A249" s="960">
        <v>186</v>
      </c>
      <c r="B249" s="961" t="s">
        <v>1475</v>
      </c>
      <c r="C249" s="967" t="s">
        <v>3526</v>
      </c>
      <c r="D249" s="952" t="s">
        <v>3371</v>
      </c>
      <c r="E249" s="989" t="s">
        <v>3372</v>
      </c>
      <c r="F249" s="980" t="s">
        <v>3336</v>
      </c>
      <c r="G249" s="980"/>
      <c r="H249" s="980"/>
      <c r="I249" s="950" t="s">
        <v>3336</v>
      </c>
    </row>
    <row r="250" spans="1:9" ht="30" customHeight="1" x14ac:dyDescent="0.2">
      <c r="A250" s="960">
        <v>188</v>
      </c>
      <c r="B250" s="967" t="s">
        <v>120</v>
      </c>
      <c r="C250" s="967" t="s">
        <v>3526</v>
      </c>
      <c r="D250" s="952" t="s">
        <v>3376</v>
      </c>
      <c r="E250" s="989" t="s">
        <v>3377</v>
      </c>
      <c r="F250" s="980" t="s">
        <v>3343</v>
      </c>
      <c r="G250" s="980"/>
      <c r="H250" s="980"/>
      <c r="I250" s="950" t="s">
        <v>3343</v>
      </c>
    </row>
    <row r="251" spans="1:9" ht="54" customHeight="1" x14ac:dyDescent="0.25">
      <c r="A251" s="960">
        <v>191</v>
      </c>
      <c r="B251" s="987" t="s">
        <v>2051</v>
      </c>
      <c r="C251" s="968" t="s">
        <v>3526</v>
      </c>
      <c r="D251" s="952" t="s">
        <v>2052</v>
      </c>
      <c r="E251" s="989" t="s">
        <v>3383</v>
      </c>
      <c r="F251" s="980" t="s">
        <v>3351</v>
      </c>
      <c r="G251" s="980"/>
      <c r="H251" s="980"/>
      <c r="I251" s="950" t="s">
        <v>3351</v>
      </c>
    </row>
    <row r="252" spans="1:9" ht="30" customHeight="1" x14ac:dyDescent="0.2">
      <c r="A252" s="960">
        <v>192</v>
      </c>
      <c r="B252" s="969" t="s">
        <v>2537</v>
      </c>
      <c r="C252" s="968" t="s">
        <v>3526</v>
      </c>
      <c r="D252" s="952" t="s">
        <v>3384</v>
      </c>
      <c r="E252" s="989" t="s">
        <v>3385</v>
      </c>
      <c r="F252" s="980" t="s">
        <v>3386</v>
      </c>
      <c r="G252" s="980"/>
      <c r="H252" s="980"/>
      <c r="I252" s="950" t="s">
        <v>3386</v>
      </c>
    </row>
    <row r="253" spans="1:9" ht="30" customHeight="1" x14ac:dyDescent="0.2">
      <c r="A253" s="960">
        <v>193</v>
      </c>
      <c r="B253" s="961" t="s">
        <v>2214</v>
      </c>
      <c r="C253" s="967" t="s">
        <v>3526</v>
      </c>
      <c r="D253" s="952" t="s">
        <v>3387</v>
      </c>
      <c r="E253" s="989" t="s">
        <v>3388</v>
      </c>
      <c r="F253" s="980" t="s">
        <v>3343</v>
      </c>
      <c r="G253" s="980"/>
      <c r="H253" s="980"/>
      <c r="I253" s="950" t="s">
        <v>3343</v>
      </c>
    </row>
    <row r="254" spans="1:9" ht="30" customHeight="1" x14ac:dyDescent="0.2">
      <c r="A254" s="960">
        <v>194</v>
      </c>
      <c r="B254" s="961" t="s">
        <v>2387</v>
      </c>
      <c r="C254" s="967" t="s">
        <v>3526</v>
      </c>
      <c r="D254" s="952" t="s">
        <v>2852</v>
      </c>
      <c r="E254" s="989" t="s">
        <v>3389</v>
      </c>
      <c r="F254" s="980" t="s">
        <v>3386</v>
      </c>
      <c r="G254" s="980"/>
      <c r="H254" s="980"/>
      <c r="I254" s="950" t="s">
        <v>3386</v>
      </c>
    </row>
    <row r="255" spans="1:9" ht="30" customHeight="1" x14ac:dyDescent="0.2">
      <c r="A255" s="960">
        <v>195</v>
      </c>
      <c r="B255" s="961" t="s">
        <v>2521</v>
      </c>
      <c r="C255" s="967" t="s">
        <v>3526</v>
      </c>
      <c r="D255" s="952" t="s">
        <v>2522</v>
      </c>
      <c r="E255" s="989" t="s">
        <v>3390</v>
      </c>
      <c r="F255" s="980" t="s">
        <v>3386</v>
      </c>
      <c r="G255" s="980"/>
      <c r="H255" s="980"/>
      <c r="I255" s="950" t="s">
        <v>3386</v>
      </c>
    </row>
    <row r="256" spans="1:9" ht="30" customHeight="1" x14ac:dyDescent="0.2">
      <c r="A256" s="960">
        <v>197</v>
      </c>
      <c r="B256" s="961" t="s">
        <v>2248</v>
      </c>
      <c r="C256" s="967" t="s">
        <v>3526</v>
      </c>
      <c r="D256" s="952" t="s">
        <v>3394</v>
      </c>
      <c r="E256" s="989" t="s">
        <v>3395</v>
      </c>
      <c r="F256" s="980" t="s">
        <v>3386</v>
      </c>
      <c r="G256" s="980"/>
      <c r="H256" s="980"/>
      <c r="I256" s="950" t="s">
        <v>3386</v>
      </c>
    </row>
    <row r="257" spans="1:9" ht="30" customHeight="1" x14ac:dyDescent="0.25">
      <c r="A257" s="960">
        <v>198</v>
      </c>
      <c r="B257" s="987" t="s">
        <v>2038</v>
      </c>
      <c r="C257" s="968" t="s">
        <v>3526</v>
      </c>
      <c r="D257" s="952" t="s">
        <v>2039</v>
      </c>
      <c r="E257" s="989" t="s">
        <v>3396</v>
      </c>
      <c r="F257" s="980" t="s">
        <v>3386</v>
      </c>
      <c r="G257" s="980"/>
      <c r="H257" s="980"/>
      <c r="I257" s="950" t="s">
        <v>3386</v>
      </c>
    </row>
    <row r="258" spans="1:9" ht="30" customHeight="1" x14ac:dyDescent="0.2">
      <c r="A258" s="960">
        <v>202</v>
      </c>
      <c r="B258" s="969" t="s">
        <v>2102</v>
      </c>
      <c r="C258" s="968" t="s">
        <v>3526</v>
      </c>
      <c r="D258" s="952" t="s">
        <v>3405</v>
      </c>
      <c r="E258" s="989" t="s">
        <v>3406</v>
      </c>
      <c r="F258" s="980" t="s">
        <v>3343</v>
      </c>
      <c r="G258" s="980"/>
      <c r="H258" s="980"/>
      <c r="I258" s="950" t="s">
        <v>3343</v>
      </c>
    </row>
    <row r="259" spans="1:9" ht="30" customHeight="1" x14ac:dyDescent="0.2">
      <c r="A259" s="960">
        <v>203</v>
      </c>
      <c r="B259" s="961" t="s">
        <v>2237</v>
      </c>
      <c r="C259" s="967" t="s">
        <v>3526</v>
      </c>
      <c r="D259" s="952" t="s">
        <v>3407</v>
      </c>
      <c r="E259" s="989" t="s">
        <v>3408</v>
      </c>
      <c r="F259" s="980" t="s">
        <v>3386</v>
      </c>
      <c r="G259" s="980"/>
      <c r="H259" s="980"/>
      <c r="I259" s="950" t="s">
        <v>3386</v>
      </c>
    </row>
    <row r="260" spans="1:9" ht="30" customHeight="1" x14ac:dyDescent="0.2">
      <c r="A260" s="960">
        <v>208</v>
      </c>
      <c r="B260" s="969" t="s">
        <v>2757</v>
      </c>
      <c r="C260" s="968" t="s">
        <v>3526</v>
      </c>
      <c r="D260" s="952" t="s">
        <v>3415</v>
      </c>
      <c r="E260" s="989" t="s">
        <v>3416</v>
      </c>
      <c r="F260" s="980" t="s">
        <v>3386</v>
      </c>
      <c r="G260" s="980"/>
      <c r="H260" s="980"/>
      <c r="I260" s="950" t="s">
        <v>3386</v>
      </c>
    </row>
    <row r="261" spans="1:9" ht="30" customHeight="1" x14ac:dyDescent="0.2">
      <c r="A261" s="960">
        <v>209</v>
      </c>
      <c r="B261" s="961" t="s">
        <v>3417</v>
      </c>
      <c r="C261" s="967" t="s">
        <v>3526</v>
      </c>
      <c r="D261" s="952" t="s">
        <v>8</v>
      </c>
      <c r="E261" s="989" t="s">
        <v>3418</v>
      </c>
      <c r="F261" s="980" t="s">
        <v>3386</v>
      </c>
      <c r="G261" s="980"/>
      <c r="H261" s="980"/>
      <c r="I261" s="950" t="s">
        <v>3386</v>
      </c>
    </row>
    <row r="262" spans="1:9" ht="30" customHeight="1" x14ac:dyDescent="0.2">
      <c r="A262" s="960">
        <v>212</v>
      </c>
      <c r="B262" s="976" t="s">
        <v>2457</v>
      </c>
      <c r="C262" s="967" t="s">
        <v>3526</v>
      </c>
      <c r="D262" s="952" t="s">
        <v>2458</v>
      </c>
      <c r="E262" s="989" t="s">
        <v>3423</v>
      </c>
      <c r="F262" s="980" t="s">
        <v>3424</v>
      </c>
      <c r="G262" s="980"/>
      <c r="H262" s="980"/>
      <c r="I262" s="950" t="s">
        <v>3424</v>
      </c>
    </row>
    <row r="263" spans="1:9" ht="30" customHeight="1" x14ac:dyDescent="0.2">
      <c r="A263" s="960">
        <v>213</v>
      </c>
      <c r="B263" s="961" t="s">
        <v>2574</v>
      </c>
      <c r="C263" s="967" t="s">
        <v>3526</v>
      </c>
      <c r="D263" s="952" t="s">
        <v>3425</v>
      </c>
      <c r="E263" s="989" t="s">
        <v>3426</v>
      </c>
      <c r="F263" s="980" t="s">
        <v>3351</v>
      </c>
      <c r="G263" s="980"/>
      <c r="H263" s="980"/>
      <c r="I263" s="950" t="s">
        <v>3351</v>
      </c>
    </row>
    <row r="264" spans="1:9" ht="30" customHeight="1" x14ac:dyDescent="0.2">
      <c r="A264" s="960">
        <v>215</v>
      </c>
      <c r="B264" s="969" t="s">
        <v>2735</v>
      </c>
      <c r="C264" s="968" t="s">
        <v>3526</v>
      </c>
      <c r="D264" s="952" t="s">
        <v>244</v>
      </c>
      <c r="E264" s="989" t="s">
        <v>3429</v>
      </c>
      <c r="F264" s="980" t="s">
        <v>3343</v>
      </c>
      <c r="G264" s="980"/>
      <c r="H264" s="980"/>
      <c r="I264" s="950" t="s">
        <v>3343</v>
      </c>
    </row>
    <row r="265" spans="1:9" ht="30" customHeight="1" x14ac:dyDescent="0.2">
      <c r="A265" s="960">
        <v>216</v>
      </c>
      <c r="B265" s="967" t="s">
        <v>163</v>
      </c>
      <c r="C265" s="967" t="s">
        <v>3526</v>
      </c>
      <c r="D265" s="952" t="s">
        <v>3430</v>
      </c>
      <c r="E265" s="989" t="s">
        <v>3431</v>
      </c>
      <c r="F265" s="980" t="s">
        <v>3343</v>
      </c>
      <c r="G265" s="980"/>
      <c r="H265" s="980"/>
      <c r="I265" s="950" t="s">
        <v>3343</v>
      </c>
    </row>
    <row r="266" spans="1:9" ht="30" customHeight="1" x14ac:dyDescent="0.2">
      <c r="A266" s="960">
        <v>217</v>
      </c>
      <c r="B266" s="961" t="s">
        <v>1891</v>
      </c>
      <c r="C266" s="967" t="s">
        <v>3526</v>
      </c>
      <c r="D266" s="952" t="s">
        <v>3432</v>
      </c>
      <c r="E266" s="989" t="s">
        <v>3433</v>
      </c>
      <c r="F266" s="980" t="s">
        <v>3386</v>
      </c>
      <c r="G266" s="980"/>
      <c r="H266" s="980"/>
      <c r="I266" s="950" t="s">
        <v>3386</v>
      </c>
    </row>
    <row r="267" spans="1:9" ht="30" customHeight="1" x14ac:dyDescent="0.25">
      <c r="A267" s="960">
        <v>219</v>
      </c>
      <c r="B267" s="987" t="s">
        <v>1758</v>
      </c>
      <c r="C267" s="968" t="s">
        <v>3526</v>
      </c>
      <c r="D267" s="952" t="s">
        <v>3437</v>
      </c>
      <c r="E267" s="989" t="s">
        <v>3438</v>
      </c>
      <c r="F267" s="980" t="s">
        <v>3351</v>
      </c>
      <c r="G267" s="980"/>
      <c r="H267" s="980"/>
      <c r="I267" s="950" t="s">
        <v>3351</v>
      </c>
    </row>
    <row r="268" spans="1:9" ht="30" customHeight="1" x14ac:dyDescent="0.2">
      <c r="A268" s="960">
        <v>225</v>
      </c>
      <c r="B268" s="967" t="s">
        <v>3448</v>
      </c>
      <c r="C268" s="967" t="s">
        <v>3526</v>
      </c>
      <c r="D268" s="952" t="s">
        <v>3449</v>
      </c>
      <c r="E268" s="989" t="s">
        <v>3450</v>
      </c>
      <c r="F268" s="980" t="s">
        <v>3386</v>
      </c>
      <c r="G268" s="980"/>
      <c r="H268" s="980"/>
      <c r="I268" s="950" t="s">
        <v>3386</v>
      </c>
    </row>
    <row r="269" spans="1:9" ht="30" customHeight="1" x14ac:dyDescent="0.2">
      <c r="A269" s="960">
        <v>226</v>
      </c>
      <c r="B269" s="961" t="s">
        <v>3451</v>
      </c>
      <c r="C269" s="967" t="s">
        <v>3526</v>
      </c>
      <c r="D269" s="952" t="s">
        <v>3452</v>
      </c>
      <c r="E269" s="989" t="s">
        <v>3453</v>
      </c>
      <c r="F269" s="980" t="s">
        <v>3386</v>
      </c>
      <c r="G269" s="980"/>
      <c r="H269" s="980"/>
      <c r="I269" s="950" t="s">
        <v>3386</v>
      </c>
    </row>
    <row r="270" spans="1:9" ht="30" customHeight="1" x14ac:dyDescent="0.2">
      <c r="A270" s="960">
        <v>227</v>
      </c>
      <c r="B270" s="961" t="s">
        <v>2233</v>
      </c>
      <c r="C270" s="967" t="s">
        <v>3526</v>
      </c>
      <c r="D270" s="952" t="s">
        <v>3371</v>
      </c>
      <c r="E270" s="989" t="s">
        <v>3454</v>
      </c>
      <c r="F270" s="980" t="s">
        <v>3386</v>
      </c>
      <c r="G270" s="980"/>
      <c r="H270" s="980"/>
      <c r="I270" s="950" t="s">
        <v>3386</v>
      </c>
    </row>
    <row r="271" spans="1:9" ht="30" customHeight="1" x14ac:dyDescent="0.2">
      <c r="A271" s="960">
        <v>228</v>
      </c>
      <c r="B271" s="961" t="s">
        <v>2436</v>
      </c>
      <c r="C271" s="967" t="s">
        <v>3526</v>
      </c>
      <c r="D271" s="952" t="s">
        <v>3455</v>
      </c>
      <c r="E271" s="989" t="s">
        <v>3456</v>
      </c>
      <c r="F271" s="980" t="s">
        <v>3343</v>
      </c>
      <c r="G271" s="980"/>
      <c r="H271" s="980"/>
      <c r="I271" s="950" t="s">
        <v>3343</v>
      </c>
    </row>
    <row r="272" spans="1:9" ht="30" customHeight="1" x14ac:dyDescent="0.2">
      <c r="A272" s="960">
        <v>230</v>
      </c>
      <c r="B272" s="961" t="s">
        <v>2434</v>
      </c>
      <c r="C272" s="967" t="s">
        <v>3526</v>
      </c>
      <c r="D272" s="952" t="s">
        <v>2435</v>
      </c>
      <c r="E272" s="989" t="s">
        <v>3459</v>
      </c>
      <c r="F272" s="980" t="s">
        <v>3424</v>
      </c>
      <c r="G272" s="980"/>
      <c r="H272" s="980"/>
      <c r="I272" s="950" t="s">
        <v>3424</v>
      </c>
    </row>
    <row r="273" spans="1:9" ht="30" customHeight="1" x14ac:dyDescent="0.2">
      <c r="A273" s="960">
        <v>231</v>
      </c>
      <c r="B273" s="961" t="s">
        <v>2467</v>
      </c>
      <c r="C273" s="967" t="s">
        <v>3526</v>
      </c>
      <c r="D273" s="952" t="s">
        <v>3460</v>
      </c>
      <c r="E273" s="989" t="s">
        <v>3461</v>
      </c>
      <c r="F273" s="980" t="s">
        <v>3424</v>
      </c>
      <c r="G273" s="980"/>
      <c r="H273" s="980"/>
      <c r="I273" s="950" t="s">
        <v>3424</v>
      </c>
    </row>
    <row r="274" spans="1:9" ht="30" customHeight="1" x14ac:dyDescent="0.2">
      <c r="A274" s="960">
        <v>232</v>
      </c>
      <c r="B274" s="961" t="s">
        <v>2760</v>
      </c>
      <c r="C274" s="967" t="s">
        <v>3526</v>
      </c>
      <c r="D274" s="952" t="s">
        <v>2761</v>
      </c>
      <c r="E274" s="989" t="s">
        <v>3462</v>
      </c>
      <c r="F274" s="980" t="s">
        <v>3351</v>
      </c>
      <c r="G274" s="980"/>
      <c r="H274" s="980"/>
      <c r="I274" s="950" t="s">
        <v>3351</v>
      </c>
    </row>
    <row r="275" spans="1:9" ht="30" customHeight="1" x14ac:dyDescent="0.2">
      <c r="A275" s="960">
        <v>233</v>
      </c>
      <c r="B275" s="961" t="s">
        <v>2444</v>
      </c>
      <c r="C275" s="967" t="s">
        <v>3526</v>
      </c>
      <c r="D275" s="952" t="s">
        <v>3463</v>
      </c>
      <c r="E275" s="989" t="s">
        <v>3464</v>
      </c>
      <c r="F275" s="980" t="s">
        <v>3424</v>
      </c>
      <c r="G275" s="980"/>
      <c r="H275" s="980"/>
      <c r="I275" s="950" t="s">
        <v>3424</v>
      </c>
    </row>
    <row r="276" spans="1:9" ht="30" customHeight="1" x14ac:dyDescent="0.2">
      <c r="A276" s="960">
        <v>234</v>
      </c>
      <c r="B276" s="961" t="s">
        <v>1973</v>
      </c>
      <c r="C276" s="967" t="s">
        <v>3526</v>
      </c>
      <c r="D276" s="952" t="s">
        <v>3465</v>
      </c>
      <c r="E276" s="989"/>
      <c r="F276" s="980" t="s">
        <v>3351</v>
      </c>
      <c r="G276" s="980"/>
      <c r="H276" s="980"/>
      <c r="I276" s="950" t="s">
        <v>3351</v>
      </c>
    </row>
    <row r="277" spans="1:9" ht="30" customHeight="1" x14ac:dyDescent="0.2">
      <c r="A277" s="960">
        <v>236</v>
      </c>
      <c r="B277" s="961" t="s">
        <v>2550</v>
      </c>
      <c r="C277" s="967" t="s">
        <v>3526</v>
      </c>
      <c r="D277" s="952" t="s">
        <v>3468</v>
      </c>
      <c r="E277" s="989" t="s">
        <v>3469</v>
      </c>
      <c r="F277" s="980" t="s">
        <v>3424</v>
      </c>
      <c r="G277" s="980"/>
      <c r="H277" s="980"/>
      <c r="I277" s="950" t="s">
        <v>3424</v>
      </c>
    </row>
    <row r="278" spans="1:9" ht="30" customHeight="1" x14ac:dyDescent="0.2">
      <c r="A278" s="960">
        <v>237</v>
      </c>
      <c r="B278" s="961" t="s">
        <v>2532</v>
      </c>
      <c r="C278" s="967" t="s">
        <v>3526</v>
      </c>
      <c r="D278" s="952" t="s">
        <v>2047</v>
      </c>
      <c r="E278" s="989" t="s">
        <v>3470</v>
      </c>
      <c r="F278" s="980" t="s">
        <v>3424</v>
      </c>
      <c r="G278" s="980"/>
      <c r="H278" s="980"/>
      <c r="I278" s="950" t="s">
        <v>3424</v>
      </c>
    </row>
    <row r="279" spans="1:9" ht="30" customHeight="1" x14ac:dyDescent="0.2">
      <c r="A279" s="960">
        <v>238</v>
      </c>
      <c r="B279" s="961" t="s">
        <v>2646</v>
      </c>
      <c r="C279" s="967" t="s">
        <v>3526</v>
      </c>
      <c r="D279" s="952" t="s">
        <v>2647</v>
      </c>
      <c r="E279" s="989" t="s">
        <v>3471</v>
      </c>
      <c r="F279" s="980" t="s">
        <v>3424</v>
      </c>
      <c r="G279" s="980"/>
      <c r="H279" s="980"/>
      <c r="I279" s="950" t="s">
        <v>3424</v>
      </c>
    </row>
    <row r="280" spans="1:9" ht="30" customHeight="1" x14ac:dyDescent="0.2">
      <c r="A280" s="960">
        <v>239</v>
      </c>
      <c r="B280" s="961" t="s">
        <v>2846</v>
      </c>
      <c r="C280" s="967" t="s">
        <v>3526</v>
      </c>
      <c r="D280" s="952" t="s">
        <v>3463</v>
      </c>
      <c r="E280" s="989" t="s">
        <v>3472</v>
      </c>
      <c r="F280" s="980" t="s">
        <v>3424</v>
      </c>
      <c r="G280" s="980"/>
      <c r="H280" s="980"/>
      <c r="I280" s="950" t="s">
        <v>3424</v>
      </c>
    </row>
    <row r="281" spans="1:9" ht="30" customHeight="1" x14ac:dyDescent="0.2">
      <c r="A281" s="960">
        <v>240</v>
      </c>
      <c r="B281" s="961" t="s">
        <v>2686</v>
      </c>
      <c r="C281" s="967" t="s">
        <v>3526</v>
      </c>
      <c r="D281" s="952" t="s">
        <v>3473</v>
      </c>
      <c r="E281" s="989" t="s">
        <v>3474</v>
      </c>
      <c r="F281" s="980" t="s">
        <v>3475</v>
      </c>
      <c r="G281" s="980"/>
      <c r="H281" s="980"/>
      <c r="I281" s="950" t="s">
        <v>3475</v>
      </c>
    </row>
    <row r="282" spans="1:9" ht="30" customHeight="1" x14ac:dyDescent="0.2">
      <c r="A282" s="960">
        <v>241</v>
      </c>
      <c r="B282" s="961" t="s">
        <v>2700</v>
      </c>
      <c r="C282" s="967" t="s">
        <v>3526</v>
      </c>
      <c r="D282" s="952" t="s">
        <v>3476</v>
      </c>
      <c r="E282" s="989" t="s">
        <v>3477</v>
      </c>
      <c r="F282" s="980" t="s">
        <v>3478</v>
      </c>
      <c r="G282" s="980"/>
      <c r="H282" s="980"/>
      <c r="I282" s="950" t="s">
        <v>3478</v>
      </c>
    </row>
    <row r="283" spans="1:9" ht="30" customHeight="1" x14ac:dyDescent="0.2">
      <c r="A283" s="960">
        <v>242</v>
      </c>
      <c r="B283" s="961" t="s">
        <v>2698</v>
      </c>
      <c r="C283" s="967" t="s">
        <v>3526</v>
      </c>
      <c r="D283" s="952" t="s">
        <v>2701</v>
      </c>
      <c r="E283" s="989" t="s">
        <v>3479</v>
      </c>
      <c r="F283" s="980" t="s">
        <v>3478</v>
      </c>
      <c r="G283" s="980"/>
      <c r="H283" s="980"/>
      <c r="I283" s="950" t="s">
        <v>3478</v>
      </c>
    </row>
    <row r="284" spans="1:9" ht="30" customHeight="1" x14ac:dyDescent="0.2">
      <c r="A284" s="960">
        <v>243</v>
      </c>
      <c r="B284" s="961" t="s">
        <v>2703</v>
      </c>
      <c r="C284" s="967" t="s">
        <v>3526</v>
      </c>
      <c r="D284" s="952" t="s">
        <v>2704</v>
      </c>
      <c r="E284" s="989" t="s">
        <v>3480</v>
      </c>
      <c r="F284" s="980" t="s">
        <v>3478</v>
      </c>
      <c r="G284" s="980"/>
      <c r="H284" s="980"/>
      <c r="I284" s="950" t="s">
        <v>3478</v>
      </c>
    </row>
    <row r="285" spans="1:9" ht="30" customHeight="1" x14ac:dyDescent="0.2">
      <c r="A285" s="960">
        <v>245</v>
      </c>
      <c r="B285" s="961" t="s">
        <v>2484</v>
      </c>
      <c r="C285" s="967" t="s">
        <v>3526</v>
      </c>
      <c r="D285" s="952" t="s">
        <v>3482</v>
      </c>
      <c r="E285" s="989" t="s">
        <v>3483</v>
      </c>
      <c r="F285" s="980" t="s">
        <v>3475</v>
      </c>
      <c r="G285" s="980"/>
      <c r="H285" s="980"/>
      <c r="I285" s="950" t="s">
        <v>3475</v>
      </c>
    </row>
    <row r="286" spans="1:9" ht="30" customHeight="1" x14ac:dyDescent="0.25">
      <c r="A286" s="960">
        <v>246</v>
      </c>
      <c r="B286" s="987" t="s">
        <v>2642</v>
      </c>
      <c r="C286" s="968" t="s">
        <v>3526</v>
      </c>
      <c r="D286" s="952" t="s">
        <v>2643</v>
      </c>
      <c r="E286" s="989" t="s">
        <v>3484</v>
      </c>
      <c r="F286" s="980" t="s">
        <v>3424</v>
      </c>
      <c r="G286" s="980"/>
      <c r="H286" s="980"/>
      <c r="I286" s="950" t="s">
        <v>3424</v>
      </c>
    </row>
    <row r="287" spans="1:9" ht="30" customHeight="1" x14ac:dyDescent="0.2">
      <c r="A287" s="960">
        <v>247</v>
      </c>
      <c r="B287" s="961" t="s">
        <v>2849</v>
      </c>
      <c r="C287" s="967" t="s">
        <v>3526</v>
      </c>
      <c r="D287" s="952" t="s">
        <v>3460</v>
      </c>
      <c r="E287" s="989" t="s">
        <v>3485</v>
      </c>
      <c r="F287" s="980" t="s">
        <v>3424</v>
      </c>
      <c r="G287" s="980"/>
      <c r="H287" s="980"/>
      <c r="I287" s="950" t="s">
        <v>3424</v>
      </c>
    </row>
    <row r="288" spans="1:9" ht="30" customHeight="1" x14ac:dyDescent="0.2">
      <c r="A288" s="960">
        <v>248</v>
      </c>
      <c r="B288" s="961" t="s">
        <v>2510</v>
      </c>
      <c r="C288" s="967" t="s">
        <v>3526</v>
      </c>
      <c r="D288" s="952" t="s">
        <v>3486</v>
      </c>
      <c r="E288" s="989" t="s">
        <v>3487</v>
      </c>
      <c r="F288" s="980" t="s">
        <v>3475</v>
      </c>
      <c r="G288" s="980"/>
      <c r="H288" s="980"/>
      <c r="I288" s="950" t="s">
        <v>3475</v>
      </c>
    </row>
    <row r="289" spans="1:9" ht="30" customHeight="1" x14ac:dyDescent="0.25">
      <c r="A289" s="960">
        <v>249</v>
      </c>
      <c r="B289" s="987" t="s">
        <v>2490</v>
      </c>
      <c r="C289" s="968" t="s">
        <v>3526</v>
      </c>
      <c r="D289" s="952" t="s">
        <v>2491</v>
      </c>
      <c r="E289" s="989" t="s">
        <v>3488</v>
      </c>
      <c r="F289" s="980" t="s">
        <v>3475</v>
      </c>
      <c r="G289" s="980"/>
      <c r="H289" s="980" t="s">
        <v>3559</v>
      </c>
      <c r="I289" s="950" t="s">
        <v>3555</v>
      </c>
    </row>
    <row r="290" spans="1:9" ht="30" customHeight="1" x14ac:dyDescent="0.2">
      <c r="A290" s="960">
        <v>250</v>
      </c>
      <c r="B290" s="961" t="s">
        <v>2500</v>
      </c>
      <c r="C290" s="967" t="s">
        <v>3526</v>
      </c>
      <c r="D290" s="952" t="s">
        <v>3489</v>
      </c>
      <c r="E290" s="989" t="s">
        <v>3490</v>
      </c>
      <c r="F290" s="980" t="s">
        <v>3475</v>
      </c>
      <c r="G290" s="980"/>
      <c r="H290" s="980"/>
      <c r="I290" s="950" t="s">
        <v>3475</v>
      </c>
    </row>
    <row r="291" spans="1:9" ht="30" customHeight="1" x14ac:dyDescent="0.2">
      <c r="A291" s="960">
        <v>251</v>
      </c>
      <c r="B291" s="961" t="s">
        <v>2493</v>
      </c>
      <c r="C291" s="967" t="s">
        <v>3526</v>
      </c>
      <c r="D291" s="952" t="s">
        <v>3491</v>
      </c>
      <c r="E291" s="989" t="s">
        <v>3492</v>
      </c>
      <c r="F291" s="980" t="s">
        <v>3424</v>
      </c>
      <c r="G291" s="980"/>
      <c r="H291" s="980"/>
      <c r="I291" s="950" t="s">
        <v>3424</v>
      </c>
    </row>
    <row r="292" spans="1:9" ht="30" customHeight="1" x14ac:dyDescent="0.2">
      <c r="A292" s="960">
        <v>252</v>
      </c>
      <c r="B292" s="961" t="s">
        <v>2506</v>
      </c>
      <c r="C292" s="967" t="s">
        <v>3526</v>
      </c>
      <c r="D292" s="952" t="s">
        <v>3493</v>
      </c>
      <c r="E292" s="989" t="s">
        <v>3494</v>
      </c>
      <c r="F292" s="980" t="s">
        <v>3424</v>
      </c>
      <c r="G292" s="980"/>
      <c r="H292" s="980"/>
      <c r="I292" s="950" t="s">
        <v>3424</v>
      </c>
    </row>
    <row r="293" spans="1:9" ht="30" customHeight="1" x14ac:dyDescent="0.2">
      <c r="A293" s="960">
        <v>253</v>
      </c>
      <c r="B293" s="961" t="s">
        <v>2485</v>
      </c>
      <c r="C293" s="967" t="s">
        <v>3526</v>
      </c>
      <c r="D293" s="952" t="s">
        <v>3495</v>
      </c>
      <c r="E293" s="989" t="s">
        <v>3496</v>
      </c>
      <c r="F293" s="980" t="s">
        <v>3424</v>
      </c>
      <c r="G293" s="980"/>
      <c r="H293" s="980"/>
      <c r="I293" s="950" t="s">
        <v>3424</v>
      </c>
    </row>
    <row r="294" spans="1:9" ht="30" customHeight="1" x14ac:dyDescent="0.2">
      <c r="A294" s="960">
        <v>254</v>
      </c>
      <c r="B294" s="961" t="s">
        <v>2432</v>
      </c>
      <c r="C294" s="967" t="s">
        <v>3526</v>
      </c>
      <c r="D294" s="952" t="s">
        <v>1537</v>
      </c>
      <c r="E294" s="989" t="s">
        <v>3497</v>
      </c>
      <c r="F294" s="980" t="s">
        <v>3424</v>
      </c>
      <c r="G294" s="980"/>
      <c r="H294" s="980"/>
      <c r="I294" s="950" t="s">
        <v>3424</v>
      </c>
    </row>
    <row r="295" spans="1:9" ht="30" customHeight="1" x14ac:dyDescent="0.2">
      <c r="A295" s="960">
        <v>255</v>
      </c>
      <c r="B295" s="961" t="s">
        <v>2465</v>
      </c>
      <c r="C295" s="967" t="s">
        <v>3526</v>
      </c>
      <c r="D295" s="952" t="s">
        <v>3498</v>
      </c>
      <c r="E295" s="989" t="s">
        <v>3499</v>
      </c>
      <c r="F295" s="980" t="s">
        <v>3478</v>
      </c>
      <c r="G295" s="980"/>
      <c r="H295" s="980"/>
      <c r="I295" s="950" t="s">
        <v>3478</v>
      </c>
    </row>
    <row r="296" spans="1:9" ht="30" customHeight="1" x14ac:dyDescent="0.2">
      <c r="A296" s="960">
        <v>256</v>
      </c>
      <c r="B296" s="961" t="s">
        <v>2496</v>
      </c>
      <c r="C296" s="967" t="s">
        <v>3526</v>
      </c>
      <c r="D296" s="952" t="s">
        <v>2654</v>
      </c>
      <c r="E296" s="989" t="s">
        <v>3500</v>
      </c>
      <c r="F296" s="980" t="s">
        <v>3478</v>
      </c>
      <c r="G296" s="980"/>
      <c r="H296" s="980"/>
      <c r="I296" s="950" t="s">
        <v>3478</v>
      </c>
    </row>
    <row r="297" spans="1:9" ht="30" customHeight="1" x14ac:dyDescent="0.2">
      <c r="A297" s="960">
        <v>257</v>
      </c>
      <c r="B297" s="961" t="s">
        <v>2431</v>
      </c>
      <c r="C297" s="967" t="s">
        <v>3526</v>
      </c>
      <c r="D297" s="952" t="s">
        <v>3501</v>
      </c>
      <c r="E297" s="989" t="s">
        <v>3502</v>
      </c>
      <c r="F297" s="980" t="s">
        <v>3478</v>
      </c>
      <c r="G297" s="980"/>
      <c r="H297" s="980"/>
      <c r="I297" s="950" t="s">
        <v>3478</v>
      </c>
    </row>
    <row r="298" spans="1:9" ht="30" customHeight="1" x14ac:dyDescent="0.2">
      <c r="A298" s="960">
        <v>258</v>
      </c>
      <c r="B298" s="961" t="s">
        <v>2502</v>
      </c>
      <c r="C298" s="967" t="s">
        <v>3526</v>
      </c>
      <c r="D298" s="952" t="s">
        <v>2503</v>
      </c>
      <c r="E298" s="989" t="s">
        <v>3503</v>
      </c>
      <c r="F298" s="980" t="s">
        <v>3475</v>
      </c>
      <c r="G298" s="980"/>
      <c r="H298" s="980"/>
      <c r="I298" s="950" t="s">
        <v>3475</v>
      </c>
    </row>
    <row r="299" spans="1:9" ht="30" customHeight="1" x14ac:dyDescent="0.2">
      <c r="A299" s="960">
        <v>259</v>
      </c>
      <c r="B299" s="961" t="s">
        <v>2542</v>
      </c>
      <c r="C299" s="967" t="s">
        <v>3526</v>
      </c>
      <c r="D299" s="952" t="s">
        <v>3504</v>
      </c>
      <c r="E299" s="989" t="s">
        <v>3505</v>
      </c>
      <c r="F299" s="980" t="s">
        <v>3424</v>
      </c>
      <c r="G299" s="980"/>
      <c r="H299" s="980"/>
      <c r="I299" s="950" t="s">
        <v>3424</v>
      </c>
    </row>
    <row r="300" spans="1:9" ht="30" customHeight="1" x14ac:dyDescent="0.25">
      <c r="A300" s="960">
        <v>260</v>
      </c>
      <c r="B300" s="987" t="s">
        <v>2429</v>
      </c>
      <c r="C300" s="968" t="s">
        <v>3526</v>
      </c>
      <c r="D300" s="952" t="s">
        <v>3506</v>
      </c>
      <c r="E300" s="989" t="s">
        <v>3507</v>
      </c>
      <c r="F300" s="980" t="s">
        <v>3508</v>
      </c>
      <c r="G300" s="980"/>
      <c r="H300" s="980" t="s">
        <v>3557</v>
      </c>
      <c r="I300" s="950" t="s">
        <v>3555</v>
      </c>
    </row>
    <row r="301" spans="1:9" ht="25.5" x14ac:dyDescent="0.25">
      <c r="A301" s="960">
        <v>261</v>
      </c>
      <c r="B301" s="987" t="s">
        <v>2419</v>
      </c>
      <c r="C301" s="968" t="s">
        <v>3526</v>
      </c>
      <c r="D301" s="952" t="s">
        <v>86</v>
      </c>
      <c r="E301" s="989" t="s">
        <v>3509</v>
      </c>
      <c r="F301" s="980" t="s">
        <v>3508</v>
      </c>
      <c r="G301" s="980"/>
      <c r="H301" s="980" t="s">
        <v>3557</v>
      </c>
      <c r="I301" s="950" t="s">
        <v>3555</v>
      </c>
    </row>
    <row r="302" spans="1:9" ht="25.5" x14ac:dyDescent="0.25">
      <c r="A302" s="960">
        <v>262</v>
      </c>
      <c r="B302" s="987" t="s">
        <v>2724</v>
      </c>
      <c r="C302" s="968" t="s">
        <v>3526</v>
      </c>
      <c r="D302" s="952" t="s">
        <v>3510</v>
      </c>
      <c r="E302" s="989" t="s">
        <v>3511</v>
      </c>
      <c r="F302" s="980" t="s">
        <v>3508</v>
      </c>
      <c r="G302" s="980"/>
      <c r="H302" s="980" t="s">
        <v>3557</v>
      </c>
      <c r="I302" s="950" t="s">
        <v>3555</v>
      </c>
    </row>
    <row r="303" spans="1:9" ht="25.5" x14ac:dyDescent="0.25">
      <c r="A303" s="960">
        <v>263</v>
      </c>
      <c r="B303" s="987" t="s">
        <v>2779</v>
      </c>
      <c r="C303" s="968" t="s">
        <v>3526</v>
      </c>
      <c r="D303" s="952" t="s">
        <v>3512</v>
      </c>
      <c r="E303" s="989" t="s">
        <v>3513</v>
      </c>
      <c r="F303" s="980" t="s">
        <v>3508</v>
      </c>
      <c r="G303" s="980"/>
      <c r="H303" s="980" t="s">
        <v>3557</v>
      </c>
      <c r="I303" s="950" t="s">
        <v>3555</v>
      </c>
    </row>
    <row r="304" spans="1:9" ht="25.5" x14ac:dyDescent="0.25">
      <c r="A304" s="960">
        <v>264</v>
      </c>
      <c r="B304" s="987" t="s">
        <v>2789</v>
      </c>
      <c r="C304" s="968" t="s">
        <v>3526</v>
      </c>
      <c r="D304" s="952" t="s">
        <v>3514</v>
      </c>
      <c r="E304" s="989" t="s">
        <v>3515</v>
      </c>
      <c r="F304" s="980" t="s">
        <v>3508</v>
      </c>
      <c r="G304" s="980"/>
      <c r="H304" s="980" t="s">
        <v>3557</v>
      </c>
      <c r="I304" s="950" t="s">
        <v>3555</v>
      </c>
    </row>
    <row r="305" spans="1:9" ht="25.5" x14ac:dyDescent="0.25">
      <c r="A305" s="960">
        <v>266</v>
      </c>
      <c r="B305" s="987" t="s">
        <v>2488</v>
      </c>
      <c r="C305" s="968" t="s">
        <v>3526</v>
      </c>
      <c r="D305" s="952" t="s">
        <v>22</v>
      </c>
      <c r="E305" s="989" t="s">
        <v>3518</v>
      </c>
      <c r="F305" s="980" t="s">
        <v>3343</v>
      </c>
      <c r="G305" s="980"/>
      <c r="H305" s="980" t="s">
        <v>3561</v>
      </c>
      <c r="I305" s="950" t="s">
        <v>3343</v>
      </c>
    </row>
    <row r="306" spans="1:9" x14ac:dyDescent="0.2">
      <c r="A306" s="960">
        <v>271</v>
      </c>
      <c r="B306" s="977" t="s">
        <v>1538</v>
      </c>
      <c r="C306" s="967" t="s">
        <v>3526</v>
      </c>
      <c r="D306" s="952" t="s">
        <v>3524</v>
      </c>
      <c r="E306" s="950" t="s">
        <v>1088</v>
      </c>
      <c r="F306" s="980"/>
      <c r="G306" s="980"/>
      <c r="H306" s="980"/>
      <c r="I306" s="950"/>
    </row>
    <row r="307" spans="1:9" x14ac:dyDescent="0.2">
      <c r="A307" s="960">
        <v>272</v>
      </c>
      <c r="B307" s="978" t="s">
        <v>305</v>
      </c>
      <c r="C307" s="967" t="s">
        <v>3526</v>
      </c>
      <c r="D307" s="952" t="s">
        <v>3525</v>
      </c>
      <c r="E307" s="950"/>
      <c r="F307" s="980"/>
      <c r="G307" s="980"/>
      <c r="H307" s="980"/>
      <c r="I307" s="950"/>
    </row>
    <row r="308" spans="1:9" x14ac:dyDescent="0.2">
      <c r="A308" s="960">
        <v>273</v>
      </c>
      <c r="B308" s="978" t="s">
        <v>299</v>
      </c>
      <c r="C308" s="967" t="s">
        <v>3526</v>
      </c>
      <c r="D308" s="962" t="s">
        <v>1049</v>
      </c>
      <c r="E308" s="950"/>
      <c r="F308" s="980"/>
      <c r="G308" s="980"/>
      <c r="H308" s="980"/>
      <c r="I308" s="950"/>
    </row>
    <row r="309" spans="1:9" x14ac:dyDescent="0.2">
      <c r="A309" s="960">
        <v>274</v>
      </c>
      <c r="B309" s="977" t="s">
        <v>304</v>
      </c>
      <c r="C309" s="967" t="s">
        <v>3526</v>
      </c>
      <c r="D309" s="962" t="s">
        <v>1006</v>
      </c>
      <c r="E309" s="950"/>
      <c r="F309" s="980"/>
      <c r="G309" s="980"/>
      <c r="H309" s="980"/>
      <c r="I309" s="950"/>
    </row>
    <row r="310" spans="1:9" x14ac:dyDescent="0.2">
      <c r="A310" s="960">
        <v>275</v>
      </c>
      <c r="B310" s="963" t="s">
        <v>127</v>
      </c>
      <c r="C310" s="967" t="s">
        <v>3526</v>
      </c>
      <c r="D310" s="964" t="s">
        <v>128</v>
      </c>
      <c r="E310" s="950"/>
      <c r="F310" s="980"/>
      <c r="G310" s="980"/>
      <c r="H310" s="980"/>
      <c r="I310" s="950"/>
    </row>
    <row r="311" spans="1:9" x14ac:dyDescent="0.2">
      <c r="A311" s="960">
        <v>276</v>
      </c>
      <c r="B311" s="963" t="s">
        <v>35</v>
      </c>
      <c r="C311" s="967" t="s">
        <v>3526</v>
      </c>
      <c r="D311" s="964" t="s">
        <v>36</v>
      </c>
      <c r="E311" s="950"/>
      <c r="F311" s="980"/>
      <c r="G311" s="980"/>
      <c r="H311" s="980"/>
      <c r="I311" s="950"/>
    </row>
    <row r="312" spans="1:9" ht="25.5" x14ac:dyDescent="0.2">
      <c r="A312" s="960">
        <v>277</v>
      </c>
      <c r="B312" s="963" t="s">
        <v>47</v>
      </c>
      <c r="C312" s="967" t="s">
        <v>3526</v>
      </c>
      <c r="D312" s="964" t="s">
        <v>48</v>
      </c>
      <c r="E312" s="950"/>
      <c r="F312" s="980"/>
      <c r="G312" s="980"/>
      <c r="H312" s="980"/>
      <c r="I312" s="950"/>
    </row>
    <row r="313" spans="1:9" x14ac:dyDescent="0.2">
      <c r="A313" s="960">
        <v>278</v>
      </c>
      <c r="B313" s="963" t="s">
        <v>42</v>
      </c>
      <c r="C313" s="967" t="s">
        <v>3526</v>
      </c>
      <c r="D313" s="964" t="s">
        <v>43</v>
      </c>
      <c r="E313" s="950"/>
      <c r="F313" s="980"/>
      <c r="G313" s="980"/>
      <c r="H313" s="980"/>
      <c r="I313" s="950"/>
    </row>
    <row r="314" spans="1:9" ht="25.5" x14ac:dyDescent="0.2">
      <c r="A314" s="960">
        <v>279</v>
      </c>
      <c r="B314" s="963" t="s">
        <v>67</v>
      </c>
      <c r="C314" s="967" t="s">
        <v>3526</v>
      </c>
      <c r="D314" s="962" t="s">
        <v>68</v>
      </c>
      <c r="E314" s="950"/>
      <c r="F314" s="980"/>
      <c r="G314" s="980"/>
      <c r="H314" s="980"/>
      <c r="I314" s="950"/>
    </row>
    <row r="315" spans="1:9" ht="25.5" x14ac:dyDescent="0.2">
      <c r="A315" s="960">
        <v>280</v>
      </c>
      <c r="B315" s="963" t="s">
        <v>71</v>
      </c>
      <c r="C315" s="967" t="s">
        <v>3526</v>
      </c>
      <c r="D315" s="964" t="s">
        <v>1029</v>
      </c>
      <c r="E315" s="950"/>
      <c r="F315" s="980"/>
      <c r="G315" s="980"/>
      <c r="H315" s="980"/>
      <c r="I315" s="950"/>
    </row>
    <row r="316" spans="1:9" x14ac:dyDescent="0.2">
      <c r="A316" s="960">
        <v>281</v>
      </c>
      <c r="B316" s="963" t="s">
        <v>399</v>
      </c>
      <c r="C316" s="967" t="s">
        <v>3526</v>
      </c>
      <c r="D316" s="962" t="s">
        <v>424</v>
      </c>
      <c r="E316" s="950"/>
      <c r="F316" s="980"/>
      <c r="G316" s="980"/>
      <c r="H316" s="980"/>
      <c r="I316" s="950"/>
    </row>
    <row r="317" spans="1:9" ht="25.5" x14ac:dyDescent="0.25">
      <c r="A317" s="960">
        <v>282</v>
      </c>
      <c r="B317" s="997" t="s">
        <v>2081</v>
      </c>
      <c r="C317" s="952" t="s">
        <v>3526</v>
      </c>
      <c r="D317" s="952" t="s">
        <v>3545</v>
      </c>
      <c r="E317" s="950" t="s">
        <v>3546</v>
      </c>
      <c r="F317" s="980" t="s">
        <v>3547</v>
      </c>
      <c r="G317" s="980"/>
      <c r="H317" s="980"/>
      <c r="I317" s="950" t="s">
        <v>3554</v>
      </c>
    </row>
    <row r="318" spans="1:9" x14ac:dyDescent="0.2">
      <c r="A318" s="960">
        <v>283</v>
      </c>
      <c r="B318" s="978" t="s">
        <v>262</v>
      </c>
      <c r="C318" s="952" t="s">
        <v>3526</v>
      </c>
      <c r="D318" s="952" t="s">
        <v>3548</v>
      </c>
      <c r="E318" s="950"/>
      <c r="F318" s="980"/>
      <c r="G318" s="980"/>
      <c r="H318" s="980"/>
      <c r="I318" s="950"/>
    </row>
    <row r="319" spans="1:9" x14ac:dyDescent="0.2">
      <c r="A319" s="960">
        <v>284</v>
      </c>
      <c r="B319" s="978" t="s">
        <v>282</v>
      </c>
      <c r="C319" s="952" t="s">
        <v>3526</v>
      </c>
      <c r="D319" s="952" t="s">
        <v>3198</v>
      </c>
      <c r="E319" s="950"/>
      <c r="F319" s="980"/>
      <c r="G319" s="980"/>
      <c r="H319" s="980"/>
      <c r="I319" s="950"/>
    </row>
    <row r="320" spans="1:9" x14ac:dyDescent="0.2">
      <c r="A320" s="960">
        <v>285</v>
      </c>
      <c r="B320" s="978" t="s">
        <v>1159</v>
      </c>
      <c r="C320" s="952" t="s">
        <v>3526</v>
      </c>
      <c r="D320" s="952" t="s">
        <v>22</v>
      </c>
      <c r="E320" s="950"/>
      <c r="F320" s="980"/>
      <c r="G320" s="980"/>
      <c r="H320" s="980"/>
      <c r="I320" s="950"/>
    </row>
    <row r="321" spans="1:9" x14ac:dyDescent="0.2">
      <c r="A321" s="960">
        <v>286</v>
      </c>
      <c r="B321" s="978" t="s">
        <v>1114</v>
      </c>
      <c r="C321" s="952" t="s">
        <v>3526</v>
      </c>
      <c r="D321" s="952" t="s">
        <v>3549</v>
      </c>
      <c r="E321" s="950"/>
      <c r="F321" s="980"/>
      <c r="G321" s="980"/>
      <c r="H321" s="980"/>
      <c r="I321" s="950"/>
    </row>
    <row r="322" spans="1:9" x14ac:dyDescent="0.2">
      <c r="A322" s="960">
        <v>287</v>
      </c>
      <c r="B322" s="978" t="s">
        <v>1864</v>
      </c>
      <c r="C322" s="952" t="s">
        <v>3526</v>
      </c>
      <c r="D322" s="952" t="s">
        <v>3550</v>
      </c>
      <c r="E322" s="950"/>
      <c r="F322" s="980"/>
      <c r="G322" s="980"/>
      <c r="H322" s="980"/>
      <c r="I322" s="950"/>
    </row>
    <row r="323" spans="1:9" x14ac:dyDescent="0.2">
      <c r="A323" s="960">
        <v>288</v>
      </c>
      <c r="B323" s="978" t="s">
        <v>2026</v>
      </c>
      <c r="C323" s="952" t="s">
        <v>3526</v>
      </c>
      <c r="D323" s="952" t="s">
        <v>3551</v>
      </c>
      <c r="E323" s="950"/>
      <c r="F323" s="980"/>
      <c r="G323" s="980"/>
      <c r="H323" s="980"/>
      <c r="I323" s="950"/>
    </row>
    <row r="324" spans="1:9" ht="25.5" x14ac:dyDescent="0.25">
      <c r="A324" s="960">
        <v>289</v>
      </c>
      <c r="B324" s="997" t="s">
        <v>2030</v>
      </c>
      <c r="C324" s="952" t="s">
        <v>3526</v>
      </c>
      <c r="D324" s="952" t="s">
        <v>2031</v>
      </c>
      <c r="E324" s="950"/>
      <c r="F324" s="980"/>
      <c r="G324" s="965" t="s">
        <v>3557</v>
      </c>
      <c r="H324" s="980"/>
      <c r="I324" s="966" t="s">
        <v>3555</v>
      </c>
    </row>
    <row r="325" spans="1:9" ht="25.5" x14ac:dyDescent="0.25">
      <c r="A325" s="960">
        <v>290</v>
      </c>
      <c r="B325" s="997" t="s">
        <v>2453</v>
      </c>
      <c r="C325" s="952" t="s">
        <v>3526</v>
      </c>
      <c r="D325" s="952" t="s">
        <v>15</v>
      </c>
      <c r="E325" s="950"/>
      <c r="F325" s="980"/>
      <c r="G325" s="965" t="s">
        <v>3562</v>
      </c>
      <c r="H325" s="980"/>
      <c r="I325" s="966" t="s">
        <v>3555</v>
      </c>
    </row>
    <row r="326" spans="1:9" ht="15" x14ac:dyDescent="0.2">
      <c r="A326" s="992">
        <v>331</v>
      </c>
      <c r="B326" s="994" t="s">
        <v>197</v>
      </c>
      <c r="C326" s="991" t="s">
        <v>3526</v>
      </c>
      <c r="D326" s="991" t="s">
        <v>198</v>
      </c>
      <c r="E326" s="992"/>
      <c r="F326" s="993"/>
      <c r="G326" s="993"/>
      <c r="H326" s="993"/>
      <c r="I326" s="992"/>
    </row>
    <row r="327" spans="1:9" ht="15" x14ac:dyDescent="0.2">
      <c r="A327" s="992">
        <v>331</v>
      </c>
      <c r="B327" s="994" t="s">
        <v>80</v>
      </c>
      <c r="C327" s="991" t="s">
        <v>3526</v>
      </c>
      <c r="D327" s="991" t="s">
        <v>3594</v>
      </c>
      <c r="E327" s="992"/>
      <c r="F327" s="993"/>
      <c r="G327" s="993"/>
      <c r="H327" s="993"/>
      <c r="I327" s="992"/>
    </row>
    <row r="328" spans="1:9" ht="25.5" x14ac:dyDescent="0.2">
      <c r="A328" s="992">
        <v>332</v>
      </c>
      <c r="B328" s="994" t="s">
        <v>151</v>
      </c>
      <c r="C328" s="991" t="s">
        <v>3526</v>
      </c>
      <c r="D328" s="995" t="s">
        <v>152</v>
      </c>
      <c r="E328" s="992"/>
      <c r="F328" s="993"/>
      <c r="G328" s="993"/>
      <c r="H328" s="993"/>
      <c r="I328" s="992"/>
    </row>
    <row r="329" spans="1:9" ht="15" x14ac:dyDescent="0.2">
      <c r="A329" s="992">
        <v>333</v>
      </c>
      <c r="B329" s="994" t="s">
        <v>87</v>
      </c>
      <c r="C329" s="991" t="s">
        <v>3526</v>
      </c>
      <c r="D329" s="991" t="s">
        <v>435</v>
      </c>
      <c r="E329" s="992"/>
      <c r="F329" s="993"/>
      <c r="G329" s="993"/>
      <c r="H329" s="993"/>
      <c r="I329" s="992"/>
    </row>
    <row r="330" spans="1:9" ht="15" x14ac:dyDescent="0.2">
      <c r="A330" s="992">
        <v>334</v>
      </c>
      <c r="B330" s="994" t="s">
        <v>95</v>
      </c>
      <c r="C330" s="991" t="s">
        <v>3526</v>
      </c>
      <c r="D330" s="991" t="s">
        <v>41</v>
      </c>
      <c r="E330" s="992"/>
      <c r="F330" s="993"/>
      <c r="G330" s="993"/>
      <c r="H330" s="993"/>
      <c r="I330" s="992"/>
    </row>
    <row r="331" spans="1:9" ht="15" x14ac:dyDescent="0.2">
      <c r="A331" s="992">
        <v>335</v>
      </c>
      <c r="B331" s="994" t="s">
        <v>121</v>
      </c>
      <c r="C331" s="991" t="s">
        <v>3526</v>
      </c>
      <c r="D331" s="991" t="s">
        <v>15</v>
      </c>
      <c r="E331" s="992"/>
      <c r="F331" s="993"/>
      <c r="G331" s="993"/>
      <c r="H331" s="993"/>
      <c r="I331" s="992"/>
    </row>
    <row r="332" spans="1:9" ht="15" x14ac:dyDescent="0.2">
      <c r="A332" s="992">
        <v>336</v>
      </c>
      <c r="B332" s="994" t="s">
        <v>123</v>
      </c>
      <c r="C332" s="991" t="s">
        <v>3526</v>
      </c>
      <c r="D332" s="991" t="s">
        <v>124</v>
      </c>
      <c r="E332" s="992"/>
      <c r="F332" s="993"/>
      <c r="G332" s="993"/>
      <c r="H332" s="993"/>
      <c r="I332" s="992"/>
    </row>
    <row r="333" spans="1:9" ht="15" x14ac:dyDescent="0.2">
      <c r="A333" s="992">
        <v>337</v>
      </c>
      <c r="B333" s="994" t="s">
        <v>202</v>
      </c>
      <c r="C333" s="991" t="s">
        <v>3526</v>
      </c>
      <c r="D333" s="991" t="s">
        <v>3595</v>
      </c>
      <c r="E333" s="992"/>
      <c r="F333" s="993"/>
      <c r="G333" s="993"/>
      <c r="H333" s="993"/>
      <c r="I333" s="992"/>
    </row>
    <row r="334" spans="1:9" ht="15" x14ac:dyDescent="0.2">
      <c r="A334" s="992">
        <v>338</v>
      </c>
      <c r="B334" s="994" t="s">
        <v>141</v>
      </c>
      <c r="C334" s="991" t="s">
        <v>3526</v>
      </c>
      <c r="D334" s="991" t="s">
        <v>142</v>
      </c>
      <c r="E334" s="992"/>
      <c r="F334" s="993"/>
      <c r="G334" s="993"/>
      <c r="H334" s="993"/>
      <c r="I334" s="992"/>
    </row>
    <row r="335" spans="1:9" ht="15" x14ac:dyDescent="0.2">
      <c r="A335" s="992">
        <v>339</v>
      </c>
      <c r="B335" s="994" t="s">
        <v>143</v>
      </c>
      <c r="C335" s="991" t="s">
        <v>3526</v>
      </c>
      <c r="D335" s="991" t="s">
        <v>144</v>
      </c>
      <c r="E335" s="992"/>
      <c r="F335" s="993"/>
      <c r="G335" s="993"/>
      <c r="H335" s="993"/>
      <c r="I335" s="992"/>
    </row>
    <row r="336" spans="1:9" ht="15" x14ac:dyDescent="0.2">
      <c r="A336" s="992">
        <v>340</v>
      </c>
      <c r="B336" s="994" t="s">
        <v>159</v>
      </c>
      <c r="C336" s="991" t="s">
        <v>3526</v>
      </c>
      <c r="D336" s="991" t="s">
        <v>160</v>
      </c>
      <c r="E336" s="992"/>
      <c r="F336" s="993"/>
      <c r="G336" s="993"/>
      <c r="H336" s="993"/>
      <c r="I336" s="992"/>
    </row>
    <row r="337" spans="1:9" ht="15" x14ac:dyDescent="0.2">
      <c r="A337" s="992">
        <v>341</v>
      </c>
      <c r="B337" s="994" t="s">
        <v>166</v>
      </c>
      <c r="C337" s="991" t="s">
        <v>3526</v>
      </c>
      <c r="D337" s="991" t="s">
        <v>1025</v>
      </c>
      <c r="E337" s="992"/>
      <c r="F337" s="993"/>
      <c r="G337" s="993"/>
      <c r="H337" s="993"/>
      <c r="I337" s="992"/>
    </row>
    <row r="338" spans="1:9" ht="15" x14ac:dyDescent="0.2">
      <c r="A338" s="992">
        <v>342</v>
      </c>
      <c r="B338" s="994" t="s">
        <v>173</v>
      </c>
      <c r="C338" s="991" t="s">
        <v>3526</v>
      </c>
      <c r="D338" s="991" t="s">
        <v>174</v>
      </c>
      <c r="E338" s="992"/>
      <c r="F338" s="993"/>
      <c r="G338" s="993"/>
      <c r="H338" s="993"/>
      <c r="I338" s="992"/>
    </row>
    <row r="339" spans="1:9" ht="25.5" x14ac:dyDescent="0.2">
      <c r="A339" s="992">
        <v>343</v>
      </c>
      <c r="B339" s="994" t="s">
        <v>199</v>
      </c>
      <c r="C339" s="991" t="s">
        <v>3526</v>
      </c>
      <c r="D339" s="995" t="s">
        <v>1038</v>
      </c>
      <c r="E339" s="992"/>
      <c r="F339" s="993"/>
      <c r="G339" s="993"/>
      <c r="H339" s="993"/>
      <c r="I339" s="992"/>
    </row>
    <row r="340" spans="1:9" ht="15" x14ac:dyDescent="0.2">
      <c r="A340" s="992">
        <v>344</v>
      </c>
      <c r="B340" s="994" t="s">
        <v>200</v>
      </c>
      <c r="C340" s="991" t="s">
        <v>3526</v>
      </c>
      <c r="D340" s="991" t="s">
        <v>201</v>
      </c>
      <c r="E340" s="992"/>
      <c r="F340" s="993"/>
      <c r="G340" s="993"/>
      <c r="H340" s="993"/>
      <c r="I340" s="992"/>
    </row>
    <row r="341" spans="1:9" ht="25.5" x14ac:dyDescent="0.2">
      <c r="A341" s="992">
        <v>345</v>
      </c>
      <c r="B341" s="994" t="s">
        <v>204</v>
      </c>
      <c r="C341" s="991" t="s">
        <v>3526</v>
      </c>
      <c r="D341" s="996" t="s">
        <v>205</v>
      </c>
      <c r="E341" s="992"/>
      <c r="F341" s="993"/>
      <c r="G341" s="993"/>
      <c r="H341" s="993"/>
      <c r="I341" s="992"/>
    </row>
    <row r="342" spans="1:9" ht="15" x14ac:dyDescent="0.2">
      <c r="A342" s="992">
        <v>346</v>
      </c>
      <c r="B342" s="994" t="s">
        <v>234</v>
      </c>
      <c r="C342" s="991" t="s">
        <v>3526</v>
      </c>
      <c r="D342" s="991" t="s">
        <v>235</v>
      </c>
      <c r="E342" s="992"/>
      <c r="F342" s="993"/>
      <c r="G342" s="993"/>
      <c r="H342" s="993"/>
      <c r="I342" s="992"/>
    </row>
    <row r="343" spans="1:9" ht="25.5" x14ac:dyDescent="0.2">
      <c r="A343" s="992">
        <v>347</v>
      </c>
      <c r="B343" s="994" t="s">
        <v>231</v>
      </c>
      <c r="C343" s="991" t="s">
        <v>3526</v>
      </c>
      <c r="D343" s="996" t="s">
        <v>1042</v>
      </c>
      <c r="E343" s="992"/>
      <c r="F343" s="993"/>
      <c r="G343" s="993"/>
      <c r="H343" s="993"/>
      <c r="I343" s="992"/>
    </row>
    <row r="344" spans="1:9" ht="15" x14ac:dyDescent="0.2">
      <c r="A344" s="992">
        <v>348</v>
      </c>
      <c r="B344" s="994" t="s">
        <v>237</v>
      </c>
      <c r="C344" s="991" t="s">
        <v>3526</v>
      </c>
      <c r="D344" s="991" t="s">
        <v>186</v>
      </c>
      <c r="E344" s="992"/>
      <c r="F344" s="993"/>
      <c r="G344" s="993"/>
      <c r="H344" s="993"/>
      <c r="I344" s="992"/>
    </row>
    <row r="345" spans="1:9" ht="25.5" x14ac:dyDescent="0.2">
      <c r="A345" s="992">
        <v>349</v>
      </c>
      <c r="B345" s="994" t="s">
        <v>270</v>
      </c>
      <c r="C345" s="991" t="s">
        <v>3526</v>
      </c>
      <c r="D345" s="995" t="s">
        <v>1031</v>
      </c>
      <c r="E345" s="992"/>
      <c r="F345" s="993"/>
      <c r="G345" s="993"/>
      <c r="H345" s="993"/>
      <c r="I345" s="992"/>
    </row>
    <row r="346" spans="1:9" ht="15" x14ac:dyDescent="0.2">
      <c r="A346" s="992">
        <v>350</v>
      </c>
      <c r="B346" s="994" t="s">
        <v>253</v>
      </c>
      <c r="C346" s="991" t="s">
        <v>3526</v>
      </c>
      <c r="D346" s="991" t="s">
        <v>140</v>
      </c>
      <c r="E346" s="992"/>
      <c r="F346" s="993"/>
      <c r="G346" s="993"/>
      <c r="H346" s="993"/>
      <c r="I346" s="992"/>
    </row>
    <row r="347" spans="1:9" ht="15" x14ac:dyDescent="0.2">
      <c r="A347" s="992">
        <v>351</v>
      </c>
      <c r="B347" s="994" t="s">
        <v>260</v>
      </c>
      <c r="C347" s="991" t="s">
        <v>3526</v>
      </c>
      <c r="D347" s="991" t="s">
        <v>261</v>
      </c>
      <c r="E347" s="992"/>
      <c r="F347" s="993"/>
      <c r="G347" s="993"/>
      <c r="H347" s="993"/>
      <c r="I347" s="992"/>
    </row>
    <row r="348" spans="1:9" ht="15" x14ac:dyDescent="0.2">
      <c r="A348" s="992">
        <v>352</v>
      </c>
      <c r="B348" s="994" t="s">
        <v>296</v>
      </c>
      <c r="C348" s="991" t="s">
        <v>3526</v>
      </c>
      <c r="D348" s="991" t="s">
        <v>1039</v>
      </c>
      <c r="E348" s="992"/>
      <c r="F348" s="993"/>
      <c r="G348" s="993"/>
      <c r="H348" s="993"/>
      <c r="I348" s="992"/>
    </row>
    <row r="349" spans="1:9" ht="15" x14ac:dyDescent="0.2">
      <c r="A349" s="992">
        <v>353</v>
      </c>
      <c r="B349" s="994" t="s">
        <v>308</v>
      </c>
      <c r="C349" s="991" t="s">
        <v>3526</v>
      </c>
      <c r="D349" s="991" t="s">
        <v>1050</v>
      </c>
      <c r="E349" s="992"/>
      <c r="F349" s="993"/>
      <c r="G349" s="993"/>
      <c r="H349" s="993"/>
      <c r="I349" s="992"/>
    </row>
    <row r="350" spans="1:9" ht="15" x14ac:dyDescent="0.2">
      <c r="A350" s="992">
        <v>354</v>
      </c>
      <c r="B350" s="994" t="s">
        <v>1332</v>
      </c>
      <c r="C350" s="991" t="s">
        <v>3526</v>
      </c>
      <c r="D350" s="991" t="s">
        <v>212</v>
      </c>
      <c r="E350" s="992"/>
      <c r="F350" s="993"/>
      <c r="G350" s="993"/>
      <c r="H350" s="993"/>
      <c r="I350" s="992"/>
    </row>
    <row r="351" spans="1:9" ht="15" x14ac:dyDescent="0.2">
      <c r="A351" s="992">
        <v>355</v>
      </c>
      <c r="B351" s="994" t="s">
        <v>65</v>
      </c>
      <c r="C351" s="991" t="s">
        <v>3526</v>
      </c>
      <c r="D351" s="991" t="s">
        <v>66</v>
      </c>
      <c r="E351" s="992"/>
      <c r="F351" s="993"/>
      <c r="G351" s="993"/>
      <c r="H351" s="993"/>
      <c r="I351" s="992"/>
    </row>
    <row r="352" spans="1:9" ht="15" x14ac:dyDescent="0.2">
      <c r="A352" s="992">
        <v>356</v>
      </c>
      <c r="B352" s="994" t="s">
        <v>156</v>
      </c>
      <c r="C352" s="991" t="s">
        <v>3526</v>
      </c>
      <c r="D352" s="991" t="s">
        <v>53</v>
      </c>
      <c r="E352" s="992"/>
      <c r="F352" s="993"/>
      <c r="G352" s="993"/>
      <c r="H352" s="993"/>
      <c r="I352" s="992"/>
    </row>
    <row r="353" spans="1:9" ht="15" x14ac:dyDescent="0.2">
      <c r="A353" s="992">
        <v>357</v>
      </c>
      <c r="B353" s="994" t="s">
        <v>215</v>
      </c>
      <c r="C353" s="991" t="s">
        <v>3526</v>
      </c>
      <c r="D353" s="991" t="s">
        <v>1599</v>
      </c>
      <c r="E353" s="992"/>
      <c r="F353" s="993"/>
      <c r="G353" s="993"/>
      <c r="H353" s="993"/>
      <c r="I353" s="992"/>
    </row>
    <row r="354" spans="1:9" ht="25.5" x14ac:dyDescent="0.2">
      <c r="A354" s="992">
        <v>358</v>
      </c>
      <c r="B354" s="994" t="s">
        <v>63</v>
      </c>
      <c r="C354" s="991" t="s">
        <v>3526</v>
      </c>
      <c r="D354" s="995" t="s">
        <v>64</v>
      </c>
      <c r="E354" s="992"/>
      <c r="F354" s="993"/>
      <c r="G354" s="993"/>
      <c r="H354" s="993"/>
      <c r="I354" s="992"/>
    </row>
    <row r="355" spans="1:9" ht="15" x14ac:dyDescent="0.2">
      <c r="A355" s="992">
        <v>359</v>
      </c>
      <c r="B355" s="994" t="s">
        <v>405</v>
      </c>
      <c r="C355" s="991" t="s">
        <v>3526</v>
      </c>
      <c r="D355" s="991" t="s">
        <v>238</v>
      </c>
      <c r="E355" s="992"/>
      <c r="F355" s="993"/>
      <c r="G355" s="993"/>
      <c r="H355" s="993"/>
      <c r="I355" s="992"/>
    </row>
    <row r="356" spans="1:9" ht="15" x14ac:dyDescent="0.2">
      <c r="A356" s="992">
        <v>360</v>
      </c>
      <c r="B356" s="994" t="s">
        <v>255</v>
      </c>
      <c r="C356" s="991" t="s">
        <v>3526</v>
      </c>
      <c r="D356" s="991" t="s">
        <v>1032</v>
      </c>
      <c r="E356" s="992"/>
      <c r="F356" s="993"/>
      <c r="G356" s="993"/>
      <c r="H356" s="993"/>
      <c r="I356" s="992"/>
    </row>
    <row r="357" spans="1:9" ht="15" x14ac:dyDescent="0.2">
      <c r="A357" s="992">
        <v>361</v>
      </c>
      <c r="B357" s="994" t="s">
        <v>7</v>
      </c>
      <c r="C357" s="991" t="s">
        <v>3526</v>
      </c>
      <c r="D357" s="991" t="s">
        <v>8</v>
      </c>
      <c r="E357" s="992"/>
      <c r="F357" s="993"/>
      <c r="G357" s="993"/>
      <c r="H357" s="993"/>
      <c r="I357" s="992"/>
    </row>
    <row r="358" spans="1:9" ht="15" x14ac:dyDescent="0.2">
      <c r="A358" s="992">
        <v>362</v>
      </c>
      <c r="B358" s="994" t="s">
        <v>230</v>
      </c>
      <c r="C358" s="991" t="s">
        <v>3526</v>
      </c>
      <c r="D358" s="991" t="s">
        <v>1045</v>
      </c>
      <c r="E358" s="992"/>
      <c r="F358" s="993"/>
      <c r="G358" s="993"/>
      <c r="H358" s="993"/>
      <c r="I358" s="992"/>
    </row>
    <row r="359" spans="1:9" ht="15" x14ac:dyDescent="0.2">
      <c r="A359" s="992">
        <v>363</v>
      </c>
      <c r="B359" s="994" t="s">
        <v>254</v>
      </c>
      <c r="C359" s="991" t="s">
        <v>3526</v>
      </c>
      <c r="D359" s="991" t="s">
        <v>1033</v>
      </c>
      <c r="E359" s="992"/>
      <c r="F359" s="993"/>
      <c r="G359" s="993"/>
      <c r="H359" s="993"/>
      <c r="I359" s="992"/>
    </row>
    <row r="360" spans="1:9" ht="15" x14ac:dyDescent="0.2">
      <c r="A360" s="992">
        <v>364</v>
      </c>
      <c r="B360" s="994" t="s">
        <v>555</v>
      </c>
      <c r="C360" s="991" t="s">
        <v>3526</v>
      </c>
      <c r="D360" s="991" t="s">
        <v>1067</v>
      </c>
      <c r="E360" s="992"/>
      <c r="F360" s="993"/>
      <c r="G360" s="993"/>
      <c r="H360" s="993"/>
      <c r="I360" s="992"/>
    </row>
    <row r="361" spans="1:9" ht="15" x14ac:dyDescent="0.2">
      <c r="A361" s="992">
        <v>365</v>
      </c>
      <c r="B361" s="994" t="s">
        <v>138</v>
      </c>
      <c r="C361" s="991" t="s">
        <v>3526</v>
      </c>
      <c r="D361" s="991" t="s">
        <v>1034</v>
      </c>
      <c r="E361" s="992"/>
      <c r="F361" s="993"/>
      <c r="G361" s="993"/>
      <c r="H361" s="993"/>
      <c r="I361" s="992"/>
    </row>
    <row r="362" spans="1:9" ht="15" x14ac:dyDescent="0.2">
      <c r="A362" s="992">
        <v>366</v>
      </c>
      <c r="B362" s="994" t="s">
        <v>221</v>
      </c>
      <c r="C362" s="991" t="s">
        <v>3526</v>
      </c>
      <c r="D362" s="991" t="s">
        <v>222</v>
      </c>
      <c r="E362" s="992"/>
      <c r="F362" s="993"/>
      <c r="G362" s="993"/>
      <c r="H362" s="993"/>
      <c r="I362" s="992"/>
    </row>
    <row r="363" spans="1:9" ht="15" x14ac:dyDescent="0.2">
      <c r="A363" s="992">
        <v>367</v>
      </c>
      <c r="B363" s="994" t="s">
        <v>4</v>
      </c>
      <c r="C363" s="991" t="s">
        <v>3526</v>
      </c>
      <c r="D363" s="991" t="s">
        <v>1028</v>
      </c>
      <c r="E363" s="992"/>
      <c r="F363" s="993"/>
      <c r="G363" s="993"/>
      <c r="H363" s="993"/>
      <c r="I363" s="992"/>
    </row>
    <row r="364" spans="1:9" ht="15" x14ac:dyDescent="0.2">
      <c r="A364" s="992">
        <v>368</v>
      </c>
      <c r="B364" s="994" t="s">
        <v>177</v>
      </c>
      <c r="C364" s="991" t="s">
        <v>3526</v>
      </c>
      <c r="D364" s="991" t="s">
        <v>1039</v>
      </c>
      <c r="E364" s="992"/>
      <c r="F364" s="993"/>
      <c r="G364" s="993"/>
      <c r="H364" s="993"/>
      <c r="I364" s="992"/>
    </row>
    <row r="365" spans="1:9" ht="15" x14ac:dyDescent="0.2">
      <c r="A365" s="992">
        <v>369</v>
      </c>
      <c r="B365" s="994" t="s">
        <v>193</v>
      </c>
      <c r="C365" s="991" t="s">
        <v>3526</v>
      </c>
      <c r="D365" s="991" t="s">
        <v>194</v>
      </c>
      <c r="E365" s="992"/>
      <c r="F365" s="993"/>
      <c r="G365" s="993"/>
      <c r="H365" s="993"/>
      <c r="I365" s="992"/>
    </row>
    <row r="366" spans="1:9" ht="25.5" x14ac:dyDescent="0.2">
      <c r="A366" s="992">
        <v>370</v>
      </c>
      <c r="B366" s="994" t="s">
        <v>88</v>
      </c>
      <c r="C366" s="991" t="s">
        <v>3526</v>
      </c>
      <c r="D366" s="995" t="s">
        <v>1031</v>
      </c>
      <c r="E366" s="992"/>
      <c r="F366" s="993"/>
      <c r="G366" s="993"/>
      <c r="H366" s="993"/>
      <c r="I366" s="992"/>
    </row>
    <row r="367" spans="1:9" ht="15" x14ac:dyDescent="0.2">
      <c r="A367" s="992">
        <v>371</v>
      </c>
      <c r="B367" s="994" t="s">
        <v>97</v>
      </c>
      <c r="C367" s="991" t="s">
        <v>3526</v>
      </c>
      <c r="D367" s="991" t="s">
        <v>98</v>
      </c>
      <c r="E367" s="992"/>
      <c r="F367" s="993"/>
      <c r="G367" s="993"/>
      <c r="H367" s="993"/>
      <c r="I367" s="992"/>
    </row>
    <row r="368" spans="1:9" ht="15" x14ac:dyDescent="0.2">
      <c r="A368" s="992">
        <v>372</v>
      </c>
      <c r="B368" s="994" t="s">
        <v>89</v>
      </c>
      <c r="C368" s="991" t="s">
        <v>3526</v>
      </c>
      <c r="D368" s="991" t="s">
        <v>90</v>
      </c>
      <c r="E368" s="992"/>
      <c r="F368" s="993"/>
      <c r="G368" s="993"/>
      <c r="H368" s="993"/>
      <c r="I368" s="992"/>
    </row>
    <row r="369" spans="1:9" ht="25.5" x14ac:dyDescent="0.2">
      <c r="A369" s="992">
        <v>373</v>
      </c>
      <c r="B369" s="994" t="s">
        <v>130</v>
      </c>
      <c r="C369" s="991" t="s">
        <v>3526</v>
      </c>
      <c r="D369" s="995" t="s">
        <v>1112</v>
      </c>
      <c r="E369" s="992"/>
      <c r="F369" s="993"/>
      <c r="G369" s="993"/>
      <c r="H369" s="993"/>
      <c r="I369" s="992"/>
    </row>
    <row r="370" spans="1:9" ht="15" x14ac:dyDescent="0.2">
      <c r="A370" s="992">
        <v>374</v>
      </c>
      <c r="B370" s="994" t="s">
        <v>40</v>
      </c>
      <c r="C370" s="991" t="s">
        <v>3526</v>
      </c>
      <c r="D370" s="991" t="s">
        <v>41</v>
      </c>
      <c r="E370" s="992"/>
      <c r="F370" s="993"/>
      <c r="G370" s="993"/>
      <c r="H370" s="993"/>
      <c r="I370" s="992"/>
    </row>
    <row r="371" spans="1:9" ht="15" x14ac:dyDescent="0.2">
      <c r="A371" s="992">
        <v>375</v>
      </c>
      <c r="B371" s="994" t="s">
        <v>21</v>
      </c>
      <c r="C371" s="991" t="s">
        <v>3526</v>
      </c>
      <c r="D371" s="991" t="s">
        <v>22</v>
      </c>
      <c r="E371" s="992"/>
      <c r="F371" s="993"/>
      <c r="G371" s="993"/>
      <c r="H371" s="993"/>
      <c r="I371" s="992"/>
    </row>
    <row r="372" spans="1:9" ht="15" x14ac:dyDescent="0.2">
      <c r="A372" s="992">
        <v>376</v>
      </c>
      <c r="B372" s="994" t="s">
        <v>37</v>
      </c>
      <c r="C372" s="991" t="s">
        <v>3526</v>
      </c>
      <c r="D372" s="991" t="s">
        <v>38</v>
      </c>
      <c r="E372" s="992"/>
      <c r="F372" s="993"/>
      <c r="G372" s="993"/>
      <c r="H372" s="993"/>
      <c r="I372" s="992"/>
    </row>
    <row r="373" spans="1:9" ht="15" x14ac:dyDescent="0.2">
      <c r="A373" s="992">
        <v>377</v>
      </c>
      <c r="B373" s="994" t="s">
        <v>52</v>
      </c>
      <c r="C373" s="991" t="s">
        <v>3526</v>
      </c>
      <c r="D373" s="991" t="s">
        <v>53</v>
      </c>
      <c r="E373" s="992"/>
      <c r="F373" s="993"/>
      <c r="G373" s="993"/>
      <c r="H373" s="993"/>
      <c r="I373" s="992"/>
    </row>
    <row r="374" spans="1:9" ht="15" x14ac:dyDescent="0.2">
      <c r="A374" s="992">
        <v>378</v>
      </c>
      <c r="B374" s="994" t="s">
        <v>133</v>
      </c>
      <c r="C374" s="991" t="s">
        <v>3526</v>
      </c>
      <c r="D374" s="991" t="s">
        <v>134</v>
      </c>
      <c r="E374" s="992"/>
      <c r="F374" s="993"/>
      <c r="G374" s="993"/>
      <c r="H374" s="993"/>
      <c r="I374" s="992"/>
    </row>
    <row r="375" spans="1:9" ht="15" x14ac:dyDescent="0.2">
      <c r="A375" s="992">
        <v>379</v>
      </c>
      <c r="B375" s="994" t="s">
        <v>145</v>
      </c>
      <c r="C375" s="991" t="s">
        <v>3526</v>
      </c>
      <c r="D375" s="991" t="s">
        <v>43</v>
      </c>
      <c r="E375" s="992"/>
      <c r="F375" s="993"/>
      <c r="G375" s="993"/>
      <c r="H375" s="993"/>
      <c r="I375" s="992"/>
    </row>
    <row r="376" spans="1:9" ht="15" x14ac:dyDescent="0.2">
      <c r="A376" s="992">
        <v>380</v>
      </c>
      <c r="B376" s="994" t="s">
        <v>185</v>
      </c>
      <c r="C376" s="991" t="s">
        <v>3526</v>
      </c>
      <c r="D376" s="991" t="s">
        <v>186</v>
      </c>
      <c r="E376" s="992"/>
      <c r="F376" s="993"/>
      <c r="G376" s="993"/>
      <c r="H376" s="993"/>
      <c r="I376" s="992"/>
    </row>
    <row r="377" spans="1:9" ht="25.5" x14ac:dyDescent="0.2">
      <c r="A377" s="992">
        <v>381</v>
      </c>
      <c r="B377" s="994" t="s">
        <v>195</v>
      </c>
      <c r="C377" s="991" t="s">
        <v>3526</v>
      </c>
      <c r="D377" s="995" t="s">
        <v>1037</v>
      </c>
      <c r="E377" s="992"/>
      <c r="F377" s="993"/>
      <c r="G377" s="993"/>
      <c r="H377" s="993"/>
      <c r="I377" s="992"/>
    </row>
    <row r="378" spans="1:9" ht="15" x14ac:dyDescent="0.2">
      <c r="A378" s="992">
        <v>382</v>
      </c>
      <c r="B378" s="994" t="s">
        <v>257</v>
      </c>
      <c r="C378" s="991" t="s">
        <v>3526</v>
      </c>
      <c r="D378" s="991" t="s">
        <v>1035</v>
      </c>
      <c r="E378" s="992"/>
      <c r="F378" s="993"/>
      <c r="G378" s="993"/>
      <c r="H378" s="993"/>
      <c r="I378" s="992"/>
    </row>
    <row r="379" spans="1:9" ht="15" x14ac:dyDescent="0.2">
      <c r="A379" s="992">
        <v>383</v>
      </c>
      <c r="B379" s="994" t="s">
        <v>273</v>
      </c>
      <c r="C379" s="991" t="s">
        <v>3526</v>
      </c>
      <c r="D379" s="991" t="s">
        <v>126</v>
      </c>
      <c r="E379" s="992"/>
      <c r="F379" s="993"/>
      <c r="G379" s="993"/>
      <c r="H379" s="993"/>
      <c r="I379" s="992"/>
    </row>
    <row r="380" spans="1:9" ht="15" x14ac:dyDescent="0.2">
      <c r="A380" s="992">
        <v>384</v>
      </c>
      <c r="B380" s="994" t="s">
        <v>266</v>
      </c>
      <c r="C380" s="991" t="s">
        <v>3526</v>
      </c>
      <c r="D380" s="991" t="s">
        <v>1030</v>
      </c>
      <c r="E380" s="992"/>
      <c r="F380" s="993"/>
      <c r="G380" s="993"/>
      <c r="H380" s="993"/>
      <c r="I380" s="992"/>
    </row>
    <row r="381" spans="1:9" ht="15" x14ac:dyDescent="0.2">
      <c r="A381" s="992">
        <v>385</v>
      </c>
      <c r="B381" s="994" t="s">
        <v>271</v>
      </c>
      <c r="C381" s="991" t="s">
        <v>3526</v>
      </c>
      <c r="D381" s="991" t="s">
        <v>272</v>
      </c>
      <c r="E381" s="992"/>
      <c r="F381" s="993"/>
      <c r="G381" s="993"/>
      <c r="H381" s="993"/>
      <c r="I381" s="992"/>
    </row>
    <row r="382" spans="1:9" ht="15" x14ac:dyDescent="0.2">
      <c r="A382" s="992">
        <v>386</v>
      </c>
      <c r="B382" s="994" t="s">
        <v>298</v>
      </c>
      <c r="C382" s="991" t="s">
        <v>3526</v>
      </c>
      <c r="D382" s="991" t="s">
        <v>90</v>
      </c>
      <c r="E382" s="992"/>
      <c r="F382" s="993"/>
      <c r="G382" s="993"/>
      <c r="H382" s="993"/>
      <c r="I382" s="992"/>
    </row>
    <row r="383" spans="1:9" ht="15" x14ac:dyDescent="0.2">
      <c r="A383" s="992">
        <v>387</v>
      </c>
      <c r="B383" s="994" t="s">
        <v>302</v>
      </c>
      <c r="C383" s="991" t="s">
        <v>3526</v>
      </c>
      <c r="D383" s="991" t="s">
        <v>303</v>
      </c>
      <c r="E383" s="992"/>
      <c r="F383" s="993"/>
      <c r="G383" s="993"/>
      <c r="H383" s="993"/>
      <c r="I383" s="992"/>
    </row>
    <row r="384" spans="1:9" ht="15" x14ac:dyDescent="0.2">
      <c r="A384" s="992">
        <v>388</v>
      </c>
      <c r="B384" s="994" t="s">
        <v>307</v>
      </c>
      <c r="C384" s="991" t="s">
        <v>3526</v>
      </c>
      <c r="D384" s="991" t="s">
        <v>144</v>
      </c>
      <c r="E384" s="992"/>
      <c r="F384" s="993"/>
      <c r="G384" s="993"/>
      <c r="H384" s="993"/>
      <c r="I384" s="992"/>
    </row>
    <row r="385" spans="1:9" ht="15" x14ac:dyDescent="0.2">
      <c r="A385" s="992">
        <v>389</v>
      </c>
      <c r="B385" s="994" t="s">
        <v>551</v>
      </c>
      <c r="C385" s="991" t="s">
        <v>3526</v>
      </c>
      <c r="D385" s="991" t="s">
        <v>29</v>
      </c>
      <c r="E385" s="992"/>
      <c r="F385" s="993"/>
      <c r="G385" s="993"/>
      <c r="H385" s="993"/>
      <c r="I385" s="992"/>
    </row>
    <row r="386" spans="1:9" ht="15" x14ac:dyDescent="0.2">
      <c r="A386" s="992">
        <v>390</v>
      </c>
      <c r="B386" s="994" t="s">
        <v>1486</v>
      </c>
      <c r="C386" s="991" t="s">
        <v>3526</v>
      </c>
      <c r="D386" s="991" t="s">
        <v>1599</v>
      </c>
      <c r="E386" s="992"/>
      <c r="F386" s="993"/>
      <c r="G386" s="993"/>
      <c r="H386" s="993"/>
      <c r="I386" s="992"/>
    </row>
    <row r="387" spans="1:9" ht="25.5" x14ac:dyDescent="0.2">
      <c r="A387" s="992">
        <v>391</v>
      </c>
      <c r="B387" s="994" t="s">
        <v>1482</v>
      </c>
      <c r="C387" s="991" t="s">
        <v>3526</v>
      </c>
      <c r="D387" s="995" t="s">
        <v>1483</v>
      </c>
      <c r="E387" s="992"/>
      <c r="F387" s="993"/>
      <c r="G387" s="993"/>
      <c r="H387" s="993"/>
      <c r="I387" s="992"/>
    </row>
    <row r="388" spans="1:9" ht="15" x14ac:dyDescent="0.2">
      <c r="A388" s="992">
        <v>392</v>
      </c>
      <c r="B388" s="994" t="s">
        <v>1570</v>
      </c>
      <c r="C388" s="991" t="s">
        <v>3526</v>
      </c>
      <c r="D388" s="991" t="s">
        <v>1569</v>
      </c>
      <c r="E388" s="992"/>
      <c r="F388" s="993"/>
      <c r="G388" s="993"/>
      <c r="H388" s="993"/>
      <c r="I388" s="992"/>
    </row>
    <row r="389" spans="1:9" ht="15" x14ac:dyDescent="0.2">
      <c r="A389" s="992">
        <v>393</v>
      </c>
      <c r="B389" s="994" t="s">
        <v>1584</v>
      </c>
      <c r="C389" s="991" t="s">
        <v>3526</v>
      </c>
      <c r="D389" s="991" t="s">
        <v>1585</v>
      </c>
      <c r="E389" s="992"/>
      <c r="F389" s="993"/>
      <c r="G389" s="993"/>
      <c r="H389" s="993"/>
      <c r="I389" s="992"/>
    </row>
    <row r="390" spans="1:9" ht="15" x14ac:dyDescent="0.2">
      <c r="A390" s="992">
        <v>394</v>
      </c>
      <c r="B390" s="994" t="s">
        <v>1071</v>
      </c>
      <c r="C390" s="991" t="s">
        <v>3526</v>
      </c>
      <c r="D390" s="991" t="s">
        <v>1072</v>
      </c>
      <c r="E390" s="992"/>
      <c r="F390" s="993"/>
      <c r="G390" s="993"/>
      <c r="H390" s="993"/>
      <c r="I390" s="992"/>
    </row>
    <row r="391" spans="1:9" ht="15" x14ac:dyDescent="0.2">
      <c r="A391" s="992">
        <v>395</v>
      </c>
      <c r="B391" s="994" t="s">
        <v>556</v>
      </c>
      <c r="C391" s="991" t="s">
        <v>3526</v>
      </c>
      <c r="D391" s="991" t="s">
        <v>1004</v>
      </c>
      <c r="E391" s="992"/>
      <c r="F391" s="993"/>
      <c r="G391" s="993"/>
      <c r="H391" s="993"/>
      <c r="I391" s="992"/>
    </row>
    <row r="392" spans="1:9" ht="15" x14ac:dyDescent="0.2">
      <c r="A392" s="992">
        <v>396</v>
      </c>
      <c r="B392" s="994" t="s">
        <v>1069</v>
      </c>
      <c r="C392" s="991" t="s">
        <v>3526</v>
      </c>
      <c r="D392" s="991" t="s">
        <v>1070</v>
      </c>
      <c r="E392" s="992"/>
      <c r="F392" s="993"/>
      <c r="G392" s="993"/>
      <c r="H392" s="993"/>
      <c r="I392" s="992"/>
    </row>
    <row r="393" spans="1:9" ht="15" x14ac:dyDescent="0.2">
      <c r="A393" s="992">
        <v>397</v>
      </c>
      <c r="B393" s="994" t="s">
        <v>279</v>
      </c>
      <c r="C393" s="991" t="s">
        <v>3526</v>
      </c>
      <c r="D393" s="991" t="s">
        <v>3597</v>
      </c>
      <c r="E393" s="992"/>
      <c r="F393" s="993"/>
      <c r="G393" s="993"/>
      <c r="H393" s="993"/>
      <c r="I393" s="992"/>
    </row>
    <row r="394" spans="1:9" ht="15" x14ac:dyDescent="0.2">
      <c r="A394" s="992">
        <v>398</v>
      </c>
      <c r="B394" s="994" t="s">
        <v>597</v>
      </c>
      <c r="C394" s="991" t="s">
        <v>3526</v>
      </c>
      <c r="D394" s="991" t="s">
        <v>3608</v>
      </c>
      <c r="E394" s="992"/>
      <c r="F394" s="993"/>
      <c r="G394" s="993"/>
      <c r="H394" s="993"/>
      <c r="I394" s="992"/>
    </row>
    <row r="395" spans="1:9" ht="15" x14ac:dyDescent="0.2">
      <c r="A395" s="992">
        <v>399</v>
      </c>
      <c r="B395" s="994" t="s">
        <v>9</v>
      </c>
      <c r="C395" s="991" t="s">
        <v>3526</v>
      </c>
      <c r="D395" s="991" t="s">
        <v>3609</v>
      </c>
      <c r="E395" s="992"/>
      <c r="F395" s="993"/>
      <c r="G395" s="993"/>
      <c r="H395" s="993"/>
      <c r="I395" s="992"/>
    </row>
    <row r="396" spans="1:9" ht="15" x14ac:dyDescent="0.2">
      <c r="A396" s="992">
        <v>400</v>
      </c>
      <c r="B396" s="994" t="s">
        <v>146</v>
      </c>
      <c r="C396" s="991" t="s">
        <v>3526</v>
      </c>
      <c r="D396" s="991" t="s">
        <v>3610</v>
      </c>
      <c r="E396" s="992"/>
      <c r="F396" s="993"/>
      <c r="G396" s="993"/>
      <c r="H396" s="993"/>
      <c r="I396" s="992"/>
    </row>
    <row r="397" spans="1:9" ht="15" x14ac:dyDescent="0.2">
      <c r="A397" s="992">
        <v>403</v>
      </c>
      <c r="B397" s="994" t="s">
        <v>82</v>
      </c>
      <c r="C397" s="991" t="s">
        <v>3526</v>
      </c>
      <c r="D397" s="991" t="s">
        <v>3642</v>
      </c>
      <c r="E397" s="992"/>
      <c r="F397" s="993"/>
      <c r="G397" s="993"/>
      <c r="H397" s="993"/>
      <c r="I397" s="992"/>
    </row>
    <row r="398" spans="1:9" x14ac:dyDescent="0.2">
      <c r="A398" s="960">
        <v>294</v>
      </c>
      <c r="B398" s="952" t="s">
        <v>2742</v>
      </c>
      <c r="C398" s="952" t="s">
        <v>391</v>
      </c>
      <c r="D398" s="952" t="s">
        <v>2740</v>
      </c>
      <c r="E398" s="950"/>
      <c r="F398" s="980"/>
      <c r="G398" s="965"/>
      <c r="H398" s="980"/>
      <c r="I398" s="966" t="s">
        <v>3555</v>
      </c>
    </row>
    <row r="399" spans="1:9" ht="25.5" x14ac:dyDescent="0.2">
      <c r="A399" s="960">
        <v>295</v>
      </c>
      <c r="B399" s="966" t="s">
        <v>309</v>
      </c>
      <c r="C399" s="952" t="s">
        <v>391</v>
      </c>
      <c r="D399" s="952" t="s">
        <v>77</v>
      </c>
      <c r="E399" s="950"/>
      <c r="F399" s="980"/>
      <c r="G399" s="980"/>
      <c r="H399" s="980"/>
      <c r="I399" s="950" t="s">
        <v>3555</v>
      </c>
    </row>
    <row r="400" spans="1:9" ht="25.5" x14ac:dyDescent="0.2">
      <c r="A400" s="960">
        <v>296</v>
      </c>
      <c r="B400" s="966" t="s">
        <v>1334</v>
      </c>
      <c r="C400" s="952" t="s">
        <v>391</v>
      </c>
      <c r="D400" s="952" t="s">
        <v>1335</v>
      </c>
      <c r="E400" s="950"/>
      <c r="F400" s="980"/>
      <c r="G400" s="980"/>
      <c r="H400" s="980"/>
      <c r="I400" s="950" t="s">
        <v>3555</v>
      </c>
    </row>
    <row r="401" spans="1:9" ht="25.5" x14ac:dyDescent="0.2">
      <c r="A401" s="960">
        <v>297</v>
      </c>
      <c r="B401" s="966" t="s">
        <v>1633</v>
      </c>
      <c r="C401" s="952" t="s">
        <v>3534</v>
      </c>
      <c r="D401" s="952" t="s">
        <v>1025</v>
      </c>
      <c r="E401" s="950" t="s">
        <v>3665</v>
      </c>
      <c r="F401" s="980" t="s">
        <v>3508</v>
      </c>
      <c r="G401" s="980"/>
      <c r="H401" s="980"/>
      <c r="I401" s="950" t="s">
        <v>3555</v>
      </c>
    </row>
    <row r="402" spans="1:9" x14ac:dyDescent="0.2">
      <c r="A402" s="960">
        <v>298</v>
      </c>
      <c r="B402" s="966" t="s">
        <v>2019</v>
      </c>
      <c r="C402" s="952" t="s">
        <v>391</v>
      </c>
      <c r="D402" s="952" t="s">
        <v>2020</v>
      </c>
      <c r="E402" s="950"/>
      <c r="F402" s="980"/>
      <c r="G402" s="980"/>
      <c r="H402" s="980"/>
      <c r="I402" s="950" t="s">
        <v>3555</v>
      </c>
    </row>
    <row r="403" spans="1:9" ht="76.5" x14ac:dyDescent="0.2">
      <c r="A403" s="960">
        <v>299</v>
      </c>
      <c r="B403" s="966" t="s">
        <v>2108</v>
      </c>
      <c r="C403" s="952" t="s">
        <v>3527</v>
      </c>
      <c r="D403" s="952" t="s">
        <v>2442</v>
      </c>
      <c r="E403" s="950" t="s">
        <v>3785</v>
      </c>
      <c r="F403" s="980" t="s">
        <v>3554</v>
      </c>
      <c r="G403" s="980" t="s">
        <v>3567</v>
      </c>
      <c r="H403" s="980"/>
      <c r="I403" s="950" t="s">
        <v>3554</v>
      </c>
    </row>
    <row r="404" spans="1:9" x14ac:dyDescent="0.2">
      <c r="A404" s="960">
        <v>301</v>
      </c>
      <c r="B404" s="966" t="s">
        <v>2371</v>
      </c>
      <c r="C404" s="952" t="s">
        <v>391</v>
      </c>
      <c r="D404" s="952" t="s">
        <v>2372</v>
      </c>
      <c r="E404" s="950"/>
      <c r="F404" s="980"/>
      <c r="G404" s="980"/>
      <c r="H404" s="980"/>
      <c r="I404" s="950" t="s">
        <v>3555</v>
      </c>
    </row>
    <row r="405" spans="1:9" x14ac:dyDescent="0.2">
      <c r="A405" s="960">
        <v>302</v>
      </c>
      <c r="B405" s="966" t="s">
        <v>2421</v>
      </c>
      <c r="C405" s="952" t="s">
        <v>391</v>
      </c>
      <c r="D405" s="952" t="s">
        <v>2422</v>
      </c>
      <c r="E405" s="950"/>
      <c r="F405" s="980"/>
      <c r="G405" s="980"/>
      <c r="H405" s="980"/>
      <c r="I405" s="950" t="s">
        <v>3555</v>
      </c>
    </row>
    <row r="406" spans="1:9" ht="191.25" x14ac:dyDescent="0.2">
      <c r="A406" s="960">
        <v>303</v>
      </c>
      <c r="B406" s="966" t="s">
        <v>2438</v>
      </c>
      <c r="C406" s="952" t="s">
        <v>391</v>
      </c>
      <c r="D406" s="952" t="s">
        <v>1339</v>
      </c>
      <c r="E406" s="950"/>
      <c r="F406" s="980"/>
      <c r="G406" s="980" t="s">
        <v>3568</v>
      </c>
      <c r="H406" s="980"/>
      <c r="I406" s="950" t="s">
        <v>3343</v>
      </c>
    </row>
    <row r="407" spans="1:9" x14ac:dyDescent="0.2">
      <c r="A407" s="960">
        <v>304</v>
      </c>
      <c r="B407" s="966" t="s">
        <v>3564</v>
      </c>
      <c r="C407" s="952" t="s">
        <v>391</v>
      </c>
      <c r="D407" s="952" t="s">
        <v>2881</v>
      </c>
      <c r="E407" s="950"/>
      <c r="F407" s="980"/>
      <c r="G407" s="980"/>
      <c r="H407" s="980"/>
      <c r="I407" s="950" t="s">
        <v>3554</v>
      </c>
    </row>
    <row r="408" spans="1:9" x14ac:dyDescent="0.2">
      <c r="A408" s="960">
        <v>305</v>
      </c>
      <c r="B408" s="966" t="s">
        <v>2440</v>
      </c>
      <c r="C408" s="952" t="s">
        <v>391</v>
      </c>
      <c r="D408" s="952" t="s">
        <v>2441</v>
      </c>
      <c r="E408" s="950"/>
      <c r="F408" s="980"/>
      <c r="G408" s="980"/>
      <c r="H408" s="980"/>
      <c r="I408" s="950" t="s">
        <v>3555</v>
      </c>
    </row>
    <row r="409" spans="1:9" ht="25.5" x14ac:dyDescent="0.2">
      <c r="A409" s="960">
        <v>306</v>
      </c>
      <c r="B409" s="966" t="s">
        <v>2448</v>
      </c>
      <c r="C409" s="952" t="s">
        <v>391</v>
      </c>
      <c r="D409" s="952" t="s">
        <v>1112</v>
      </c>
      <c r="E409" s="950"/>
      <c r="F409" s="980"/>
      <c r="G409" s="980"/>
      <c r="H409" s="980"/>
      <c r="I409" s="950" t="s">
        <v>3555</v>
      </c>
    </row>
    <row r="410" spans="1:9" ht="25.5" x14ac:dyDescent="0.2">
      <c r="A410" s="960">
        <v>307</v>
      </c>
      <c r="B410" s="966" t="s">
        <v>2455</v>
      </c>
      <c r="C410" s="952" t="s">
        <v>3534</v>
      </c>
      <c r="D410" s="952" t="s">
        <v>1860</v>
      </c>
      <c r="E410" s="950"/>
      <c r="F410" s="980"/>
      <c r="G410" s="980" t="s">
        <v>3655</v>
      </c>
      <c r="H410" s="980"/>
      <c r="I410" s="950" t="s">
        <v>3554</v>
      </c>
    </row>
    <row r="411" spans="1:9" ht="25.5" x14ac:dyDescent="0.2">
      <c r="A411" s="960">
        <v>309</v>
      </c>
      <c r="B411" s="966" t="s">
        <v>2481</v>
      </c>
      <c r="C411" s="952" t="s">
        <v>3527</v>
      </c>
      <c r="D411" s="952" t="s">
        <v>1025</v>
      </c>
      <c r="E411" s="950" t="s">
        <v>3666</v>
      </c>
      <c r="F411" s="980" t="s">
        <v>3508</v>
      </c>
      <c r="G411" s="980"/>
      <c r="H411" s="980"/>
      <c r="I411" s="950" t="s">
        <v>3555</v>
      </c>
    </row>
    <row r="412" spans="1:9" ht="25.5" x14ac:dyDescent="0.2">
      <c r="A412" s="960">
        <v>310</v>
      </c>
      <c r="B412" s="966" t="s">
        <v>2513</v>
      </c>
      <c r="C412" s="952" t="s">
        <v>3527</v>
      </c>
      <c r="D412" s="952" t="s">
        <v>2011</v>
      </c>
      <c r="E412" s="950" t="s">
        <v>3667</v>
      </c>
      <c r="F412" s="980" t="s">
        <v>3508</v>
      </c>
      <c r="G412" s="980"/>
      <c r="H412" s="980"/>
      <c r="I412" s="950" t="s">
        <v>3554</v>
      </c>
    </row>
    <row r="413" spans="1:9" x14ac:dyDescent="0.2">
      <c r="A413" s="960">
        <v>311</v>
      </c>
      <c r="B413" s="966" t="s">
        <v>2477</v>
      </c>
      <c r="C413" s="952" t="s">
        <v>391</v>
      </c>
      <c r="D413" s="952" t="s">
        <v>1873</v>
      </c>
      <c r="E413" s="950"/>
      <c r="F413" s="980"/>
      <c r="G413" s="980"/>
      <c r="H413" s="980"/>
      <c r="I413" s="950" t="s">
        <v>3555</v>
      </c>
    </row>
    <row r="414" spans="1:9" x14ac:dyDescent="0.2">
      <c r="A414" s="960">
        <v>312</v>
      </c>
      <c r="B414" s="966" t="s">
        <v>2528</v>
      </c>
      <c r="C414" s="952" t="s">
        <v>391</v>
      </c>
      <c r="D414" s="952" t="s">
        <v>41</v>
      </c>
      <c r="E414" s="950"/>
      <c r="F414" s="980"/>
      <c r="G414" s="980"/>
      <c r="H414" s="980"/>
      <c r="I414" s="950" t="s">
        <v>3555</v>
      </c>
    </row>
    <row r="415" spans="1:9" ht="25.5" x14ac:dyDescent="0.2">
      <c r="A415" s="960">
        <v>313</v>
      </c>
      <c r="B415" s="966" t="s">
        <v>2583</v>
      </c>
      <c r="C415" s="952" t="s">
        <v>3534</v>
      </c>
      <c r="D415" s="952" t="s">
        <v>1997</v>
      </c>
      <c r="E415" s="950" t="s">
        <v>3669</v>
      </c>
      <c r="F415" s="980"/>
      <c r="G415" s="980" t="s">
        <v>3654</v>
      </c>
      <c r="H415" s="980"/>
      <c r="I415" s="950" t="s">
        <v>3555</v>
      </c>
    </row>
    <row r="416" spans="1:9" x14ac:dyDescent="0.2">
      <c r="A416" s="960">
        <v>314</v>
      </c>
      <c r="B416" s="966" t="s">
        <v>2547</v>
      </c>
      <c r="C416" s="952" t="s">
        <v>391</v>
      </c>
      <c r="D416" s="952" t="s">
        <v>2548</v>
      </c>
      <c r="E416" s="950"/>
      <c r="F416" s="980"/>
      <c r="G416" s="980"/>
      <c r="H416" s="980"/>
      <c r="I416" s="950" t="s">
        <v>3555</v>
      </c>
    </row>
    <row r="417" spans="1:9" x14ac:dyDescent="0.2">
      <c r="A417" s="960">
        <v>315</v>
      </c>
      <c r="B417" s="966" t="s">
        <v>2572</v>
      </c>
      <c r="C417" s="952" t="s">
        <v>391</v>
      </c>
      <c r="D417" s="952" t="s">
        <v>144</v>
      </c>
      <c r="E417" s="950"/>
      <c r="F417" s="980"/>
      <c r="G417" s="980"/>
      <c r="H417" s="980"/>
      <c r="I417" s="950" t="s">
        <v>3555</v>
      </c>
    </row>
    <row r="418" spans="1:9" ht="89.25" x14ac:dyDescent="0.2">
      <c r="A418" s="960">
        <v>316</v>
      </c>
      <c r="B418" s="966" t="s">
        <v>2650</v>
      </c>
      <c r="C418" s="952" t="s">
        <v>391</v>
      </c>
      <c r="D418" s="952" t="s">
        <v>2100</v>
      </c>
      <c r="E418" s="950"/>
      <c r="F418" s="980"/>
      <c r="G418" s="980" t="s">
        <v>3570</v>
      </c>
      <c r="H418" s="980"/>
      <c r="I418" s="950" t="s">
        <v>3343</v>
      </c>
    </row>
    <row r="419" spans="1:9" x14ac:dyDescent="0.2">
      <c r="A419" s="960">
        <v>317</v>
      </c>
      <c r="B419" s="966" t="s">
        <v>2691</v>
      </c>
      <c r="C419" s="952" t="s">
        <v>391</v>
      </c>
      <c r="D419" s="952" t="s">
        <v>2692</v>
      </c>
      <c r="E419" s="950"/>
      <c r="F419" s="980"/>
      <c r="G419" s="980"/>
      <c r="H419" s="980"/>
      <c r="I419" s="950" t="s">
        <v>3554</v>
      </c>
    </row>
    <row r="420" spans="1:9" ht="63.75" x14ac:dyDescent="0.2">
      <c r="A420" s="960">
        <v>318</v>
      </c>
      <c r="B420" s="966" t="s">
        <v>2665</v>
      </c>
      <c r="C420" s="952" t="s">
        <v>391</v>
      </c>
      <c r="D420" s="952" t="s">
        <v>2130</v>
      </c>
      <c r="E420" s="950"/>
      <c r="F420" s="980"/>
      <c r="G420" s="980" t="s">
        <v>3571</v>
      </c>
      <c r="H420" s="980"/>
      <c r="I420" s="950" t="s">
        <v>3343</v>
      </c>
    </row>
    <row r="421" spans="1:9" ht="25.5" x14ac:dyDescent="0.2">
      <c r="A421" s="960">
        <v>319</v>
      </c>
      <c r="B421" s="966" t="s">
        <v>2707</v>
      </c>
      <c r="C421" s="952" t="s">
        <v>391</v>
      </c>
      <c r="D421" s="952" t="s">
        <v>2708</v>
      </c>
      <c r="E421" s="950"/>
      <c r="F421" s="980"/>
      <c r="G421" s="980" t="s">
        <v>3572</v>
      </c>
      <c r="H421" s="980"/>
      <c r="I421" s="950" t="s">
        <v>3343</v>
      </c>
    </row>
    <row r="422" spans="1:9" ht="38.25" x14ac:dyDescent="0.2">
      <c r="A422" s="960">
        <v>320</v>
      </c>
      <c r="B422" s="966" t="s">
        <v>2705</v>
      </c>
      <c r="C422" s="952" t="s">
        <v>391</v>
      </c>
      <c r="D422" s="952" t="s">
        <v>1865</v>
      </c>
      <c r="E422" s="950"/>
      <c r="F422" s="980"/>
      <c r="G422" s="980" t="s">
        <v>3573</v>
      </c>
      <c r="H422" s="980"/>
      <c r="I422" s="950" t="s">
        <v>3343</v>
      </c>
    </row>
    <row r="423" spans="1:9" ht="191.25" x14ac:dyDescent="0.2">
      <c r="A423" s="960">
        <v>321</v>
      </c>
      <c r="B423" s="966" t="s">
        <v>2732</v>
      </c>
      <c r="C423" s="952" t="s">
        <v>391</v>
      </c>
      <c r="D423" s="952" t="s">
        <v>1339</v>
      </c>
      <c r="E423" s="950"/>
      <c r="F423" s="980"/>
      <c r="G423" s="980" t="s">
        <v>3574</v>
      </c>
      <c r="H423" s="980"/>
      <c r="I423" s="950" t="s">
        <v>3343</v>
      </c>
    </row>
    <row r="424" spans="1:9" ht="25.5" x14ac:dyDescent="0.2">
      <c r="A424" s="960">
        <v>322</v>
      </c>
      <c r="B424" s="966" t="s">
        <v>2765</v>
      </c>
      <c r="C424" s="952" t="s">
        <v>3527</v>
      </c>
      <c r="D424" s="952" t="s">
        <v>1346</v>
      </c>
      <c r="E424" s="950" t="s">
        <v>3668</v>
      </c>
      <c r="F424" s="980" t="s">
        <v>3508</v>
      </c>
      <c r="G424" s="980"/>
      <c r="H424" s="980"/>
      <c r="I424" s="950" t="s">
        <v>3555</v>
      </c>
    </row>
    <row r="425" spans="1:9" ht="25.5" x14ac:dyDescent="0.2">
      <c r="A425" s="960">
        <v>323</v>
      </c>
      <c r="B425" s="966" t="s">
        <v>2749</v>
      </c>
      <c r="C425" s="952" t="s">
        <v>3534</v>
      </c>
      <c r="D425" s="952" t="s">
        <v>2748</v>
      </c>
      <c r="E425" s="950" t="s">
        <v>3662</v>
      </c>
      <c r="F425" s="980" t="s">
        <v>3508</v>
      </c>
      <c r="G425" s="980"/>
      <c r="H425" s="980"/>
      <c r="I425" s="950" t="s">
        <v>3554</v>
      </c>
    </row>
    <row r="426" spans="1:9" ht="25.5" x14ac:dyDescent="0.2">
      <c r="A426" s="960">
        <v>324</v>
      </c>
      <c r="B426" s="966" t="s">
        <v>2796</v>
      </c>
      <c r="C426" s="952" t="s">
        <v>391</v>
      </c>
      <c r="D426" s="952" t="s">
        <v>2797</v>
      </c>
      <c r="E426" s="950"/>
      <c r="F426" s="980"/>
      <c r="G426" s="980" t="s">
        <v>3575</v>
      </c>
      <c r="H426" s="980"/>
      <c r="I426" s="950" t="s">
        <v>3343</v>
      </c>
    </row>
    <row r="427" spans="1:9" ht="25.5" x14ac:dyDescent="0.2">
      <c r="A427" s="960">
        <v>325</v>
      </c>
      <c r="B427" s="966" t="s">
        <v>2837</v>
      </c>
      <c r="C427" s="952" t="s">
        <v>391</v>
      </c>
      <c r="D427" s="952" t="s">
        <v>2810</v>
      </c>
      <c r="E427" s="950"/>
      <c r="F427" s="980"/>
      <c r="G427" s="980" t="s">
        <v>3576</v>
      </c>
      <c r="H427" s="980"/>
      <c r="I427" s="950" t="s">
        <v>3343</v>
      </c>
    </row>
    <row r="428" spans="1:9" ht="25.5" x14ac:dyDescent="0.2">
      <c r="A428" s="960">
        <v>326</v>
      </c>
      <c r="B428" s="966" t="s">
        <v>2509</v>
      </c>
      <c r="C428" s="952" t="s">
        <v>3534</v>
      </c>
      <c r="D428" s="952" t="s">
        <v>3565</v>
      </c>
      <c r="E428" s="950" t="s">
        <v>3663</v>
      </c>
      <c r="F428" s="980" t="s">
        <v>3508</v>
      </c>
      <c r="G428" s="980" t="s">
        <v>3696</v>
      </c>
      <c r="H428" s="980"/>
      <c r="I428" s="950" t="s">
        <v>3555</v>
      </c>
    </row>
    <row r="429" spans="1:9" ht="25.5" x14ac:dyDescent="0.2">
      <c r="A429" s="960">
        <v>327</v>
      </c>
      <c r="B429" s="966" t="s">
        <v>2463</v>
      </c>
      <c r="C429" s="952" t="s">
        <v>3534</v>
      </c>
      <c r="D429" s="952" t="s">
        <v>284</v>
      </c>
      <c r="E429" s="950" t="s">
        <v>3664</v>
      </c>
      <c r="F429" s="980" t="s">
        <v>3508</v>
      </c>
      <c r="G429" s="980" t="s">
        <v>3695</v>
      </c>
      <c r="H429" s="980"/>
      <c r="I429" s="950" t="s">
        <v>3555</v>
      </c>
    </row>
    <row r="430" spans="1:9" ht="25.5" x14ac:dyDescent="0.2">
      <c r="A430" s="960">
        <v>328</v>
      </c>
      <c r="B430" s="966" t="s">
        <v>2813</v>
      </c>
      <c r="C430" s="952" t="s">
        <v>391</v>
      </c>
      <c r="D430" s="952" t="s">
        <v>152</v>
      </c>
      <c r="E430" s="950"/>
      <c r="F430" s="980"/>
      <c r="G430" s="980"/>
      <c r="H430" s="980"/>
      <c r="I430" s="950"/>
    </row>
    <row r="431" spans="1:9" x14ac:dyDescent="0.2">
      <c r="A431" s="950">
        <v>329</v>
      </c>
      <c r="B431" s="966" t="s">
        <v>2775</v>
      </c>
      <c r="C431" s="952" t="s">
        <v>391</v>
      </c>
      <c r="D431" s="952" t="s">
        <v>3566</v>
      </c>
      <c r="E431" s="950"/>
      <c r="F431" s="980"/>
      <c r="G431" s="980"/>
      <c r="H431" s="980"/>
      <c r="I431" s="950"/>
    </row>
    <row r="432" spans="1:9" x14ac:dyDescent="0.2">
      <c r="A432" s="950">
        <v>330</v>
      </c>
      <c r="B432" s="966" t="s">
        <v>2769</v>
      </c>
      <c r="C432" s="952" t="s">
        <v>391</v>
      </c>
      <c r="D432" s="952" t="s">
        <v>2770</v>
      </c>
      <c r="E432" s="950"/>
      <c r="F432" s="980"/>
      <c r="G432" s="980"/>
      <c r="H432" s="980"/>
      <c r="I432" s="950"/>
    </row>
    <row r="433" spans="1:9" ht="25.5" x14ac:dyDescent="0.2">
      <c r="A433" s="992">
        <v>404</v>
      </c>
      <c r="B433" s="992" t="s">
        <v>2803</v>
      </c>
      <c r="C433" s="991" t="s">
        <v>3527</v>
      </c>
      <c r="D433" s="991" t="s">
        <v>3660</v>
      </c>
      <c r="E433" s="998" t="s">
        <v>3661</v>
      </c>
      <c r="F433" s="999" t="s">
        <v>3508</v>
      </c>
      <c r="G433" s="993"/>
      <c r="H433" s="993"/>
      <c r="I433" s="992" t="s">
        <v>3555</v>
      </c>
    </row>
    <row r="434" spans="1:9" ht="25.5" x14ac:dyDescent="0.2">
      <c r="A434" s="992">
        <v>405</v>
      </c>
      <c r="B434" s="992" t="s">
        <v>2558</v>
      </c>
      <c r="C434" s="991" t="s">
        <v>3527</v>
      </c>
      <c r="D434" s="991" t="s">
        <v>3670</v>
      </c>
      <c r="E434" s="998" t="s">
        <v>3671</v>
      </c>
      <c r="F434" s="999" t="s">
        <v>3508</v>
      </c>
      <c r="G434" s="993"/>
      <c r="H434" s="993"/>
      <c r="I434" s="992" t="s">
        <v>3555</v>
      </c>
    </row>
    <row r="435" spans="1:9" ht="25.5" x14ac:dyDescent="0.2">
      <c r="A435" s="992">
        <v>406</v>
      </c>
      <c r="B435" s="992" t="s">
        <v>2586</v>
      </c>
      <c r="C435" s="991" t="s">
        <v>3527</v>
      </c>
      <c r="D435" s="991" t="s">
        <v>3708</v>
      </c>
      <c r="E435" s="998" t="s">
        <v>3709</v>
      </c>
      <c r="F435" s="999" t="s">
        <v>3508</v>
      </c>
      <c r="G435" s="993"/>
      <c r="H435" s="993"/>
      <c r="I435" s="992"/>
    </row>
    <row r="436" spans="1:9" ht="25.5" x14ac:dyDescent="0.2">
      <c r="A436" s="992">
        <v>407</v>
      </c>
      <c r="B436" s="992" t="s">
        <v>2658</v>
      </c>
      <c r="C436" s="991" t="s">
        <v>3534</v>
      </c>
      <c r="D436" s="991" t="s">
        <v>3122</v>
      </c>
      <c r="E436" s="998" t="s">
        <v>3764</v>
      </c>
      <c r="F436" s="999" t="s">
        <v>3508</v>
      </c>
      <c r="G436" s="999" t="s">
        <v>3765</v>
      </c>
      <c r="H436" s="993"/>
      <c r="I436" s="992"/>
    </row>
    <row r="437" spans="1:9" ht="25.5" x14ac:dyDescent="0.2">
      <c r="A437" s="992">
        <v>408</v>
      </c>
      <c r="B437" s="992" t="s">
        <v>2655</v>
      </c>
      <c r="C437" s="991" t="s">
        <v>3534</v>
      </c>
      <c r="D437" s="991" t="s">
        <v>3132</v>
      </c>
      <c r="E437" s="998" t="s">
        <v>3772</v>
      </c>
      <c r="F437" s="999" t="s">
        <v>3508</v>
      </c>
      <c r="G437" s="999" t="s">
        <v>3773</v>
      </c>
      <c r="H437" s="993"/>
      <c r="I437" s="992"/>
    </row>
    <row r="438" spans="1:9" x14ac:dyDescent="0.2">
      <c r="A438" s="992">
        <v>409</v>
      </c>
      <c r="B438" s="992"/>
      <c r="C438" s="991"/>
      <c r="D438" s="991"/>
      <c r="E438" s="998"/>
      <c r="F438" s="999"/>
      <c r="G438" s="993"/>
      <c r="H438" s="993"/>
      <c r="I438" s="992"/>
    </row>
    <row r="439" spans="1:9" x14ac:dyDescent="0.2">
      <c r="A439" s="992">
        <v>410</v>
      </c>
      <c r="B439" s="992"/>
      <c r="C439" s="991"/>
      <c r="D439" s="991"/>
      <c r="E439" s="998"/>
      <c r="F439" s="999"/>
      <c r="G439" s="993"/>
      <c r="H439" s="993"/>
      <c r="I439" s="992"/>
    </row>
    <row r="440" spans="1:9" x14ac:dyDescent="0.2">
      <c r="A440" s="992">
        <v>411</v>
      </c>
      <c r="B440" s="992"/>
      <c r="C440" s="991"/>
      <c r="D440" s="991"/>
      <c r="E440" s="998"/>
      <c r="F440" s="999"/>
      <c r="G440" s="993"/>
      <c r="H440" s="993"/>
      <c r="I440" s="992"/>
    </row>
    <row r="441" spans="1:9" x14ac:dyDescent="0.2">
      <c r="A441" s="992">
        <v>412</v>
      </c>
      <c r="B441" s="992"/>
      <c r="C441" s="991"/>
      <c r="D441" s="991"/>
      <c r="E441" s="998"/>
      <c r="F441" s="999"/>
      <c r="G441" s="993"/>
      <c r="H441" s="993"/>
      <c r="I441" s="992"/>
    </row>
    <row r="442" spans="1:9" x14ac:dyDescent="0.2">
      <c r="A442" s="992">
        <v>413</v>
      </c>
      <c r="B442" s="992"/>
      <c r="C442" s="991"/>
      <c r="D442" s="991"/>
      <c r="E442" s="998"/>
      <c r="F442" s="999"/>
      <c r="G442" s="993"/>
      <c r="H442" s="993"/>
      <c r="I442" s="992"/>
    </row>
    <row r="443" spans="1:9" x14ac:dyDescent="0.2">
      <c r="A443" s="992">
        <v>414</v>
      </c>
      <c r="B443" s="992"/>
      <c r="C443" s="991"/>
      <c r="D443" s="991"/>
      <c r="E443" s="998"/>
      <c r="F443" s="999"/>
      <c r="G443" s="993"/>
      <c r="H443" s="993"/>
      <c r="I443" s="992"/>
    </row>
    <row r="444" spans="1:9" x14ac:dyDescent="0.2">
      <c r="A444" s="992">
        <v>415</v>
      </c>
      <c r="B444" s="992"/>
      <c r="C444" s="991"/>
      <c r="D444" s="991"/>
      <c r="E444" s="998"/>
      <c r="F444" s="999"/>
      <c r="G444" s="993"/>
      <c r="H444" s="993"/>
      <c r="I444" s="992"/>
    </row>
    <row r="445" spans="1:9" x14ac:dyDescent="0.2">
      <c r="A445" s="992">
        <v>416</v>
      </c>
      <c r="B445" s="992"/>
      <c r="C445" s="991"/>
      <c r="D445" s="991"/>
      <c r="E445" s="998"/>
      <c r="F445" s="999"/>
      <c r="G445" s="993"/>
      <c r="H445" s="993"/>
      <c r="I445" s="992"/>
    </row>
    <row r="446" spans="1:9" x14ac:dyDescent="0.2">
      <c r="A446" s="992">
        <v>417</v>
      </c>
      <c r="B446" s="992"/>
      <c r="C446" s="991"/>
      <c r="D446" s="991"/>
      <c r="E446" s="998"/>
      <c r="F446" s="999"/>
      <c r="G446" s="993"/>
      <c r="H446" s="993"/>
      <c r="I446" s="992"/>
    </row>
    <row r="447" spans="1:9" x14ac:dyDescent="0.2">
      <c r="A447" s="992">
        <v>418</v>
      </c>
      <c r="B447" s="992"/>
      <c r="C447" s="991"/>
      <c r="D447" s="991"/>
      <c r="E447" s="998"/>
      <c r="F447" s="999"/>
      <c r="G447" s="993"/>
      <c r="H447" s="993"/>
      <c r="I447" s="992"/>
    </row>
    <row r="448" spans="1:9" x14ac:dyDescent="0.2">
      <c r="A448" s="992">
        <v>419</v>
      </c>
      <c r="B448" s="992"/>
      <c r="C448" s="991"/>
      <c r="D448" s="991"/>
      <c r="E448" s="998"/>
      <c r="F448" s="999"/>
      <c r="G448" s="993"/>
      <c r="H448" s="993"/>
      <c r="I448" s="992"/>
    </row>
    <row r="449" spans="1:9" x14ac:dyDescent="0.2">
      <c r="A449" s="992">
        <v>420</v>
      </c>
      <c r="B449" s="992"/>
      <c r="C449" s="991"/>
      <c r="D449" s="991"/>
      <c r="E449" s="998"/>
      <c r="F449" s="999"/>
      <c r="G449" s="993"/>
      <c r="H449" s="993"/>
      <c r="I449" s="992"/>
    </row>
    <row r="450" spans="1:9" x14ac:dyDescent="0.2">
      <c r="A450" s="992">
        <v>421</v>
      </c>
      <c r="B450" s="992"/>
      <c r="C450" s="991"/>
      <c r="D450" s="991"/>
      <c r="E450" s="998"/>
      <c r="F450" s="999"/>
      <c r="G450" s="993"/>
      <c r="H450" s="993"/>
      <c r="I450" s="992"/>
    </row>
    <row r="451" spans="1:9" x14ac:dyDescent="0.2">
      <c r="A451" s="992">
        <v>422</v>
      </c>
      <c r="B451" s="992"/>
      <c r="C451" s="991"/>
      <c r="D451" s="991"/>
      <c r="E451" s="998"/>
      <c r="F451" s="999"/>
      <c r="G451" s="993"/>
      <c r="H451" s="993"/>
      <c r="I451" s="992"/>
    </row>
    <row r="452" spans="1:9" x14ac:dyDescent="0.2">
      <c r="A452" s="992">
        <v>423</v>
      </c>
      <c r="B452" s="992"/>
      <c r="C452" s="991"/>
      <c r="D452" s="991"/>
      <c r="E452" s="998"/>
      <c r="F452" s="999"/>
      <c r="G452" s="993"/>
      <c r="H452" s="993"/>
      <c r="I452" s="992"/>
    </row>
    <row r="453" spans="1:9" x14ac:dyDescent="0.2">
      <c r="A453" s="992">
        <v>424</v>
      </c>
      <c r="B453" s="992"/>
      <c r="C453" s="991"/>
      <c r="D453" s="991"/>
      <c r="E453" s="998"/>
      <c r="F453" s="999"/>
      <c r="G453" s="993"/>
      <c r="H453" s="993"/>
      <c r="I453" s="992"/>
    </row>
    <row r="454" spans="1:9" x14ac:dyDescent="0.2">
      <c r="A454" s="992">
        <v>425</v>
      </c>
      <c r="B454" s="992"/>
      <c r="C454" s="991"/>
      <c r="D454" s="991"/>
      <c r="E454" s="998"/>
      <c r="F454" s="999"/>
      <c r="G454" s="993"/>
      <c r="H454" s="993"/>
      <c r="I454" s="992"/>
    </row>
    <row r="455" spans="1:9" x14ac:dyDescent="0.2">
      <c r="A455" s="992">
        <v>426</v>
      </c>
      <c r="B455" s="992"/>
      <c r="C455" s="991"/>
      <c r="D455" s="991"/>
      <c r="E455" s="998"/>
      <c r="F455" s="999"/>
      <c r="G455" s="993"/>
      <c r="H455" s="993"/>
      <c r="I455" s="992"/>
    </row>
    <row r="456" spans="1:9" x14ac:dyDescent="0.2">
      <c r="A456" s="992">
        <v>427</v>
      </c>
      <c r="B456" s="992"/>
      <c r="C456" s="991"/>
      <c r="D456" s="991"/>
      <c r="E456" s="998"/>
      <c r="F456" s="999"/>
      <c r="G456" s="993"/>
      <c r="H456" s="993"/>
      <c r="I456" s="992"/>
    </row>
    <row r="457" spans="1:9" x14ac:dyDescent="0.2">
      <c r="A457" s="992">
        <v>428</v>
      </c>
    </row>
  </sheetData>
  <autoFilter ref="A1:I457">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display="140282-0-2014"/>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s>
  <pageMargins left="0.7" right="0.7" top="0.75" bottom="0.75" header="0.3" footer="0.3"/>
  <pageSetup orientation="portrait" r:id="rId2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B476" sqref="B476"/>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42" t="s">
        <v>960</v>
      </c>
      <c r="B4" s="1042"/>
      <c r="C4" s="1042"/>
      <c r="D4" s="1042"/>
      <c r="E4" s="1042"/>
      <c r="F4" s="1042"/>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256</v>
      </c>
      <c r="C8" s="59"/>
      <c r="D8" s="59"/>
      <c r="E8" s="59"/>
      <c r="F8" s="59"/>
      <c r="G8" s="109"/>
    </row>
    <row r="9" spans="1:7" s="57" customFormat="1" ht="15" customHeight="1" thickTop="1" thickBot="1" x14ac:dyDescent="0.3">
      <c r="A9" s="113" t="s">
        <v>1061</v>
      </c>
      <c r="B9" s="114">
        <f ca="1">COUNTIF('Base de Datos'!Z7:Z264,"&lt;100%")</f>
        <v>1</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09" t="s">
        <v>1000</v>
      </c>
      <c r="B13" s="1010">
        <v>1</v>
      </c>
      <c r="C13" s="59"/>
      <c r="D13" s="116"/>
      <c r="E13" s="116"/>
      <c r="F13" s="116"/>
      <c r="G13" s="59"/>
    </row>
    <row r="14" spans="1:7" customFormat="1" x14ac:dyDescent="0.25">
      <c r="A14" s="1011" t="s">
        <v>1057</v>
      </c>
      <c r="B14" s="1012" t="s">
        <v>392</v>
      </c>
      <c r="C14" s="59"/>
      <c r="D14" s="116"/>
      <c r="E14" s="116"/>
      <c r="F14" s="116"/>
      <c r="G14" s="59"/>
    </row>
    <row r="15" spans="1:7" customFormat="1" x14ac:dyDescent="0.25">
      <c r="A15" s="420"/>
      <c r="B15" s="71"/>
      <c r="C15" s="59"/>
      <c r="D15" s="116"/>
      <c r="E15" s="116"/>
      <c r="F15" s="116"/>
      <c r="G15" s="59"/>
    </row>
    <row r="16" spans="1:7" customFormat="1" ht="33.75" x14ac:dyDescent="0.25">
      <c r="A16" s="1006" t="s">
        <v>393</v>
      </c>
      <c r="B16" s="1007" t="s">
        <v>956</v>
      </c>
      <c r="C16" s="1007" t="s">
        <v>1060</v>
      </c>
      <c r="D16" s="1008" t="s">
        <v>955</v>
      </c>
      <c r="E16" s="1008" t="s">
        <v>957</v>
      </c>
      <c r="F16" s="1008" t="s">
        <v>958</v>
      </c>
      <c r="G16" s="59"/>
    </row>
    <row r="17" spans="1:7" customFormat="1" x14ac:dyDescent="0.25">
      <c r="A17" s="846" t="s">
        <v>92</v>
      </c>
      <c r="B17" s="1001"/>
      <c r="C17" s="1001"/>
      <c r="D17" s="1002"/>
      <c r="E17" s="1002"/>
      <c r="F17" s="1002"/>
      <c r="G17" s="59"/>
    </row>
    <row r="18" spans="1:7" customFormat="1" x14ac:dyDescent="0.25">
      <c r="A18" s="846" t="s">
        <v>425</v>
      </c>
      <c r="B18" s="1001"/>
      <c r="C18" s="1001"/>
      <c r="D18" s="1002"/>
      <c r="E18" s="1002"/>
      <c r="F18" s="1002"/>
      <c r="G18" s="59"/>
    </row>
    <row r="19" spans="1:7" customFormat="1" ht="105" x14ac:dyDescent="0.25">
      <c r="A19" s="846" t="s">
        <v>438</v>
      </c>
      <c r="B19" s="1001">
        <v>39724</v>
      </c>
      <c r="C19" s="1001">
        <v>41673</v>
      </c>
      <c r="D19" s="1002">
        <v>7329236109</v>
      </c>
      <c r="E19" s="1002">
        <v>6218260556</v>
      </c>
      <c r="F19" s="1002">
        <v>1110975553</v>
      </c>
      <c r="G19" s="59"/>
    </row>
    <row r="20" spans="1:7" customFormat="1" x14ac:dyDescent="0.25">
      <c r="A20" s="846" t="s">
        <v>151</v>
      </c>
      <c r="B20" s="1001"/>
      <c r="C20" s="1001"/>
      <c r="D20" s="1002"/>
      <c r="E20" s="1002"/>
      <c r="F20" s="1002"/>
      <c r="G20" s="59"/>
    </row>
    <row r="21" spans="1:7" customFormat="1" x14ac:dyDescent="0.25">
      <c r="A21" s="846" t="s">
        <v>152</v>
      </c>
      <c r="B21" s="1001"/>
      <c r="C21" s="1001"/>
      <c r="D21" s="1002"/>
      <c r="E21" s="1002"/>
      <c r="F21" s="1002"/>
      <c r="G21" s="59"/>
    </row>
    <row r="22" spans="1:7" customFormat="1" ht="45" x14ac:dyDescent="0.25">
      <c r="A22" s="846" t="s">
        <v>439</v>
      </c>
      <c r="B22" s="1001">
        <v>39904</v>
      </c>
      <c r="C22" s="1001">
        <v>41486</v>
      </c>
      <c r="D22" s="1002">
        <v>3100400677</v>
      </c>
      <c r="E22" s="1002">
        <v>3066561119</v>
      </c>
      <c r="F22" s="1002">
        <v>33839558</v>
      </c>
      <c r="G22" s="59"/>
    </row>
    <row r="23" spans="1:7" customFormat="1" x14ac:dyDescent="0.25">
      <c r="A23" s="846" t="s">
        <v>149</v>
      </c>
      <c r="B23" s="1001"/>
      <c r="C23" s="1001"/>
      <c r="D23" s="1002"/>
      <c r="E23" s="1002"/>
      <c r="F23" s="1002"/>
      <c r="G23" s="59"/>
    </row>
    <row r="24" spans="1:7" customFormat="1" x14ac:dyDescent="0.25">
      <c r="A24" s="846" t="s">
        <v>150</v>
      </c>
      <c r="B24" s="1001"/>
      <c r="C24" s="1001"/>
      <c r="D24" s="1002"/>
      <c r="E24" s="1002"/>
      <c r="F24" s="1002"/>
      <c r="G24" s="59"/>
    </row>
    <row r="25" spans="1:7" customFormat="1" ht="60" x14ac:dyDescent="0.25">
      <c r="A25" s="846" t="s">
        <v>1277</v>
      </c>
      <c r="B25" s="1001">
        <v>39864</v>
      </c>
      <c r="C25" s="1001">
        <v>41476</v>
      </c>
      <c r="D25" s="1002">
        <v>2909992591</v>
      </c>
      <c r="E25" s="1002">
        <v>13400894</v>
      </c>
      <c r="F25" s="1002">
        <v>2896591697</v>
      </c>
      <c r="G25" s="59"/>
    </row>
    <row r="26" spans="1:7" customFormat="1" x14ac:dyDescent="0.25">
      <c r="A26" s="846" t="s">
        <v>21</v>
      </c>
      <c r="B26" s="1001"/>
      <c r="C26" s="1001"/>
      <c r="D26" s="1002"/>
      <c r="E26" s="1002"/>
      <c r="F26" s="1002"/>
      <c r="G26" s="59"/>
    </row>
    <row r="27" spans="1:7" customFormat="1" x14ac:dyDescent="0.25">
      <c r="A27" s="846" t="s">
        <v>22</v>
      </c>
      <c r="B27" s="1001"/>
      <c r="C27" s="1001"/>
      <c r="D27" s="1002"/>
      <c r="E27" s="1002"/>
      <c r="F27" s="1002"/>
      <c r="G27" s="59"/>
    </row>
    <row r="28" spans="1:7" customFormat="1" x14ac:dyDescent="0.25">
      <c r="A28" s="846" t="s">
        <v>321</v>
      </c>
      <c r="B28" s="1001">
        <v>41087</v>
      </c>
      <c r="C28" s="1001">
        <v>41513</v>
      </c>
      <c r="D28" s="1002">
        <v>79634000</v>
      </c>
      <c r="E28" s="1002">
        <v>79634000</v>
      </c>
      <c r="F28" s="1002">
        <v>0</v>
      </c>
      <c r="G28" s="59"/>
    </row>
    <row r="29" spans="1:7" customFormat="1" x14ac:dyDescent="0.25">
      <c r="A29" s="846" t="s">
        <v>103</v>
      </c>
      <c r="B29" s="1001"/>
      <c r="C29" s="1001"/>
      <c r="D29" s="1002"/>
      <c r="E29" s="1002"/>
      <c r="F29" s="1002"/>
      <c r="G29" s="59"/>
    </row>
    <row r="30" spans="1:7" customFormat="1" x14ac:dyDescent="0.25">
      <c r="A30" s="846" t="s">
        <v>1636</v>
      </c>
      <c r="B30" s="1001"/>
      <c r="C30" s="1001"/>
      <c r="D30" s="1002"/>
      <c r="E30" s="1002"/>
      <c r="F30" s="1002"/>
      <c r="G30" s="59"/>
    </row>
    <row r="31" spans="1:7" customFormat="1" ht="45" x14ac:dyDescent="0.25">
      <c r="A31" s="846" t="s">
        <v>448</v>
      </c>
      <c r="B31" s="1001">
        <v>41213</v>
      </c>
      <c r="C31" s="1001">
        <v>41274</v>
      </c>
      <c r="D31" s="1002">
        <v>4206160</v>
      </c>
      <c r="E31" s="1002">
        <v>0</v>
      </c>
      <c r="F31" s="1002">
        <v>4206160</v>
      </c>
      <c r="G31" s="59"/>
    </row>
    <row r="32" spans="1:7" customFormat="1" x14ac:dyDescent="0.25">
      <c r="A32" s="846" t="s">
        <v>179</v>
      </c>
      <c r="B32" s="1001"/>
      <c r="C32" s="1001"/>
      <c r="D32" s="1002"/>
      <c r="E32" s="1002"/>
      <c r="F32" s="1002"/>
      <c r="G32" s="59"/>
    </row>
    <row r="33" spans="1:7" customFormat="1" x14ac:dyDescent="0.25">
      <c r="A33" s="846" t="s">
        <v>433</v>
      </c>
      <c r="B33" s="1001"/>
      <c r="C33" s="1001"/>
      <c r="D33" s="1002"/>
      <c r="E33" s="1002"/>
      <c r="F33" s="1002"/>
      <c r="G33" s="59"/>
    </row>
    <row r="34" spans="1:7" customFormat="1" ht="45" x14ac:dyDescent="0.25">
      <c r="A34" s="846" t="s">
        <v>449</v>
      </c>
      <c r="B34" s="1001">
        <v>41206</v>
      </c>
      <c r="C34" s="1001">
        <v>41609</v>
      </c>
      <c r="D34" s="1002">
        <v>726335435</v>
      </c>
      <c r="E34" s="1002">
        <v>577978609</v>
      </c>
      <c r="F34" s="1002">
        <v>148356826</v>
      </c>
      <c r="G34" s="59"/>
    </row>
    <row r="35" spans="1:7" customFormat="1" x14ac:dyDescent="0.25">
      <c r="A35" s="846" t="s">
        <v>180</v>
      </c>
      <c r="B35" s="1001"/>
      <c r="C35" s="1001"/>
      <c r="D35" s="1002"/>
      <c r="E35" s="1002"/>
      <c r="F35" s="1002"/>
      <c r="G35" s="59"/>
    </row>
    <row r="36" spans="1:7" customFormat="1" x14ac:dyDescent="0.25">
      <c r="A36" s="846" t="s">
        <v>181</v>
      </c>
      <c r="B36" s="1001"/>
      <c r="C36" s="1001"/>
      <c r="D36" s="1002"/>
      <c r="E36" s="1002"/>
      <c r="F36" s="1002"/>
      <c r="G36" s="59"/>
    </row>
    <row r="37" spans="1:7" customFormat="1" ht="75" x14ac:dyDescent="0.25">
      <c r="A37" s="846" t="s">
        <v>440</v>
      </c>
      <c r="B37" s="1001">
        <v>40197</v>
      </c>
      <c r="C37" s="1001">
        <v>41323</v>
      </c>
      <c r="D37" s="1002">
        <v>234495075</v>
      </c>
      <c r="E37" s="1002">
        <v>234495075</v>
      </c>
      <c r="F37" s="1002">
        <v>0</v>
      </c>
      <c r="G37" s="59"/>
    </row>
    <row r="38" spans="1:7" customFormat="1" x14ac:dyDescent="0.25">
      <c r="A38" s="846" t="s">
        <v>56</v>
      </c>
      <c r="B38" s="1001"/>
      <c r="C38" s="1001"/>
      <c r="D38" s="1002"/>
      <c r="E38" s="1002"/>
      <c r="F38" s="1002"/>
      <c r="G38" s="59"/>
    </row>
    <row r="39" spans="1:7" customFormat="1" x14ac:dyDescent="0.25">
      <c r="A39" s="846" t="s">
        <v>57</v>
      </c>
      <c r="B39" s="1001"/>
      <c r="C39" s="1001"/>
      <c r="D39" s="1002"/>
      <c r="E39" s="1002"/>
      <c r="F39" s="1002"/>
      <c r="G39" s="59"/>
    </row>
    <row r="40" spans="1:7" customFormat="1" ht="30" x14ac:dyDescent="0.25">
      <c r="A40" s="846" t="s">
        <v>335</v>
      </c>
      <c r="B40" s="1001">
        <v>41025</v>
      </c>
      <c r="C40" s="1001">
        <v>41623</v>
      </c>
      <c r="D40" s="1002">
        <v>71096157</v>
      </c>
      <c r="E40" s="1002">
        <v>71096157</v>
      </c>
      <c r="F40" s="1002">
        <v>0</v>
      </c>
      <c r="G40" s="59"/>
    </row>
    <row r="41" spans="1:7" customFormat="1" x14ac:dyDescent="0.25">
      <c r="A41" s="846" t="s">
        <v>19</v>
      </c>
      <c r="B41" s="1001"/>
      <c r="C41" s="1001"/>
      <c r="D41" s="1002"/>
      <c r="E41" s="1002"/>
      <c r="F41" s="1002"/>
      <c r="G41" s="59"/>
    </row>
    <row r="42" spans="1:7" customFormat="1" x14ac:dyDescent="0.25">
      <c r="A42" s="846" t="s">
        <v>20</v>
      </c>
      <c r="B42" s="1001"/>
      <c r="C42" s="1001"/>
      <c r="D42" s="1002"/>
      <c r="E42" s="1002"/>
      <c r="F42" s="1002"/>
      <c r="G42" s="59"/>
    </row>
    <row r="43" spans="1:7" customFormat="1" ht="30" x14ac:dyDescent="0.25">
      <c r="A43" s="846" t="s">
        <v>320</v>
      </c>
      <c r="B43" s="1001">
        <v>41074</v>
      </c>
      <c r="C43" s="1001">
        <v>41347</v>
      </c>
      <c r="D43" s="1002">
        <v>11587500</v>
      </c>
      <c r="E43" s="1002">
        <v>10316808</v>
      </c>
      <c r="F43" s="1002">
        <v>1270692</v>
      </c>
      <c r="G43" s="59"/>
    </row>
    <row r="44" spans="1:7" customFormat="1" x14ac:dyDescent="0.25">
      <c r="A44" s="846" t="s">
        <v>23</v>
      </c>
      <c r="B44" s="1001"/>
      <c r="C44" s="1001"/>
      <c r="D44" s="1002"/>
      <c r="E44" s="1002"/>
      <c r="F44" s="1002"/>
      <c r="G44" s="59"/>
    </row>
    <row r="45" spans="1:7" customFormat="1" x14ac:dyDescent="0.25">
      <c r="A45" s="846" t="s">
        <v>27</v>
      </c>
      <c r="B45" s="1001"/>
      <c r="C45" s="1001"/>
      <c r="D45" s="1002"/>
      <c r="E45" s="1002"/>
      <c r="F45" s="1002"/>
      <c r="G45" s="59"/>
    </row>
    <row r="46" spans="1:7" customFormat="1" ht="45" x14ac:dyDescent="0.25">
      <c r="A46" s="846" t="s">
        <v>450</v>
      </c>
      <c r="B46" s="1001">
        <v>41044</v>
      </c>
      <c r="C46" s="1001">
        <v>41409</v>
      </c>
      <c r="D46" s="1002">
        <v>849000</v>
      </c>
      <c r="E46" s="1002">
        <v>849000</v>
      </c>
      <c r="F46" s="1002">
        <v>0</v>
      </c>
      <c r="G46" s="59"/>
    </row>
    <row r="47" spans="1:7" customFormat="1" x14ac:dyDescent="0.25">
      <c r="A47" s="846" t="s">
        <v>113</v>
      </c>
      <c r="B47" s="1001"/>
      <c r="C47" s="1001"/>
      <c r="D47" s="1002"/>
      <c r="E47" s="1002"/>
      <c r="F47" s="1002"/>
      <c r="G47" s="59"/>
    </row>
    <row r="48" spans="1:7" customFormat="1" x14ac:dyDescent="0.25">
      <c r="A48" s="846" t="s">
        <v>434</v>
      </c>
      <c r="B48" s="1001"/>
      <c r="C48" s="1001"/>
      <c r="D48" s="1002"/>
      <c r="E48" s="1002"/>
      <c r="F48" s="1002"/>
      <c r="G48" s="59"/>
    </row>
    <row r="49" spans="1:7" customFormat="1" ht="75" x14ac:dyDescent="0.25">
      <c r="A49" s="846" t="s">
        <v>1372</v>
      </c>
      <c r="B49" s="1001">
        <v>41089</v>
      </c>
      <c r="C49" s="1001">
        <v>41333</v>
      </c>
      <c r="D49" s="1002">
        <v>7192000</v>
      </c>
      <c r="E49" s="1002">
        <v>7192000</v>
      </c>
      <c r="F49" s="1002">
        <v>0</v>
      </c>
      <c r="G49" s="59"/>
    </row>
    <row r="50" spans="1:7" customFormat="1" x14ac:dyDescent="0.25">
      <c r="A50" s="846" t="s">
        <v>101</v>
      </c>
      <c r="B50" s="1001"/>
      <c r="C50" s="1001"/>
      <c r="D50" s="1002"/>
      <c r="E50" s="1002"/>
      <c r="F50" s="1002"/>
      <c r="G50" s="59"/>
    </row>
    <row r="51" spans="1:7" customFormat="1" x14ac:dyDescent="0.25">
      <c r="A51" s="846" t="s">
        <v>427</v>
      </c>
      <c r="B51" s="1001"/>
      <c r="C51" s="1001"/>
      <c r="D51" s="1002"/>
      <c r="E51" s="1002"/>
      <c r="F51" s="1002"/>
      <c r="G51" s="59"/>
    </row>
    <row r="52" spans="1:7" customFormat="1" ht="45" x14ac:dyDescent="0.25">
      <c r="A52" s="846" t="s">
        <v>443</v>
      </c>
      <c r="B52" s="1001">
        <v>40822</v>
      </c>
      <c r="C52" s="1001">
        <v>41370</v>
      </c>
      <c r="D52" s="1002">
        <v>2625000</v>
      </c>
      <c r="E52" s="1002">
        <v>0</v>
      </c>
      <c r="F52" s="1002">
        <v>2625000</v>
      </c>
      <c r="G52" s="59"/>
    </row>
    <row r="53" spans="1:7" customFormat="1" x14ac:dyDescent="0.25">
      <c r="A53" s="846" t="s">
        <v>16</v>
      </c>
      <c r="B53" s="1001"/>
      <c r="C53" s="1001"/>
      <c r="D53" s="1002"/>
      <c r="E53" s="1002"/>
      <c r="F53" s="1002"/>
      <c r="G53" s="59"/>
    </row>
    <row r="54" spans="1:7" customFormat="1" x14ac:dyDescent="0.25">
      <c r="A54" s="846" t="s">
        <v>435</v>
      </c>
      <c r="B54" s="1001"/>
      <c r="C54" s="1001"/>
      <c r="D54" s="1002"/>
      <c r="E54" s="1002"/>
      <c r="F54" s="1002"/>
      <c r="G54" s="59"/>
    </row>
    <row r="55" spans="1:7" customFormat="1" ht="45" x14ac:dyDescent="0.25">
      <c r="A55" s="846" t="s">
        <v>318</v>
      </c>
      <c r="B55" s="1001">
        <v>41144</v>
      </c>
      <c r="C55" s="1001">
        <v>41328</v>
      </c>
      <c r="D55" s="1002">
        <v>4839200</v>
      </c>
      <c r="E55" s="1002">
        <v>4839200</v>
      </c>
      <c r="F55" s="1002">
        <v>0</v>
      </c>
      <c r="G55" s="59"/>
    </row>
    <row r="56" spans="1:7" customFormat="1" x14ac:dyDescent="0.25">
      <c r="A56" s="846" t="s">
        <v>107</v>
      </c>
      <c r="B56" s="1001"/>
      <c r="C56" s="1001"/>
      <c r="D56" s="1002"/>
      <c r="E56" s="1002"/>
      <c r="F56" s="1002"/>
      <c r="G56" s="59"/>
    </row>
    <row r="57" spans="1:7" customFormat="1" x14ac:dyDescent="0.25">
      <c r="A57" s="846" t="s">
        <v>108</v>
      </c>
      <c r="B57" s="1001"/>
      <c r="C57" s="1001"/>
      <c r="D57" s="1002"/>
      <c r="E57" s="1002"/>
      <c r="F57" s="1002"/>
      <c r="G57" s="59"/>
    </row>
    <row r="58" spans="1:7" customFormat="1" ht="30" x14ac:dyDescent="0.25">
      <c r="A58" s="846" t="s">
        <v>348</v>
      </c>
      <c r="B58" s="1001">
        <v>41137</v>
      </c>
      <c r="C58" s="1001">
        <v>41349</v>
      </c>
      <c r="D58" s="1002">
        <v>13527752</v>
      </c>
      <c r="E58" s="1002">
        <v>0</v>
      </c>
      <c r="F58" s="1002">
        <v>13527752</v>
      </c>
      <c r="G58" s="59"/>
    </row>
    <row r="59" spans="1:7" customFormat="1" x14ac:dyDescent="0.25">
      <c r="A59" s="846" t="s">
        <v>61</v>
      </c>
      <c r="B59" s="1001"/>
      <c r="C59" s="1001"/>
      <c r="D59" s="1002"/>
      <c r="E59" s="1002"/>
      <c r="F59" s="1002"/>
      <c r="G59" s="59"/>
    </row>
    <row r="60" spans="1:7" customFormat="1" x14ac:dyDescent="0.25">
      <c r="A60" s="846" t="s">
        <v>436</v>
      </c>
      <c r="B60" s="1001"/>
      <c r="C60" s="1001"/>
      <c r="D60" s="1002"/>
      <c r="E60" s="1002"/>
      <c r="F60" s="1002"/>
      <c r="G60" s="59"/>
    </row>
    <row r="61" spans="1:7" customFormat="1" ht="60" x14ac:dyDescent="0.25">
      <c r="A61" s="846" t="s">
        <v>1373</v>
      </c>
      <c r="B61" s="1001">
        <v>41122</v>
      </c>
      <c r="C61" s="1001">
        <v>41531</v>
      </c>
      <c r="D61" s="1002">
        <v>85219000</v>
      </c>
      <c r="E61" s="1002">
        <v>95321355</v>
      </c>
      <c r="F61" s="1002">
        <v>-10102355</v>
      </c>
      <c r="G61" s="59"/>
    </row>
    <row r="62" spans="1:7" customFormat="1" x14ac:dyDescent="0.25">
      <c r="A62" s="846" t="s">
        <v>58</v>
      </c>
      <c r="B62" s="1001"/>
      <c r="C62" s="1001"/>
      <c r="D62" s="1002"/>
      <c r="E62" s="1002"/>
      <c r="F62" s="1002"/>
      <c r="G62" s="59"/>
    </row>
    <row r="63" spans="1:7" customFormat="1" ht="30" x14ac:dyDescent="0.25">
      <c r="A63" s="846" t="s">
        <v>437</v>
      </c>
      <c r="B63" s="1001"/>
      <c r="C63" s="1001"/>
      <c r="D63" s="1002"/>
      <c r="E63" s="1002"/>
      <c r="F63" s="1002"/>
      <c r="G63" s="59"/>
    </row>
    <row r="64" spans="1:7" customFormat="1" ht="75" x14ac:dyDescent="0.25">
      <c r="A64" s="846" t="s">
        <v>1008</v>
      </c>
      <c r="B64" s="1001">
        <v>41122</v>
      </c>
      <c r="C64" s="1001">
        <v>41623</v>
      </c>
      <c r="D64" s="1002">
        <v>99122327</v>
      </c>
      <c r="E64" s="1002">
        <v>93840542</v>
      </c>
      <c r="F64" s="1002">
        <v>5281785</v>
      </c>
      <c r="G64" s="59"/>
    </row>
    <row r="65" spans="1:7" customFormat="1" x14ac:dyDescent="0.25">
      <c r="A65" s="846" t="s">
        <v>423</v>
      </c>
      <c r="B65" s="1001"/>
      <c r="C65" s="1001"/>
      <c r="D65" s="1002"/>
      <c r="E65" s="1002"/>
      <c r="F65" s="1002"/>
      <c r="G65" s="59"/>
    </row>
    <row r="66" spans="1:7" customFormat="1" x14ac:dyDescent="0.25">
      <c r="A66" s="846" t="s">
        <v>13</v>
      </c>
      <c r="B66" s="1001"/>
      <c r="C66" s="1001"/>
      <c r="D66" s="1002"/>
      <c r="E66" s="1002"/>
      <c r="F66" s="1002"/>
      <c r="G66" s="59"/>
    </row>
    <row r="67" spans="1:7" customFormat="1" ht="30" x14ac:dyDescent="0.25">
      <c r="A67" s="846" t="s">
        <v>451</v>
      </c>
      <c r="B67" s="1001">
        <v>41162</v>
      </c>
      <c r="C67" s="1001">
        <v>41527</v>
      </c>
      <c r="D67" s="1002">
        <v>900000</v>
      </c>
      <c r="E67" s="1002">
        <v>900000</v>
      </c>
      <c r="F67" s="1002">
        <v>0</v>
      </c>
      <c r="G67" s="59"/>
    </row>
    <row r="68" spans="1:7" customFormat="1" x14ac:dyDescent="0.25">
      <c r="A68" s="846" t="s">
        <v>28</v>
      </c>
      <c r="B68" s="1001"/>
      <c r="C68" s="1001"/>
      <c r="D68" s="1002"/>
      <c r="E68" s="1002"/>
      <c r="F68" s="1002"/>
      <c r="G68" s="59"/>
    </row>
    <row r="69" spans="1:7" customFormat="1" x14ac:dyDescent="0.25">
      <c r="A69" s="846" t="s">
        <v>29</v>
      </c>
      <c r="B69" s="1001"/>
      <c r="C69" s="1001"/>
      <c r="D69" s="1002"/>
      <c r="E69" s="1002"/>
      <c r="F69" s="1002"/>
      <c r="G69" s="59"/>
    </row>
    <row r="70" spans="1:7" customFormat="1" ht="30" x14ac:dyDescent="0.25">
      <c r="A70" s="846" t="s">
        <v>324</v>
      </c>
      <c r="B70" s="1001">
        <v>41165</v>
      </c>
      <c r="C70" s="1001">
        <v>41530</v>
      </c>
      <c r="D70" s="1002">
        <v>840000</v>
      </c>
      <c r="E70" s="1002">
        <v>840000</v>
      </c>
      <c r="F70" s="1002">
        <v>0</v>
      </c>
      <c r="G70" s="59"/>
    </row>
    <row r="71" spans="1:7" customFormat="1" x14ac:dyDescent="0.25">
      <c r="A71" s="846" t="s">
        <v>32</v>
      </c>
      <c r="B71" s="1001"/>
      <c r="C71" s="1001"/>
      <c r="D71" s="1002"/>
      <c r="E71" s="1002"/>
      <c r="F71" s="1002"/>
      <c r="G71" s="59"/>
    </row>
    <row r="72" spans="1:7" customFormat="1" x14ac:dyDescent="0.25">
      <c r="A72" s="846" t="s">
        <v>33</v>
      </c>
      <c r="B72" s="1001"/>
      <c r="C72" s="1001"/>
      <c r="D72" s="1002"/>
      <c r="E72" s="1002"/>
      <c r="F72" s="1002"/>
      <c r="G72" s="59"/>
    </row>
    <row r="73" spans="1:7" customFormat="1" ht="30" x14ac:dyDescent="0.25">
      <c r="A73" s="846" t="s">
        <v>452</v>
      </c>
      <c r="B73" s="1001">
        <v>41180</v>
      </c>
      <c r="C73" s="1001">
        <v>41545</v>
      </c>
      <c r="D73" s="1002">
        <v>795000</v>
      </c>
      <c r="E73" s="1002">
        <v>795000</v>
      </c>
      <c r="F73" s="1002">
        <v>0</v>
      </c>
      <c r="G73" s="59"/>
    </row>
    <row r="74" spans="1:7" customFormat="1" x14ac:dyDescent="0.25">
      <c r="A74" s="846" t="s">
        <v>109</v>
      </c>
      <c r="B74" s="1001"/>
      <c r="C74" s="1001"/>
      <c r="D74" s="1002"/>
      <c r="E74" s="1002"/>
      <c r="F74" s="1002"/>
      <c r="G74" s="59"/>
    </row>
    <row r="75" spans="1:7" customFormat="1" x14ac:dyDescent="0.25">
      <c r="A75" s="846" t="s">
        <v>420</v>
      </c>
      <c r="B75" s="1001"/>
      <c r="C75" s="1001"/>
      <c r="D75" s="1002"/>
      <c r="E75" s="1002"/>
      <c r="F75" s="1002"/>
      <c r="G75" s="59"/>
    </row>
    <row r="76" spans="1:7" customFormat="1" ht="45" x14ac:dyDescent="0.25">
      <c r="A76" s="846" t="s">
        <v>349</v>
      </c>
      <c r="B76" s="1001">
        <v>41165</v>
      </c>
      <c r="C76" s="1001">
        <v>41346</v>
      </c>
      <c r="D76" s="1002">
        <v>1818000</v>
      </c>
      <c r="E76" s="1002">
        <v>0</v>
      </c>
      <c r="F76" s="1002">
        <v>1818000</v>
      </c>
      <c r="G76" s="59"/>
    </row>
    <row r="77" spans="1:7" customFormat="1" x14ac:dyDescent="0.25">
      <c r="A77" s="846" t="s">
        <v>34</v>
      </c>
      <c r="B77" s="1001"/>
      <c r="C77" s="1001"/>
      <c r="D77" s="1002"/>
      <c r="E77" s="1002"/>
      <c r="F77" s="1002"/>
      <c r="G77" s="59"/>
    </row>
    <row r="78" spans="1:7" customFormat="1" x14ac:dyDescent="0.25">
      <c r="A78" s="846" t="s">
        <v>1009</v>
      </c>
      <c r="B78" s="1001"/>
      <c r="C78" s="1001"/>
      <c r="D78" s="1002"/>
      <c r="E78" s="1002"/>
      <c r="F78" s="1002"/>
      <c r="G78" s="59"/>
    </row>
    <row r="79" spans="1:7" customFormat="1" ht="30" x14ac:dyDescent="0.25">
      <c r="A79" s="846" t="s">
        <v>453</v>
      </c>
      <c r="B79" s="1001">
        <v>41151</v>
      </c>
      <c r="C79" s="1001">
        <v>41333</v>
      </c>
      <c r="D79" s="1002">
        <v>30000000</v>
      </c>
      <c r="E79" s="1002">
        <v>30000000</v>
      </c>
      <c r="F79" s="1002">
        <v>0</v>
      </c>
      <c r="G79" s="59"/>
    </row>
    <row r="80" spans="1:7" customFormat="1" x14ac:dyDescent="0.25">
      <c r="A80" s="846" t="s">
        <v>10</v>
      </c>
      <c r="B80" s="1001"/>
      <c r="C80" s="1001"/>
      <c r="D80" s="1002"/>
      <c r="E80" s="1002"/>
      <c r="F80" s="1002"/>
      <c r="G80" s="59"/>
    </row>
    <row r="81" spans="1:7" customFormat="1" x14ac:dyDescent="0.25">
      <c r="A81" s="846" t="s">
        <v>1010</v>
      </c>
      <c r="B81" s="1001"/>
      <c r="C81" s="1001"/>
      <c r="D81" s="1002"/>
      <c r="E81" s="1002"/>
      <c r="F81" s="1002"/>
      <c r="G81" s="59"/>
    </row>
    <row r="82" spans="1:7" customFormat="1" ht="75" x14ac:dyDescent="0.25">
      <c r="A82" s="846" t="s">
        <v>454</v>
      </c>
      <c r="B82" s="1001">
        <v>41155</v>
      </c>
      <c r="C82" s="1001">
        <v>41367</v>
      </c>
      <c r="D82" s="1002">
        <v>35000000</v>
      </c>
      <c r="E82" s="1002">
        <v>34666667</v>
      </c>
      <c r="F82" s="1002">
        <v>333333</v>
      </c>
      <c r="G82" s="59"/>
    </row>
    <row r="83" spans="1:7" customFormat="1" x14ac:dyDescent="0.25">
      <c r="A83" s="846" t="s">
        <v>114</v>
      </c>
      <c r="B83" s="1001"/>
      <c r="C83" s="1001"/>
      <c r="D83" s="1002"/>
      <c r="E83" s="1002"/>
      <c r="F83" s="1002"/>
      <c r="G83" s="59"/>
    </row>
    <row r="84" spans="1:7" customFormat="1" x14ac:dyDescent="0.25">
      <c r="A84" s="846" t="s">
        <v>115</v>
      </c>
      <c r="B84" s="1001"/>
      <c r="C84" s="1001"/>
      <c r="D84" s="1002"/>
      <c r="E84" s="1002"/>
      <c r="F84" s="1002"/>
      <c r="G84" s="59"/>
    </row>
    <row r="85" spans="1:7" customFormat="1" ht="60" x14ac:dyDescent="0.25">
      <c r="A85" s="846" t="s">
        <v>455</v>
      </c>
      <c r="B85" s="1001">
        <v>41170</v>
      </c>
      <c r="C85" s="1001">
        <v>41626</v>
      </c>
      <c r="D85" s="1002">
        <v>8334226</v>
      </c>
      <c r="E85" s="1002">
        <v>8334226</v>
      </c>
      <c r="F85" s="1002">
        <v>0</v>
      </c>
      <c r="G85" s="59"/>
    </row>
    <row r="86" spans="1:7" customFormat="1" x14ac:dyDescent="0.25">
      <c r="A86" s="846" t="s">
        <v>106</v>
      </c>
      <c r="B86" s="1001"/>
      <c r="C86" s="1001"/>
      <c r="D86" s="1002"/>
      <c r="E86" s="1002"/>
      <c r="F86" s="1002"/>
      <c r="G86" s="59"/>
    </row>
    <row r="87" spans="1:7" customFormat="1" x14ac:dyDescent="0.25">
      <c r="A87" s="846" t="s">
        <v>1011</v>
      </c>
      <c r="B87" s="1001"/>
      <c r="C87" s="1001"/>
      <c r="D87" s="1002"/>
      <c r="E87" s="1002"/>
      <c r="F87" s="1002"/>
      <c r="G87" s="59"/>
    </row>
    <row r="88" spans="1:7" customFormat="1" ht="45" x14ac:dyDescent="0.25">
      <c r="A88" s="846" t="s">
        <v>457</v>
      </c>
      <c r="B88" s="1001">
        <v>41162</v>
      </c>
      <c r="C88" s="1001">
        <v>41343</v>
      </c>
      <c r="D88" s="1002">
        <v>20565000</v>
      </c>
      <c r="E88" s="1002">
        <v>20565000</v>
      </c>
      <c r="F88" s="1002">
        <v>0</v>
      </c>
      <c r="G88" s="59"/>
    </row>
    <row r="89" spans="1:7" customFormat="1" x14ac:dyDescent="0.25">
      <c r="A89" s="846" t="s">
        <v>105</v>
      </c>
      <c r="B89" s="1001"/>
      <c r="C89" s="1001"/>
      <c r="D89" s="1002"/>
      <c r="E89" s="1002"/>
      <c r="F89" s="1002"/>
      <c r="G89" s="59"/>
    </row>
    <row r="90" spans="1:7" customFormat="1" x14ac:dyDescent="0.25">
      <c r="A90" s="846" t="s">
        <v>1012</v>
      </c>
      <c r="B90" s="1001"/>
      <c r="C90" s="1001"/>
      <c r="D90" s="1002"/>
      <c r="E90" s="1002"/>
      <c r="F90" s="1002"/>
      <c r="G90" s="59"/>
    </row>
    <row r="91" spans="1:7" customFormat="1" ht="45" x14ac:dyDescent="0.25">
      <c r="A91" s="846" t="s">
        <v>347</v>
      </c>
      <c r="B91" s="1001">
        <v>41193</v>
      </c>
      <c r="C91" s="1001">
        <v>41263</v>
      </c>
      <c r="D91" s="1002">
        <v>6730000</v>
      </c>
      <c r="E91" s="1002">
        <v>6395000</v>
      </c>
      <c r="F91" s="1002">
        <v>335000</v>
      </c>
      <c r="G91" s="59"/>
    </row>
    <row r="92" spans="1:7" customFormat="1" x14ac:dyDescent="0.25">
      <c r="A92" s="846" t="s">
        <v>17</v>
      </c>
      <c r="B92" s="1001"/>
      <c r="C92" s="1001"/>
      <c r="D92" s="1002"/>
      <c r="E92" s="1002"/>
      <c r="F92" s="1002"/>
      <c r="G92" s="59"/>
    </row>
    <row r="93" spans="1:7" customFormat="1" x14ac:dyDescent="0.25">
      <c r="A93" s="846" t="s">
        <v>18</v>
      </c>
      <c r="B93" s="1001"/>
      <c r="C93" s="1001"/>
      <c r="D93" s="1002"/>
      <c r="E93" s="1002"/>
      <c r="F93" s="1002"/>
      <c r="G93" s="59"/>
    </row>
    <row r="94" spans="1:7" customFormat="1" ht="45" x14ac:dyDescent="0.25">
      <c r="A94" s="846" t="s">
        <v>319</v>
      </c>
      <c r="B94" s="1001">
        <v>41205</v>
      </c>
      <c r="C94" s="1001">
        <v>41387</v>
      </c>
      <c r="D94" s="1002">
        <v>23994880</v>
      </c>
      <c r="E94" s="1002">
        <v>23994876</v>
      </c>
      <c r="F94" s="1002">
        <v>4</v>
      </c>
      <c r="G94" s="59"/>
    </row>
    <row r="95" spans="1:7" customFormat="1" x14ac:dyDescent="0.25">
      <c r="A95" s="846" t="s">
        <v>24</v>
      </c>
      <c r="B95" s="1001"/>
      <c r="C95" s="1001"/>
      <c r="D95" s="1002"/>
      <c r="E95" s="1002"/>
      <c r="F95" s="1002"/>
      <c r="G95" s="59"/>
    </row>
    <row r="96" spans="1:7" customFormat="1" x14ac:dyDescent="0.25">
      <c r="A96" s="846" t="s">
        <v>1013</v>
      </c>
      <c r="B96" s="1001"/>
      <c r="C96" s="1001"/>
      <c r="D96" s="1002"/>
      <c r="E96" s="1002"/>
      <c r="F96" s="1002"/>
      <c r="G96" s="59"/>
    </row>
    <row r="97" spans="1:7" customFormat="1" ht="30" x14ac:dyDescent="0.25">
      <c r="A97" s="846" t="s">
        <v>323</v>
      </c>
      <c r="B97" s="1001">
        <v>41187</v>
      </c>
      <c r="C97" s="1001">
        <v>41369</v>
      </c>
      <c r="D97" s="1002">
        <v>38400000</v>
      </c>
      <c r="E97" s="1002">
        <v>38400000</v>
      </c>
      <c r="F97" s="1002">
        <v>0</v>
      </c>
      <c r="G97" s="59"/>
    </row>
    <row r="98" spans="1:7" customFormat="1" x14ac:dyDescent="0.25">
      <c r="A98" s="846" t="s">
        <v>118</v>
      </c>
      <c r="B98" s="1001"/>
      <c r="C98" s="1001"/>
      <c r="D98" s="1002"/>
      <c r="E98" s="1002"/>
      <c r="F98" s="1002"/>
      <c r="G98" s="59"/>
    </row>
    <row r="99" spans="1:7" customFormat="1" x14ac:dyDescent="0.25">
      <c r="A99" s="846" t="s">
        <v>1014</v>
      </c>
      <c r="B99" s="1001"/>
      <c r="C99" s="1001"/>
      <c r="D99" s="1002"/>
      <c r="E99" s="1002"/>
      <c r="F99" s="1002"/>
      <c r="G99" s="59"/>
    </row>
    <row r="100" spans="1:7" customFormat="1" ht="45" x14ac:dyDescent="0.25">
      <c r="A100" s="846" t="s">
        <v>351</v>
      </c>
      <c r="B100" s="1001">
        <v>41246</v>
      </c>
      <c r="C100" s="1001">
        <v>41308</v>
      </c>
      <c r="D100" s="1002">
        <v>3961330</v>
      </c>
      <c r="E100" s="1002">
        <v>3961330</v>
      </c>
      <c r="F100" s="1002">
        <v>0</v>
      </c>
      <c r="G100" s="59"/>
    </row>
    <row r="101" spans="1:7" customFormat="1" x14ac:dyDescent="0.25">
      <c r="A101" s="846" t="s">
        <v>62</v>
      </c>
      <c r="B101" s="1001"/>
      <c r="C101" s="1001"/>
      <c r="D101" s="1002"/>
      <c r="E101" s="1002"/>
      <c r="F101" s="1002"/>
      <c r="G101" s="59"/>
    </row>
    <row r="102" spans="1:7" customFormat="1" x14ac:dyDescent="0.25">
      <c r="A102" s="846" t="s">
        <v>1015</v>
      </c>
      <c r="B102" s="1001"/>
      <c r="C102" s="1001"/>
      <c r="D102" s="1002"/>
      <c r="E102" s="1002"/>
      <c r="F102" s="1002"/>
      <c r="G102" s="59"/>
    </row>
    <row r="103" spans="1:7" customFormat="1" ht="75" x14ac:dyDescent="0.25">
      <c r="A103" s="846" t="s">
        <v>416</v>
      </c>
      <c r="B103" s="1001">
        <v>41270</v>
      </c>
      <c r="C103" s="1001">
        <v>41452</v>
      </c>
      <c r="D103" s="1002">
        <v>24000000</v>
      </c>
      <c r="E103" s="1002">
        <v>24000000</v>
      </c>
      <c r="F103" s="1002">
        <v>0</v>
      </c>
      <c r="G103" s="59"/>
    </row>
    <row r="104" spans="1:7" customFormat="1" x14ac:dyDescent="0.25">
      <c r="A104" s="846" t="s">
        <v>30</v>
      </c>
      <c r="B104" s="1001"/>
      <c r="C104" s="1001"/>
      <c r="D104" s="1002"/>
      <c r="E104" s="1002"/>
      <c r="F104" s="1002"/>
      <c r="G104" s="59"/>
    </row>
    <row r="105" spans="1:7" customFormat="1" x14ac:dyDescent="0.25">
      <c r="A105" s="846" t="s">
        <v>31</v>
      </c>
      <c r="B105" s="1001"/>
      <c r="C105" s="1001"/>
      <c r="D105" s="1002"/>
      <c r="E105" s="1002"/>
      <c r="F105" s="1002"/>
      <c r="G105" s="59"/>
    </row>
    <row r="106" spans="1:7" customFormat="1" ht="60" x14ac:dyDescent="0.25">
      <c r="A106" s="846" t="s">
        <v>325</v>
      </c>
      <c r="B106" s="1001">
        <v>41292</v>
      </c>
      <c r="C106" s="1001">
        <v>41350</v>
      </c>
      <c r="D106" s="1002">
        <v>6000000</v>
      </c>
      <c r="E106" s="1002">
        <v>6000000</v>
      </c>
      <c r="F106" s="1002">
        <v>0</v>
      </c>
      <c r="G106" s="59"/>
    </row>
    <row r="107" spans="1:7" customFormat="1" x14ac:dyDescent="0.25">
      <c r="A107" s="846" t="s">
        <v>14</v>
      </c>
      <c r="B107" s="1001"/>
      <c r="C107" s="1001"/>
      <c r="D107" s="1002"/>
      <c r="E107" s="1002"/>
      <c r="F107" s="1002"/>
      <c r="G107" s="59"/>
    </row>
    <row r="108" spans="1:7" customFormat="1" x14ac:dyDescent="0.25">
      <c r="A108" s="846" t="s">
        <v>15</v>
      </c>
      <c r="B108" s="1001"/>
      <c r="C108" s="1001"/>
      <c r="D108" s="1002"/>
      <c r="E108" s="1002"/>
      <c r="F108" s="1002"/>
      <c r="G108" s="59"/>
    </row>
    <row r="109" spans="1:7" customFormat="1" ht="30" x14ac:dyDescent="0.25">
      <c r="A109" s="846" t="s">
        <v>317</v>
      </c>
      <c r="B109" s="1001">
        <v>41107</v>
      </c>
      <c r="C109" s="1001">
        <v>41472</v>
      </c>
      <c r="D109" s="1002">
        <v>7740000</v>
      </c>
      <c r="E109" s="1002">
        <v>7740000</v>
      </c>
      <c r="F109" s="1002">
        <v>0</v>
      </c>
      <c r="G109" s="59"/>
    </row>
    <row r="110" spans="1:7" customFormat="1" x14ac:dyDescent="0.25">
      <c r="A110" s="846" t="s">
        <v>40</v>
      </c>
      <c r="B110" s="1001"/>
      <c r="C110" s="1001"/>
      <c r="D110" s="1002"/>
      <c r="E110" s="1002"/>
      <c r="F110" s="1002"/>
      <c r="G110" s="59"/>
    </row>
    <row r="111" spans="1:7" customFormat="1" x14ac:dyDescent="0.25">
      <c r="A111" s="846" t="s">
        <v>41</v>
      </c>
      <c r="B111" s="1001"/>
      <c r="C111" s="1001"/>
      <c r="D111" s="1002"/>
      <c r="E111" s="1002"/>
      <c r="F111" s="1002"/>
      <c r="G111" s="59"/>
    </row>
    <row r="112" spans="1:7" customFormat="1" ht="30" x14ac:dyDescent="0.25">
      <c r="A112" s="846" t="s">
        <v>458</v>
      </c>
      <c r="B112" s="1001">
        <v>41064</v>
      </c>
      <c r="C112" s="1001">
        <v>41398</v>
      </c>
      <c r="D112" s="1002">
        <v>47000000</v>
      </c>
      <c r="E112" s="1002">
        <v>41245000</v>
      </c>
      <c r="F112" s="1002">
        <v>5755000</v>
      </c>
      <c r="G112" s="59"/>
    </row>
    <row r="113" spans="1:7" customFormat="1" x14ac:dyDescent="0.25">
      <c r="A113" s="846" t="s">
        <v>72</v>
      </c>
      <c r="B113" s="1001"/>
      <c r="C113" s="1001"/>
      <c r="D113" s="1002"/>
      <c r="E113" s="1002"/>
      <c r="F113" s="1002"/>
      <c r="G113" s="59"/>
    </row>
    <row r="114" spans="1:7" customFormat="1" x14ac:dyDescent="0.25">
      <c r="A114" s="846" t="s">
        <v>73</v>
      </c>
      <c r="B114" s="1001"/>
      <c r="C114" s="1001"/>
      <c r="D114" s="1002"/>
      <c r="E114" s="1002"/>
      <c r="F114" s="1002"/>
      <c r="G114" s="59"/>
    </row>
    <row r="115" spans="1:7" customFormat="1" ht="90" x14ac:dyDescent="0.25">
      <c r="A115" s="846" t="s">
        <v>395</v>
      </c>
      <c r="B115" s="1001">
        <v>41053</v>
      </c>
      <c r="C115" s="1001">
        <v>41400</v>
      </c>
      <c r="D115" s="1002">
        <v>950000000</v>
      </c>
      <c r="E115" s="1002">
        <v>950000000</v>
      </c>
      <c r="F115" s="1002">
        <v>0</v>
      </c>
      <c r="G115" s="59"/>
    </row>
    <row r="116" spans="1:7" customFormat="1" x14ac:dyDescent="0.25">
      <c r="A116" s="846" t="s">
        <v>396</v>
      </c>
      <c r="B116" s="1001"/>
      <c r="C116" s="1001"/>
      <c r="D116" s="1002"/>
      <c r="E116" s="1002"/>
      <c r="F116" s="1002"/>
      <c r="G116" s="59"/>
    </row>
    <row r="117" spans="1:7" customFormat="1" x14ac:dyDescent="0.25">
      <c r="A117" s="846" t="s">
        <v>203</v>
      </c>
      <c r="B117" s="1001"/>
      <c r="C117" s="1001"/>
      <c r="D117" s="1002"/>
      <c r="E117" s="1002"/>
      <c r="F117" s="1002"/>
      <c r="G117" s="59"/>
    </row>
    <row r="118" spans="1:7" customFormat="1" ht="30" x14ac:dyDescent="0.25">
      <c r="A118" s="846" t="s">
        <v>346</v>
      </c>
      <c r="B118" s="1001">
        <v>41067</v>
      </c>
      <c r="C118" s="1001">
        <v>41312</v>
      </c>
      <c r="D118" s="1002">
        <v>10440000</v>
      </c>
      <c r="E118" s="1002">
        <v>10440000</v>
      </c>
      <c r="F118" s="1002">
        <v>0</v>
      </c>
      <c r="G118" s="59"/>
    </row>
    <row r="119" spans="1:7" customFormat="1" x14ac:dyDescent="0.25">
      <c r="A119" s="846" t="s">
        <v>153</v>
      </c>
      <c r="B119" s="1001"/>
      <c r="C119" s="1001"/>
      <c r="D119" s="1002"/>
      <c r="E119" s="1002"/>
      <c r="F119" s="1002"/>
      <c r="G119" s="59"/>
    </row>
    <row r="120" spans="1:7" customFormat="1" x14ac:dyDescent="0.25">
      <c r="A120" s="846" t="s">
        <v>154</v>
      </c>
      <c r="B120" s="1001"/>
      <c r="C120" s="1001"/>
      <c r="D120" s="1002"/>
      <c r="E120" s="1002"/>
      <c r="F120" s="1002"/>
      <c r="G120" s="59"/>
    </row>
    <row r="121" spans="1:7" customFormat="1" ht="75" x14ac:dyDescent="0.25">
      <c r="A121" s="846" t="s">
        <v>419</v>
      </c>
      <c r="B121" s="1001">
        <v>41081</v>
      </c>
      <c r="C121" s="1001">
        <v>41213</v>
      </c>
      <c r="D121" s="1002">
        <v>41705635</v>
      </c>
      <c r="E121" s="1002">
        <v>41705635</v>
      </c>
      <c r="F121" s="1002">
        <v>0</v>
      </c>
      <c r="G121" s="59"/>
    </row>
    <row r="122" spans="1:7" customFormat="1" x14ac:dyDescent="0.25">
      <c r="A122" s="846" t="s">
        <v>170</v>
      </c>
      <c r="B122" s="1001"/>
      <c r="C122" s="1001"/>
      <c r="D122" s="1002"/>
      <c r="E122" s="1002"/>
      <c r="F122" s="1002"/>
      <c r="G122" s="59"/>
    </row>
    <row r="123" spans="1:7" customFormat="1" x14ac:dyDescent="0.25">
      <c r="A123" s="846" t="s">
        <v>428</v>
      </c>
      <c r="B123" s="1001"/>
      <c r="C123" s="1001"/>
      <c r="D123" s="1002"/>
      <c r="E123" s="1002"/>
      <c r="F123" s="1002"/>
      <c r="G123" s="59"/>
    </row>
    <row r="124" spans="1:7" customFormat="1" ht="60" x14ac:dyDescent="0.25">
      <c r="A124" s="846" t="s">
        <v>444</v>
      </c>
      <c r="B124" s="1001">
        <v>40746</v>
      </c>
      <c r="C124" s="1001">
        <v>41112</v>
      </c>
      <c r="D124" s="1002">
        <v>497000000</v>
      </c>
      <c r="E124" s="1002">
        <v>495932967</v>
      </c>
      <c r="F124" s="1002">
        <v>1067033</v>
      </c>
      <c r="G124" s="59"/>
    </row>
    <row r="125" spans="1:7" customFormat="1" x14ac:dyDescent="0.25">
      <c r="A125" s="846" t="s">
        <v>594</v>
      </c>
      <c r="B125" s="1001"/>
      <c r="C125" s="1001"/>
      <c r="D125" s="1002"/>
      <c r="E125" s="1002"/>
      <c r="F125" s="1002"/>
      <c r="G125" s="59"/>
    </row>
    <row r="126" spans="1:7" customFormat="1" x14ac:dyDescent="0.25">
      <c r="A126" s="846" t="s">
        <v>1006</v>
      </c>
      <c r="B126" s="1001"/>
      <c r="C126" s="1001"/>
      <c r="D126" s="1002"/>
      <c r="E126" s="1002"/>
      <c r="F126" s="1002"/>
      <c r="G126" s="59"/>
    </row>
    <row r="127" spans="1:7" customFormat="1" ht="75" x14ac:dyDescent="0.25">
      <c r="A127" s="846" t="s">
        <v>363</v>
      </c>
      <c r="B127" s="1001">
        <v>40870</v>
      </c>
      <c r="C127" s="1001">
        <v>41356</v>
      </c>
      <c r="D127" s="1002">
        <v>9425000</v>
      </c>
      <c r="E127" s="1002">
        <v>9425000</v>
      </c>
      <c r="F127" s="1002">
        <v>0</v>
      </c>
      <c r="G127" s="59"/>
    </row>
    <row r="128" spans="1:7" customFormat="1" x14ac:dyDescent="0.25">
      <c r="A128" s="846" t="s">
        <v>127</v>
      </c>
      <c r="B128" s="1001"/>
      <c r="C128" s="1001"/>
      <c r="D128" s="1002"/>
      <c r="E128" s="1002"/>
      <c r="F128" s="1002"/>
      <c r="G128" s="59"/>
    </row>
    <row r="129" spans="1:7" customFormat="1" x14ac:dyDescent="0.25">
      <c r="A129" s="846" t="s">
        <v>128</v>
      </c>
      <c r="B129" s="1001"/>
      <c r="C129" s="1001"/>
      <c r="D129" s="1002"/>
      <c r="E129" s="1002"/>
      <c r="F129" s="1002"/>
      <c r="G129" s="59"/>
    </row>
    <row r="130" spans="1:7" customFormat="1" ht="30" x14ac:dyDescent="0.25">
      <c r="A130" s="846" t="s">
        <v>355</v>
      </c>
      <c r="B130" s="1001">
        <v>40863</v>
      </c>
      <c r="C130" s="1001">
        <v>41364</v>
      </c>
      <c r="D130" s="1002">
        <v>22930000</v>
      </c>
      <c r="E130" s="1002">
        <v>18432731</v>
      </c>
      <c r="F130" s="1002">
        <v>4497269</v>
      </c>
      <c r="G130" s="59"/>
    </row>
    <row r="131" spans="1:7" customFormat="1" x14ac:dyDescent="0.25">
      <c r="A131" s="846" t="s">
        <v>59</v>
      </c>
      <c r="B131" s="1001"/>
      <c r="C131" s="1001"/>
      <c r="D131" s="1002"/>
      <c r="E131" s="1002"/>
      <c r="F131" s="1002"/>
      <c r="G131" s="59"/>
    </row>
    <row r="132" spans="1:7" customFormat="1" x14ac:dyDescent="0.25">
      <c r="A132" s="846" t="s">
        <v>60</v>
      </c>
      <c r="B132" s="1001"/>
      <c r="C132" s="1001"/>
      <c r="D132" s="1002"/>
      <c r="E132" s="1002"/>
      <c r="F132" s="1002"/>
      <c r="G132" s="59"/>
    </row>
    <row r="133" spans="1:7" customFormat="1" ht="60" x14ac:dyDescent="0.25">
      <c r="A133" s="846" t="s">
        <v>336</v>
      </c>
      <c r="B133" s="1001">
        <v>41103</v>
      </c>
      <c r="C133" s="1001">
        <v>41471</v>
      </c>
      <c r="D133" s="1002">
        <v>4100000</v>
      </c>
      <c r="E133" s="1002">
        <v>3389600</v>
      </c>
      <c r="F133" s="1002">
        <v>710400</v>
      </c>
      <c r="G133" s="59"/>
    </row>
    <row r="134" spans="1:7" customFormat="1" x14ac:dyDescent="0.25">
      <c r="A134" s="846" t="s">
        <v>120</v>
      </c>
      <c r="B134" s="1001"/>
      <c r="C134" s="1001"/>
      <c r="D134" s="1002"/>
      <c r="E134" s="1002"/>
      <c r="F134" s="1002"/>
      <c r="G134" s="59"/>
    </row>
    <row r="135" spans="1:7" customFormat="1" x14ac:dyDescent="0.25">
      <c r="A135" s="846" t="s">
        <v>429</v>
      </c>
      <c r="B135" s="1001"/>
      <c r="C135" s="1001"/>
      <c r="D135" s="1002"/>
      <c r="E135" s="1002"/>
      <c r="F135" s="1002"/>
      <c r="G135" s="59"/>
    </row>
    <row r="136" spans="1:7" customFormat="1" ht="45" x14ac:dyDescent="0.25">
      <c r="A136" s="846" t="s">
        <v>445</v>
      </c>
      <c r="B136" s="1001">
        <v>40862</v>
      </c>
      <c r="C136" s="1001">
        <v>41362</v>
      </c>
      <c r="D136" s="1002">
        <v>20044800</v>
      </c>
      <c r="E136" s="1002">
        <v>20044800</v>
      </c>
      <c r="F136" s="1002">
        <v>0</v>
      </c>
      <c r="G136" s="59"/>
    </row>
    <row r="137" spans="1:7" customFormat="1" x14ac:dyDescent="0.25">
      <c r="A137" s="846" t="s">
        <v>112</v>
      </c>
      <c r="B137" s="1001"/>
      <c r="C137" s="1001"/>
      <c r="D137" s="1002"/>
      <c r="E137" s="1002"/>
      <c r="F137" s="1002"/>
      <c r="G137" s="59"/>
    </row>
    <row r="138" spans="1:7" customFormat="1" x14ac:dyDescent="0.25">
      <c r="A138" s="846" t="s">
        <v>430</v>
      </c>
      <c r="B138" s="1001"/>
      <c r="C138" s="1001"/>
      <c r="D138" s="1002"/>
      <c r="E138" s="1002"/>
      <c r="F138" s="1002"/>
      <c r="G138" s="59"/>
    </row>
    <row r="139" spans="1:7" customFormat="1" ht="60" x14ac:dyDescent="0.25">
      <c r="A139" s="846" t="s">
        <v>446</v>
      </c>
      <c r="B139" s="1001">
        <v>40865</v>
      </c>
      <c r="C139" s="1001">
        <v>41323</v>
      </c>
      <c r="D139" s="1002">
        <v>9976800</v>
      </c>
      <c r="E139" s="1002">
        <v>9976596</v>
      </c>
      <c r="F139" s="1002">
        <v>204</v>
      </c>
      <c r="G139" s="59"/>
    </row>
    <row r="140" spans="1:7" customFormat="1" x14ac:dyDescent="0.25">
      <c r="A140" s="846" t="s">
        <v>44</v>
      </c>
      <c r="B140" s="1001"/>
      <c r="C140" s="1001"/>
      <c r="D140" s="1002"/>
      <c r="E140" s="1002"/>
      <c r="F140" s="1002"/>
      <c r="G140" s="59"/>
    </row>
    <row r="141" spans="1:7" customFormat="1" x14ac:dyDescent="0.25">
      <c r="A141" s="846" t="s">
        <v>1017</v>
      </c>
      <c r="B141" s="1001"/>
      <c r="C141" s="1001"/>
      <c r="D141" s="1002"/>
      <c r="E141" s="1002"/>
      <c r="F141" s="1002"/>
      <c r="G141" s="59"/>
    </row>
    <row r="142" spans="1:7" customFormat="1" ht="45" x14ac:dyDescent="0.25">
      <c r="A142" s="846" t="s">
        <v>329</v>
      </c>
      <c r="B142" s="1001">
        <v>41151</v>
      </c>
      <c r="C142" s="1001">
        <v>41547</v>
      </c>
      <c r="D142" s="1002">
        <v>8932201</v>
      </c>
      <c r="E142" s="1002">
        <v>8906668</v>
      </c>
      <c r="F142" s="1002">
        <v>25533</v>
      </c>
      <c r="G142" s="59"/>
    </row>
    <row r="143" spans="1:7" customFormat="1" x14ac:dyDescent="0.25">
      <c r="A143" s="846" t="s">
        <v>7</v>
      </c>
      <c r="B143" s="1001"/>
      <c r="C143" s="1001"/>
      <c r="D143" s="1002"/>
      <c r="E143" s="1002"/>
      <c r="F143" s="1002"/>
      <c r="G143" s="59"/>
    </row>
    <row r="144" spans="1:7" customFormat="1" x14ac:dyDescent="0.25">
      <c r="A144" s="846" t="s">
        <v>8</v>
      </c>
      <c r="B144" s="1001"/>
      <c r="C144" s="1001"/>
      <c r="D144" s="1002"/>
      <c r="E144" s="1002"/>
      <c r="F144" s="1002"/>
      <c r="G144" s="59"/>
    </row>
    <row r="145" spans="1:7" customFormat="1" ht="45" x14ac:dyDescent="0.25">
      <c r="A145" s="846" t="s">
        <v>314</v>
      </c>
      <c r="B145" s="1001">
        <v>41155</v>
      </c>
      <c r="C145" s="1001">
        <v>41458</v>
      </c>
      <c r="D145" s="1002">
        <v>8545000</v>
      </c>
      <c r="E145" s="1002">
        <v>4336000</v>
      </c>
      <c r="F145" s="1002">
        <v>4209000</v>
      </c>
      <c r="G145" s="59"/>
    </row>
    <row r="146" spans="1:7" customFormat="1" x14ac:dyDescent="0.25">
      <c r="A146" s="846" t="s">
        <v>161</v>
      </c>
      <c r="B146" s="1001"/>
      <c r="C146" s="1001"/>
      <c r="D146" s="1002"/>
      <c r="E146" s="1002"/>
      <c r="F146" s="1002"/>
      <c r="G146" s="59"/>
    </row>
    <row r="147" spans="1:7" customFormat="1" x14ac:dyDescent="0.25">
      <c r="A147" s="846" t="s">
        <v>162</v>
      </c>
      <c r="B147" s="1001"/>
      <c r="C147" s="1001"/>
      <c r="D147" s="1002"/>
      <c r="E147" s="1002"/>
      <c r="F147" s="1002"/>
      <c r="G147" s="59"/>
    </row>
    <row r="148" spans="1:7" customFormat="1" ht="30" x14ac:dyDescent="0.25">
      <c r="A148" s="846" t="s">
        <v>360</v>
      </c>
      <c r="B148" s="1001">
        <v>40891</v>
      </c>
      <c r="C148" s="1001">
        <v>40922</v>
      </c>
      <c r="D148" s="1002">
        <v>1306508</v>
      </c>
      <c r="E148" s="1002">
        <v>1306508</v>
      </c>
      <c r="F148" s="1002">
        <v>0</v>
      </c>
      <c r="G148" s="59"/>
    </row>
    <row r="149" spans="1:7" customFormat="1" x14ac:dyDescent="0.25">
      <c r="A149" s="846" t="s">
        <v>5</v>
      </c>
      <c r="B149" s="1001"/>
      <c r="C149" s="1001"/>
      <c r="D149" s="1002"/>
      <c r="E149" s="1002"/>
      <c r="F149" s="1002"/>
      <c r="G149" s="59"/>
    </row>
    <row r="150" spans="1:7" customFormat="1" x14ac:dyDescent="0.25">
      <c r="A150" s="846" t="s">
        <v>431</v>
      </c>
      <c r="B150" s="1001"/>
      <c r="C150" s="1001"/>
      <c r="D150" s="1002"/>
      <c r="E150" s="1002"/>
      <c r="F150" s="1002"/>
      <c r="G150" s="59"/>
    </row>
    <row r="151" spans="1:7" customFormat="1" ht="60" x14ac:dyDescent="0.25">
      <c r="A151" s="846" t="s">
        <v>312</v>
      </c>
      <c r="B151" s="1001">
        <v>40897</v>
      </c>
      <c r="C151" s="1001">
        <v>41243</v>
      </c>
      <c r="D151" s="1002">
        <v>102786079</v>
      </c>
      <c r="E151" s="1002">
        <v>84046373</v>
      </c>
      <c r="F151" s="1002">
        <v>18739706</v>
      </c>
      <c r="G151" s="59"/>
    </row>
    <row r="152" spans="1:7" customFormat="1" x14ac:dyDescent="0.25">
      <c r="A152" s="846" t="s">
        <v>6</v>
      </c>
      <c r="B152" s="1001"/>
      <c r="C152" s="1001"/>
      <c r="D152" s="1002"/>
      <c r="E152" s="1002"/>
      <c r="F152" s="1002"/>
      <c r="G152" s="59"/>
    </row>
    <row r="153" spans="1:7" customFormat="1" x14ac:dyDescent="0.25">
      <c r="A153" s="846" t="s">
        <v>1018</v>
      </c>
      <c r="B153" s="1001"/>
      <c r="C153" s="1001"/>
      <c r="D153" s="1002"/>
      <c r="E153" s="1002"/>
      <c r="F153" s="1002"/>
      <c r="G153" s="59"/>
    </row>
    <row r="154" spans="1:7" customFormat="1" ht="30" x14ac:dyDescent="0.25">
      <c r="A154" s="846" t="s">
        <v>541</v>
      </c>
      <c r="B154" s="1001">
        <v>41172</v>
      </c>
      <c r="C154" s="1001">
        <v>41445</v>
      </c>
      <c r="D154" s="1002">
        <v>242578353</v>
      </c>
      <c r="E154" s="1002">
        <v>218264339</v>
      </c>
      <c r="F154" s="1002">
        <v>24314014</v>
      </c>
      <c r="G154" s="59"/>
    </row>
    <row r="155" spans="1:7" customFormat="1" x14ac:dyDescent="0.25">
      <c r="A155" s="846" t="s">
        <v>35</v>
      </c>
      <c r="B155" s="1001"/>
      <c r="C155" s="1001"/>
      <c r="D155" s="1002"/>
      <c r="E155" s="1002"/>
      <c r="F155" s="1002"/>
      <c r="G155" s="59"/>
    </row>
    <row r="156" spans="1:7" customFormat="1" x14ac:dyDescent="0.25">
      <c r="A156" s="846" t="s">
        <v>36</v>
      </c>
      <c r="B156" s="1001"/>
      <c r="C156" s="1001"/>
      <c r="D156" s="1002"/>
      <c r="E156" s="1002"/>
      <c r="F156" s="1002"/>
      <c r="G156" s="59"/>
    </row>
    <row r="157" spans="1:7" customFormat="1" ht="60" x14ac:dyDescent="0.25">
      <c r="A157" s="846" t="s">
        <v>326</v>
      </c>
      <c r="B157" s="1001">
        <v>41172</v>
      </c>
      <c r="C157" s="1001">
        <v>41414</v>
      </c>
      <c r="D157" s="1002">
        <v>4493000</v>
      </c>
      <c r="E157" s="1002">
        <v>3309000</v>
      </c>
      <c r="F157" s="1002">
        <v>1184000</v>
      </c>
      <c r="G157" s="59"/>
    </row>
    <row r="158" spans="1:7" customFormat="1" x14ac:dyDescent="0.25">
      <c r="A158" s="846" t="s">
        <v>37</v>
      </c>
      <c r="B158" s="1001"/>
      <c r="C158" s="1001"/>
      <c r="D158" s="1002"/>
      <c r="E158" s="1002"/>
      <c r="F158" s="1002"/>
      <c r="G158" s="59"/>
    </row>
    <row r="159" spans="1:7" customFormat="1" x14ac:dyDescent="0.25">
      <c r="A159" s="846" t="s">
        <v>38</v>
      </c>
      <c r="B159" s="1001"/>
      <c r="C159" s="1001"/>
      <c r="D159" s="1002"/>
      <c r="E159" s="1002"/>
      <c r="F159" s="1002"/>
      <c r="G159" s="59"/>
    </row>
    <row r="160" spans="1:7" customFormat="1" ht="30" x14ac:dyDescent="0.25">
      <c r="A160" s="846" t="s">
        <v>327</v>
      </c>
      <c r="B160" s="1001">
        <v>41163</v>
      </c>
      <c r="C160" s="1001">
        <v>41425</v>
      </c>
      <c r="D160" s="1002">
        <v>24726000</v>
      </c>
      <c r="E160" s="1002">
        <v>24725958</v>
      </c>
      <c r="F160" s="1002">
        <v>42</v>
      </c>
      <c r="G160" s="59"/>
    </row>
    <row r="161" spans="1:7" customFormat="1" x14ac:dyDescent="0.25">
      <c r="A161" s="846" t="s">
        <v>9</v>
      </c>
      <c r="B161" s="1001"/>
      <c r="C161" s="1001"/>
      <c r="D161" s="1002"/>
      <c r="E161" s="1002"/>
      <c r="F161" s="1002"/>
      <c r="G161" s="59"/>
    </row>
    <row r="162" spans="1:7" customFormat="1" x14ac:dyDescent="0.25">
      <c r="A162" s="846" t="s">
        <v>1019</v>
      </c>
      <c r="B162" s="1001"/>
      <c r="C162" s="1001"/>
      <c r="D162" s="1002"/>
      <c r="E162" s="1002"/>
      <c r="F162" s="1002"/>
      <c r="G162" s="59"/>
    </row>
    <row r="163" spans="1:7" customFormat="1" ht="45" x14ac:dyDescent="0.25">
      <c r="A163" s="846" t="s">
        <v>315</v>
      </c>
      <c r="B163" s="1001">
        <v>41176</v>
      </c>
      <c r="C163" s="1001">
        <v>41409</v>
      </c>
      <c r="D163" s="1002">
        <v>20923575</v>
      </c>
      <c r="E163" s="1002">
        <v>19912200</v>
      </c>
      <c r="F163" s="1002">
        <v>1011375</v>
      </c>
      <c r="G163" s="59"/>
    </row>
    <row r="164" spans="1:7" customFormat="1" x14ac:dyDescent="0.25">
      <c r="A164" s="846" t="s">
        <v>63</v>
      </c>
      <c r="B164" s="1001"/>
      <c r="C164" s="1001"/>
      <c r="D164" s="1002"/>
      <c r="E164" s="1002"/>
      <c r="F164" s="1002"/>
      <c r="G164" s="59"/>
    </row>
    <row r="165" spans="1:7" customFormat="1" ht="30" x14ac:dyDescent="0.25">
      <c r="A165" s="846" t="s">
        <v>64</v>
      </c>
      <c r="B165" s="1001"/>
      <c r="C165" s="1001"/>
      <c r="D165" s="1002"/>
      <c r="E165" s="1002"/>
      <c r="F165" s="1002"/>
      <c r="G165" s="59"/>
    </row>
    <row r="166" spans="1:7" customFormat="1" ht="75" x14ac:dyDescent="0.25">
      <c r="A166" s="846" t="s">
        <v>337</v>
      </c>
      <c r="B166" s="1001">
        <v>41198</v>
      </c>
      <c r="C166" s="1001">
        <v>41441</v>
      </c>
      <c r="D166" s="1002">
        <v>282073266</v>
      </c>
      <c r="E166" s="1002">
        <v>282073266</v>
      </c>
      <c r="F166" s="1002">
        <v>0</v>
      </c>
      <c r="G166" s="59"/>
    </row>
    <row r="167" spans="1:7" customFormat="1" x14ac:dyDescent="0.25">
      <c r="A167" s="846" t="s">
        <v>110</v>
      </c>
      <c r="B167" s="1001"/>
      <c r="C167" s="1001"/>
      <c r="D167" s="1002"/>
      <c r="E167" s="1002"/>
      <c r="F167" s="1002"/>
      <c r="G167" s="59"/>
    </row>
    <row r="168" spans="1:7" customFormat="1" x14ac:dyDescent="0.25">
      <c r="A168" s="846" t="s">
        <v>111</v>
      </c>
      <c r="B168" s="1001"/>
      <c r="C168" s="1001"/>
      <c r="D168" s="1002"/>
      <c r="E168" s="1002"/>
      <c r="F168" s="1002"/>
      <c r="G168" s="59"/>
    </row>
    <row r="169" spans="1:7" customFormat="1" ht="75" x14ac:dyDescent="0.25">
      <c r="A169" s="846" t="s">
        <v>1375</v>
      </c>
      <c r="B169" s="1001">
        <v>41198</v>
      </c>
      <c r="C169" s="1001">
        <v>41441</v>
      </c>
      <c r="D169" s="1002">
        <v>50618751</v>
      </c>
      <c r="E169" s="1002">
        <v>50618751</v>
      </c>
      <c r="F169" s="1002">
        <v>0</v>
      </c>
      <c r="G169" s="59"/>
    </row>
    <row r="170" spans="1:7" customFormat="1" x14ac:dyDescent="0.25">
      <c r="A170" s="846" t="s">
        <v>65</v>
      </c>
      <c r="B170" s="1001"/>
      <c r="C170" s="1001"/>
      <c r="D170" s="1002"/>
      <c r="E170" s="1002"/>
      <c r="F170" s="1002"/>
      <c r="G170" s="59"/>
    </row>
    <row r="171" spans="1:7" customFormat="1" x14ac:dyDescent="0.25">
      <c r="A171" s="846" t="s">
        <v>66</v>
      </c>
      <c r="B171" s="1001"/>
      <c r="C171" s="1001"/>
      <c r="D171" s="1002"/>
      <c r="E171" s="1002"/>
      <c r="F171" s="1002"/>
      <c r="G171" s="59"/>
    </row>
    <row r="172" spans="1:7" customFormat="1" ht="45" x14ac:dyDescent="0.25">
      <c r="A172" s="846" t="s">
        <v>459</v>
      </c>
      <c r="B172" s="1001">
        <v>41202</v>
      </c>
      <c r="C172" s="1001">
        <v>41486</v>
      </c>
      <c r="D172" s="1002">
        <v>69900000</v>
      </c>
      <c r="E172" s="1002">
        <v>69900000</v>
      </c>
      <c r="F172" s="1002">
        <v>0</v>
      </c>
      <c r="G172" s="59"/>
    </row>
    <row r="173" spans="1:7" customFormat="1" x14ac:dyDescent="0.25">
      <c r="A173" s="846" t="s">
        <v>69</v>
      </c>
      <c r="B173" s="1001"/>
      <c r="C173" s="1001"/>
      <c r="D173" s="1002"/>
      <c r="E173" s="1002"/>
      <c r="F173" s="1002"/>
      <c r="G173" s="59"/>
    </row>
    <row r="174" spans="1:7" customFormat="1" x14ac:dyDescent="0.25">
      <c r="A174" s="846" t="s">
        <v>77</v>
      </c>
      <c r="B174" s="1001"/>
      <c r="C174" s="1001"/>
      <c r="D174" s="1002"/>
      <c r="E174" s="1002"/>
      <c r="F174" s="1002"/>
      <c r="G174" s="59"/>
    </row>
    <row r="175" spans="1:7" customFormat="1" ht="75" x14ac:dyDescent="0.25">
      <c r="A175" s="846" t="s">
        <v>397</v>
      </c>
      <c r="B175" s="1001">
        <v>41170</v>
      </c>
      <c r="C175" s="1001">
        <v>41412</v>
      </c>
      <c r="D175" s="1002">
        <v>500000000</v>
      </c>
      <c r="E175" s="1002">
        <v>500000000</v>
      </c>
      <c r="F175" s="1002">
        <v>0</v>
      </c>
      <c r="G175" s="59"/>
    </row>
    <row r="176" spans="1:7" customFormat="1" x14ac:dyDescent="0.25">
      <c r="A176" s="846" t="s">
        <v>47</v>
      </c>
      <c r="B176" s="1001"/>
      <c r="C176" s="1001"/>
      <c r="D176" s="1002"/>
      <c r="E176" s="1002"/>
      <c r="F176" s="1002"/>
      <c r="G176" s="59"/>
    </row>
    <row r="177" spans="1:7" customFormat="1" x14ac:dyDescent="0.25">
      <c r="A177" s="846" t="s">
        <v>48</v>
      </c>
      <c r="B177" s="1001"/>
      <c r="C177" s="1001"/>
      <c r="D177" s="1002"/>
      <c r="E177" s="1002"/>
      <c r="F177" s="1002"/>
      <c r="G177" s="59"/>
    </row>
    <row r="178" spans="1:7" customFormat="1" ht="75" x14ac:dyDescent="0.25">
      <c r="A178" s="846" t="s">
        <v>421</v>
      </c>
      <c r="B178" s="1001">
        <v>41208</v>
      </c>
      <c r="C178" s="1001">
        <v>41481</v>
      </c>
      <c r="D178" s="1002">
        <v>24824832</v>
      </c>
      <c r="E178" s="1002">
        <v>24824832</v>
      </c>
      <c r="F178" s="1002">
        <v>0</v>
      </c>
      <c r="G178" s="59"/>
    </row>
    <row r="179" spans="1:7" customFormat="1" x14ac:dyDescent="0.25">
      <c r="A179" s="846" t="s">
        <v>39</v>
      </c>
      <c r="B179" s="1001"/>
      <c r="C179" s="1001"/>
      <c r="D179" s="1002"/>
      <c r="E179" s="1002"/>
      <c r="F179" s="1002"/>
      <c r="G179" s="59"/>
    </row>
    <row r="180" spans="1:7" customFormat="1" x14ac:dyDescent="0.25">
      <c r="A180" s="846" t="s">
        <v>1020</v>
      </c>
      <c r="B180" s="1001"/>
      <c r="C180" s="1001"/>
      <c r="D180" s="1002"/>
      <c r="E180" s="1002"/>
      <c r="F180" s="1002"/>
      <c r="G180" s="59"/>
    </row>
    <row r="181" spans="1:7" customFormat="1" ht="30" x14ac:dyDescent="0.25">
      <c r="A181" s="846" t="s">
        <v>328</v>
      </c>
      <c r="B181" s="1001">
        <v>41193</v>
      </c>
      <c r="C181" s="1001">
        <v>41558</v>
      </c>
      <c r="D181" s="1002">
        <v>810000</v>
      </c>
      <c r="E181" s="1002">
        <v>810000</v>
      </c>
      <c r="F181" s="1002">
        <v>0</v>
      </c>
      <c r="G181" s="59"/>
    </row>
    <row r="182" spans="1:7" customFormat="1" x14ac:dyDescent="0.25">
      <c r="A182" s="846" t="s">
        <v>49</v>
      </c>
      <c r="B182" s="1001"/>
      <c r="C182" s="1001"/>
      <c r="D182" s="1002"/>
      <c r="E182" s="1002"/>
      <c r="F182" s="1002"/>
      <c r="G182" s="59"/>
    </row>
    <row r="183" spans="1:7" customFormat="1" x14ac:dyDescent="0.25">
      <c r="A183" s="846" t="s">
        <v>1021</v>
      </c>
      <c r="B183" s="1001"/>
      <c r="C183" s="1001"/>
      <c r="D183" s="1002"/>
      <c r="E183" s="1002"/>
      <c r="F183" s="1002"/>
      <c r="G183" s="59"/>
    </row>
    <row r="184" spans="1:7" customFormat="1" ht="45" x14ac:dyDescent="0.25">
      <c r="A184" s="846" t="s">
        <v>460</v>
      </c>
      <c r="B184" s="1001">
        <v>41208</v>
      </c>
      <c r="C184" s="1001">
        <v>41451</v>
      </c>
      <c r="D184" s="1002">
        <v>299287875</v>
      </c>
      <c r="E184" s="1002">
        <v>160844981</v>
      </c>
      <c r="F184" s="1002">
        <v>138442894</v>
      </c>
      <c r="G184" s="59"/>
    </row>
    <row r="185" spans="1:7" customFormat="1" x14ac:dyDescent="0.25">
      <c r="A185" s="846" t="s">
        <v>50</v>
      </c>
      <c r="B185" s="1001"/>
      <c r="C185" s="1001"/>
      <c r="D185" s="1002"/>
      <c r="E185" s="1002"/>
      <c r="F185" s="1002"/>
      <c r="G185" s="59"/>
    </row>
    <row r="186" spans="1:7" customFormat="1" x14ac:dyDescent="0.25">
      <c r="A186" s="846" t="s">
        <v>1022</v>
      </c>
      <c r="B186" s="1001"/>
      <c r="C186" s="1001"/>
      <c r="D186" s="1002"/>
      <c r="E186" s="1002"/>
      <c r="F186" s="1002"/>
      <c r="G186" s="59"/>
    </row>
    <row r="187" spans="1:7" customFormat="1" ht="45" x14ac:dyDescent="0.25">
      <c r="A187" s="846" t="s">
        <v>331</v>
      </c>
      <c r="B187" s="1001">
        <v>41242</v>
      </c>
      <c r="C187" s="1001">
        <v>41534</v>
      </c>
      <c r="D187" s="1002">
        <v>1392000</v>
      </c>
      <c r="E187" s="1002">
        <v>0</v>
      </c>
      <c r="F187" s="1002">
        <v>1392000</v>
      </c>
      <c r="G187" s="59"/>
    </row>
    <row r="188" spans="1:7" customFormat="1" x14ac:dyDescent="0.25">
      <c r="A188" s="846" t="s">
        <v>119</v>
      </c>
      <c r="B188" s="1001"/>
      <c r="C188" s="1001"/>
      <c r="D188" s="1002"/>
      <c r="E188" s="1002"/>
      <c r="F188" s="1002"/>
      <c r="G188" s="59"/>
    </row>
    <row r="189" spans="1:7" customFormat="1" x14ac:dyDescent="0.25">
      <c r="A189" s="846" t="s">
        <v>398</v>
      </c>
      <c r="B189" s="1001"/>
      <c r="C189" s="1001"/>
      <c r="D189" s="1002"/>
      <c r="E189" s="1002"/>
      <c r="F189" s="1002"/>
      <c r="G189" s="59"/>
    </row>
    <row r="190" spans="1:7" customFormat="1" ht="30" x14ac:dyDescent="0.25">
      <c r="A190" s="846" t="s">
        <v>352</v>
      </c>
      <c r="B190" s="1001">
        <v>41208</v>
      </c>
      <c r="C190" s="1001">
        <v>41390</v>
      </c>
      <c r="D190" s="1002">
        <v>4056000</v>
      </c>
      <c r="E190" s="1002">
        <v>4056000</v>
      </c>
      <c r="F190" s="1002">
        <v>0</v>
      </c>
      <c r="G190" s="59"/>
    </row>
    <row r="191" spans="1:7" customFormat="1" x14ac:dyDescent="0.25">
      <c r="A191" s="846" t="s">
        <v>589</v>
      </c>
      <c r="B191" s="1001"/>
      <c r="C191" s="1001"/>
      <c r="D191" s="1002"/>
      <c r="E191" s="1002"/>
      <c r="F191" s="1002"/>
      <c r="G191" s="59"/>
    </row>
    <row r="192" spans="1:7" customFormat="1" x14ac:dyDescent="0.25">
      <c r="A192" s="846" t="s">
        <v>426</v>
      </c>
      <c r="B192" s="1001"/>
      <c r="C192" s="1001"/>
      <c r="D192" s="1002"/>
      <c r="E192" s="1002"/>
      <c r="F192" s="1002"/>
      <c r="G192" s="59"/>
    </row>
    <row r="193" spans="1:7" customFormat="1" ht="45" x14ac:dyDescent="0.25">
      <c r="A193" s="846" t="s">
        <v>442</v>
      </c>
      <c r="B193" s="1001">
        <v>40966</v>
      </c>
      <c r="C193" s="1001">
        <v>41332</v>
      </c>
      <c r="D193" s="1002">
        <v>12835200</v>
      </c>
      <c r="E193" s="1002">
        <v>1092200</v>
      </c>
      <c r="F193" s="1002">
        <v>11743000</v>
      </c>
      <c r="G193" s="59"/>
    </row>
    <row r="194" spans="1:7" customFormat="1" x14ac:dyDescent="0.25">
      <c r="A194" s="846" t="s">
        <v>163</v>
      </c>
      <c r="B194" s="1001"/>
      <c r="C194" s="1001"/>
      <c r="D194" s="1002"/>
      <c r="E194" s="1002"/>
      <c r="F194" s="1002"/>
      <c r="G194" s="59"/>
    </row>
    <row r="195" spans="1:7" customFormat="1" x14ac:dyDescent="0.25">
      <c r="A195" s="846" t="s">
        <v>432</v>
      </c>
      <c r="B195" s="1001"/>
      <c r="C195" s="1001"/>
      <c r="D195" s="1002"/>
      <c r="E195" s="1002"/>
      <c r="F195" s="1002"/>
      <c r="G195" s="59"/>
    </row>
    <row r="196" spans="1:7" customFormat="1" ht="45" x14ac:dyDescent="0.25">
      <c r="A196" s="846" t="s">
        <v>447</v>
      </c>
      <c r="B196" s="1001">
        <v>40946</v>
      </c>
      <c r="C196" s="1001">
        <v>41312</v>
      </c>
      <c r="D196" s="1002">
        <v>49376272</v>
      </c>
      <c r="E196" s="1002">
        <v>49376272</v>
      </c>
      <c r="F196" s="1002">
        <v>0</v>
      </c>
      <c r="G196" s="59"/>
    </row>
    <row r="197" spans="1:7" x14ac:dyDescent="0.25">
      <c r="A197" s="846" t="s">
        <v>51</v>
      </c>
      <c r="B197" s="1001"/>
      <c r="C197" s="1001"/>
      <c r="D197" s="1002"/>
      <c r="E197" s="1002"/>
      <c r="F197" s="1002"/>
    </row>
    <row r="198" spans="1:7" x14ac:dyDescent="0.25">
      <c r="A198" s="846" t="s">
        <v>1023</v>
      </c>
      <c r="B198" s="1001"/>
      <c r="C198" s="1001"/>
      <c r="D198" s="1002"/>
      <c r="E198" s="1002"/>
      <c r="F198" s="1002"/>
    </row>
    <row r="199" spans="1:7" ht="105" x14ac:dyDescent="0.25">
      <c r="A199" s="846" t="s">
        <v>1376</v>
      </c>
      <c r="B199" s="1001">
        <v>41214</v>
      </c>
      <c r="C199" s="1001">
        <v>41579</v>
      </c>
      <c r="D199" s="1002">
        <v>526745000</v>
      </c>
      <c r="E199" s="1002">
        <v>526745000</v>
      </c>
      <c r="F199" s="1002">
        <v>0</v>
      </c>
    </row>
    <row r="200" spans="1:7" x14ac:dyDescent="0.25">
      <c r="A200" s="846" t="s">
        <v>597</v>
      </c>
      <c r="B200" s="1001"/>
      <c r="C200" s="1001"/>
      <c r="D200" s="1002"/>
      <c r="E200" s="1002"/>
      <c r="F200" s="1002"/>
    </row>
    <row r="201" spans="1:7" x14ac:dyDescent="0.25">
      <c r="A201" s="846" t="s">
        <v>1024</v>
      </c>
      <c r="B201" s="1001"/>
      <c r="C201" s="1001"/>
      <c r="D201" s="1002"/>
      <c r="E201" s="1002"/>
      <c r="F201" s="1002"/>
    </row>
    <row r="202" spans="1:7" ht="60" x14ac:dyDescent="0.25">
      <c r="A202" s="846" t="s">
        <v>338</v>
      </c>
      <c r="B202" s="1001">
        <v>41232</v>
      </c>
      <c r="C202" s="1001">
        <v>41562</v>
      </c>
      <c r="D202" s="1002">
        <v>619289880</v>
      </c>
      <c r="E202" s="1002">
        <v>619289880</v>
      </c>
      <c r="F202" s="1002">
        <v>0</v>
      </c>
    </row>
    <row r="203" spans="1:7" x14ac:dyDescent="0.25">
      <c r="A203" s="846" t="s">
        <v>52</v>
      </c>
      <c r="B203" s="1001"/>
      <c r="C203" s="1001"/>
      <c r="D203" s="1002"/>
      <c r="E203" s="1002"/>
      <c r="F203" s="1002"/>
    </row>
    <row r="204" spans="1:7" x14ac:dyDescent="0.25">
      <c r="A204" s="846" t="s">
        <v>53</v>
      </c>
      <c r="B204" s="1001"/>
      <c r="C204" s="1001"/>
      <c r="D204" s="1002"/>
      <c r="E204" s="1002"/>
      <c r="F204" s="1002"/>
    </row>
    <row r="205" spans="1:7" ht="30" x14ac:dyDescent="0.25">
      <c r="A205" s="846" t="s">
        <v>332</v>
      </c>
      <c r="B205" s="1001">
        <v>41278</v>
      </c>
      <c r="C205" s="1001">
        <v>41459</v>
      </c>
      <c r="D205" s="1002">
        <v>13806000</v>
      </c>
      <c r="E205" s="1002">
        <v>12439108</v>
      </c>
      <c r="F205" s="1002">
        <v>1366892</v>
      </c>
    </row>
    <row r="206" spans="1:7" x14ac:dyDescent="0.25">
      <c r="A206" s="846" t="s">
        <v>598</v>
      </c>
      <c r="B206" s="1001"/>
      <c r="C206" s="1001"/>
      <c r="D206" s="1002"/>
      <c r="E206" s="1002"/>
      <c r="F206" s="1002"/>
    </row>
    <row r="207" spans="1:7" x14ac:dyDescent="0.25">
      <c r="A207" s="846" t="s">
        <v>1025</v>
      </c>
      <c r="B207" s="1001"/>
      <c r="C207" s="1001"/>
      <c r="D207" s="1002"/>
      <c r="E207" s="1002"/>
      <c r="F207" s="1002"/>
    </row>
    <row r="208" spans="1:7" ht="30" x14ac:dyDescent="0.25">
      <c r="A208" s="846" t="s">
        <v>333</v>
      </c>
      <c r="B208" s="1001">
        <v>41234</v>
      </c>
      <c r="C208" s="1001">
        <v>41446</v>
      </c>
      <c r="D208" s="1002">
        <v>37359000</v>
      </c>
      <c r="E208" s="1002">
        <v>37359000</v>
      </c>
      <c r="F208" s="1002">
        <v>0</v>
      </c>
    </row>
    <row r="209" spans="1:6" x14ac:dyDescent="0.25">
      <c r="A209" s="846" t="s">
        <v>399</v>
      </c>
      <c r="B209" s="1001"/>
      <c r="C209" s="1001"/>
      <c r="D209" s="1002"/>
      <c r="E209" s="1002"/>
      <c r="F209" s="1002"/>
    </row>
    <row r="210" spans="1:6" x14ac:dyDescent="0.25">
      <c r="A210" s="846" t="s">
        <v>424</v>
      </c>
      <c r="B210" s="1001"/>
      <c r="C210" s="1001"/>
      <c r="D210" s="1002"/>
      <c r="E210" s="1002"/>
      <c r="F210" s="1002"/>
    </row>
    <row r="211" spans="1:6" ht="45" x14ac:dyDescent="0.25">
      <c r="A211" s="846" t="s">
        <v>322</v>
      </c>
      <c r="B211" s="1001">
        <v>41235</v>
      </c>
      <c r="C211" s="1001">
        <v>41278</v>
      </c>
      <c r="D211" s="1002">
        <v>4452000</v>
      </c>
      <c r="E211" s="1002">
        <v>4452000</v>
      </c>
      <c r="F211" s="1002">
        <v>0</v>
      </c>
    </row>
    <row r="212" spans="1:6" x14ac:dyDescent="0.25">
      <c r="A212" s="846" t="s">
        <v>42</v>
      </c>
      <c r="B212" s="1001"/>
      <c r="C212" s="1001"/>
      <c r="D212" s="1002"/>
      <c r="E212" s="1002"/>
      <c r="F212" s="1002"/>
    </row>
    <row r="213" spans="1:6" x14ac:dyDescent="0.25">
      <c r="A213" s="846" t="s">
        <v>43</v>
      </c>
      <c r="B213" s="1001"/>
      <c r="C213" s="1001"/>
      <c r="D213" s="1002"/>
      <c r="E213" s="1002"/>
      <c r="F213" s="1002"/>
    </row>
    <row r="214" spans="1:6" ht="60" x14ac:dyDescent="0.25">
      <c r="A214" s="846" t="s">
        <v>1377</v>
      </c>
      <c r="B214" s="1001">
        <v>41240</v>
      </c>
      <c r="C214" s="1001">
        <v>41452</v>
      </c>
      <c r="D214" s="1002">
        <v>28420000</v>
      </c>
      <c r="E214" s="1002">
        <v>28379400</v>
      </c>
      <c r="F214" s="1002">
        <v>40600</v>
      </c>
    </row>
    <row r="215" spans="1:6" x14ac:dyDescent="0.25">
      <c r="A215" s="846" t="s">
        <v>67</v>
      </c>
      <c r="B215" s="1001"/>
      <c r="C215" s="1001"/>
      <c r="D215" s="1002"/>
      <c r="E215" s="1002"/>
      <c r="F215" s="1002"/>
    </row>
    <row r="216" spans="1:6" x14ac:dyDescent="0.25">
      <c r="A216" s="846" t="s">
        <v>68</v>
      </c>
      <c r="B216" s="1001"/>
      <c r="C216" s="1001"/>
      <c r="D216" s="1002"/>
      <c r="E216" s="1002"/>
      <c r="F216" s="1002"/>
    </row>
    <row r="217" spans="1:6" ht="45" x14ac:dyDescent="0.25">
      <c r="A217" s="846" t="s">
        <v>462</v>
      </c>
      <c r="B217" s="1001">
        <v>41260</v>
      </c>
      <c r="C217" s="1001">
        <v>41322</v>
      </c>
      <c r="D217" s="1002">
        <v>58300000</v>
      </c>
      <c r="E217" s="1002">
        <v>58300000</v>
      </c>
      <c r="F217" s="1002">
        <v>0</v>
      </c>
    </row>
    <row r="218" spans="1:6" x14ac:dyDescent="0.25">
      <c r="A218" s="846" t="s">
        <v>74</v>
      </c>
      <c r="B218" s="1001"/>
      <c r="C218" s="1001"/>
      <c r="D218" s="1002"/>
      <c r="E218" s="1002"/>
      <c r="F218" s="1002"/>
    </row>
    <row r="219" spans="1:6" x14ac:dyDescent="0.25">
      <c r="A219" s="846" t="s">
        <v>75</v>
      </c>
      <c r="B219" s="1001"/>
      <c r="C219" s="1001"/>
      <c r="D219" s="1002"/>
      <c r="E219" s="1002"/>
      <c r="F219" s="1002"/>
    </row>
    <row r="220" spans="1:6" ht="75" x14ac:dyDescent="0.25">
      <c r="A220" s="846" t="s">
        <v>415</v>
      </c>
      <c r="B220" s="1001">
        <v>41269</v>
      </c>
      <c r="C220" s="1001">
        <v>41593</v>
      </c>
      <c r="D220" s="1002">
        <v>411000000</v>
      </c>
      <c r="E220" s="1002">
        <v>411000000</v>
      </c>
      <c r="F220" s="1002">
        <v>0</v>
      </c>
    </row>
    <row r="221" spans="1:6" x14ac:dyDescent="0.25">
      <c r="A221" s="846" t="s">
        <v>54</v>
      </c>
      <c r="B221" s="1001"/>
      <c r="C221" s="1001"/>
      <c r="D221" s="1002"/>
      <c r="E221" s="1002"/>
      <c r="F221" s="1002"/>
    </row>
    <row r="222" spans="1:6" x14ac:dyDescent="0.25">
      <c r="A222" s="846" t="s">
        <v>55</v>
      </c>
      <c r="B222" s="1001"/>
      <c r="C222" s="1001"/>
      <c r="D222" s="1002"/>
      <c r="E222" s="1002"/>
      <c r="F222" s="1002"/>
    </row>
    <row r="223" spans="1:6" ht="60" x14ac:dyDescent="0.25">
      <c r="A223" s="846" t="s">
        <v>334</v>
      </c>
      <c r="B223" s="1001">
        <v>41271</v>
      </c>
      <c r="C223" s="1001">
        <v>41575</v>
      </c>
      <c r="D223" s="1002">
        <v>10032000</v>
      </c>
      <c r="E223" s="1002">
        <v>9339930</v>
      </c>
      <c r="F223" s="1002">
        <v>692070</v>
      </c>
    </row>
    <row r="224" spans="1:6" x14ac:dyDescent="0.25">
      <c r="A224" s="846" t="s">
        <v>11</v>
      </c>
      <c r="B224" s="1001"/>
      <c r="C224" s="1001"/>
      <c r="D224" s="1002"/>
      <c r="E224" s="1002"/>
      <c r="F224" s="1002"/>
    </row>
    <row r="225" spans="1:6" x14ac:dyDescent="0.25">
      <c r="A225" s="846" t="s">
        <v>12</v>
      </c>
      <c r="B225" s="1001"/>
      <c r="C225" s="1001"/>
      <c r="D225" s="1002"/>
      <c r="E225" s="1002"/>
      <c r="F225" s="1002"/>
    </row>
    <row r="226" spans="1:6" ht="30" x14ac:dyDescent="0.25">
      <c r="A226" s="846" t="s">
        <v>316</v>
      </c>
      <c r="B226" s="1001">
        <v>41288</v>
      </c>
      <c r="C226" s="1001">
        <v>41711</v>
      </c>
      <c r="D226" s="1002">
        <v>1918200</v>
      </c>
      <c r="E226" s="1002">
        <v>1755170</v>
      </c>
      <c r="F226" s="1002">
        <v>163030</v>
      </c>
    </row>
    <row r="227" spans="1:6" x14ac:dyDescent="0.25">
      <c r="A227" s="846" t="s">
        <v>4</v>
      </c>
      <c r="B227" s="1001"/>
      <c r="C227" s="1001"/>
      <c r="D227" s="1002"/>
      <c r="E227" s="1002"/>
      <c r="F227" s="1002"/>
    </row>
    <row r="228" spans="1:6" x14ac:dyDescent="0.25">
      <c r="A228" s="846" t="s">
        <v>1028</v>
      </c>
      <c r="B228" s="1001"/>
      <c r="C228" s="1001"/>
      <c r="D228" s="1002"/>
      <c r="E228" s="1002"/>
      <c r="F228" s="1002"/>
    </row>
    <row r="229" spans="1:6" ht="60" x14ac:dyDescent="0.25">
      <c r="A229" s="846" t="s">
        <v>312</v>
      </c>
      <c r="B229" s="1001">
        <v>41292</v>
      </c>
      <c r="C229" s="1001">
        <v>41608</v>
      </c>
      <c r="D229" s="1002">
        <v>79213111</v>
      </c>
      <c r="E229" s="1002">
        <v>65129800</v>
      </c>
      <c r="F229" s="1002">
        <v>14083311</v>
      </c>
    </row>
    <row r="230" spans="1:6" x14ac:dyDescent="0.25">
      <c r="A230" s="846" t="s">
        <v>71</v>
      </c>
      <c r="B230" s="1001"/>
      <c r="C230" s="1001"/>
      <c r="D230" s="1002"/>
      <c r="E230" s="1002"/>
      <c r="F230" s="1002"/>
    </row>
    <row r="231" spans="1:6" x14ac:dyDescent="0.25">
      <c r="A231" s="846" t="s">
        <v>1029</v>
      </c>
      <c r="B231" s="1001"/>
      <c r="C231" s="1001"/>
      <c r="D231" s="1002"/>
      <c r="E231" s="1002"/>
      <c r="F231" s="1002"/>
    </row>
    <row r="232" spans="1:6" ht="60" x14ac:dyDescent="0.25">
      <c r="A232" s="846" t="s">
        <v>339</v>
      </c>
      <c r="B232" s="1001">
        <v>41325</v>
      </c>
      <c r="C232" s="1001">
        <v>41505</v>
      </c>
      <c r="D232" s="1002">
        <v>75246412</v>
      </c>
      <c r="E232" s="1002">
        <v>75232704</v>
      </c>
      <c r="F232" s="1002">
        <v>13708</v>
      </c>
    </row>
    <row r="233" spans="1:6" x14ac:dyDescent="0.25">
      <c r="A233" s="846" t="s">
        <v>45</v>
      </c>
      <c r="B233" s="1001"/>
      <c r="C233" s="1001"/>
      <c r="D233" s="1002"/>
      <c r="E233" s="1002"/>
      <c r="F233" s="1002"/>
    </row>
    <row r="234" spans="1:6" x14ac:dyDescent="0.25">
      <c r="A234" s="846" t="s">
        <v>46</v>
      </c>
      <c r="B234" s="1001"/>
      <c r="C234" s="1001"/>
      <c r="D234" s="1002"/>
      <c r="E234" s="1002"/>
      <c r="F234" s="1002"/>
    </row>
    <row r="235" spans="1:6" ht="45" x14ac:dyDescent="0.25">
      <c r="A235" s="846" t="s">
        <v>330</v>
      </c>
      <c r="B235" s="1001">
        <v>41292</v>
      </c>
      <c r="C235" s="1001">
        <v>42052</v>
      </c>
      <c r="D235" s="1002">
        <v>1062500</v>
      </c>
      <c r="E235" s="1002">
        <v>1062500</v>
      </c>
      <c r="F235" s="1002">
        <v>0</v>
      </c>
    </row>
    <row r="236" spans="1:6" x14ac:dyDescent="0.25">
      <c r="A236" s="846" t="s">
        <v>25</v>
      </c>
      <c r="B236" s="1001"/>
      <c r="C236" s="1001"/>
      <c r="D236" s="1002"/>
      <c r="E236" s="1002"/>
      <c r="F236" s="1002"/>
    </row>
    <row r="237" spans="1:6" x14ac:dyDescent="0.25">
      <c r="A237" s="846" t="s">
        <v>26</v>
      </c>
      <c r="B237" s="1001"/>
      <c r="C237" s="1001"/>
      <c r="D237" s="1002"/>
      <c r="E237" s="1002"/>
      <c r="F237" s="1002"/>
    </row>
    <row r="238" spans="1:6" ht="75" x14ac:dyDescent="0.25">
      <c r="A238" s="846" t="s">
        <v>1378</v>
      </c>
      <c r="B238" s="1001">
        <v>41313</v>
      </c>
      <c r="C238" s="1001">
        <v>41736</v>
      </c>
      <c r="D238" s="1002">
        <v>115663600</v>
      </c>
      <c r="E238" s="1002">
        <v>115663040</v>
      </c>
      <c r="F238" s="1002">
        <v>560</v>
      </c>
    </row>
    <row r="239" spans="1:6" x14ac:dyDescent="0.25">
      <c r="A239" s="846" t="s">
        <v>116</v>
      </c>
      <c r="B239" s="1001"/>
      <c r="C239" s="1001"/>
      <c r="D239" s="1002"/>
      <c r="E239" s="1002"/>
      <c r="F239" s="1002"/>
    </row>
    <row r="240" spans="1:6" x14ac:dyDescent="0.25">
      <c r="A240" s="846" t="s">
        <v>418</v>
      </c>
      <c r="B240" s="1001"/>
      <c r="C240" s="1001"/>
      <c r="D240" s="1002"/>
      <c r="E240" s="1002"/>
      <c r="F240" s="1002"/>
    </row>
    <row r="241" spans="1:6" x14ac:dyDescent="0.25">
      <c r="A241" s="846" t="s">
        <v>350</v>
      </c>
      <c r="B241" s="1001">
        <v>41323</v>
      </c>
      <c r="C241" s="1001">
        <v>41442</v>
      </c>
      <c r="D241" s="1002">
        <v>36990000</v>
      </c>
      <c r="E241" s="1002">
        <v>36990000</v>
      </c>
      <c r="F241" s="1002">
        <v>0</v>
      </c>
    </row>
    <row r="242" spans="1:6" x14ac:dyDescent="0.25">
      <c r="A242" s="846" t="s">
        <v>122</v>
      </c>
      <c r="B242" s="1001"/>
      <c r="C242" s="1001"/>
      <c r="D242" s="1002"/>
      <c r="E242" s="1002"/>
      <c r="F242" s="1002"/>
    </row>
    <row r="243" spans="1:6" x14ac:dyDescent="0.25">
      <c r="A243" s="846" t="s">
        <v>244</v>
      </c>
      <c r="B243" s="1001"/>
      <c r="C243" s="1001"/>
      <c r="D243" s="1002"/>
      <c r="E243" s="1002"/>
      <c r="F243" s="1002"/>
    </row>
    <row r="244" spans="1:6" ht="30" x14ac:dyDescent="0.25">
      <c r="A244" s="846" t="s">
        <v>354</v>
      </c>
      <c r="B244" s="1001">
        <v>41316</v>
      </c>
      <c r="C244" s="1001">
        <v>41680</v>
      </c>
      <c r="D244" s="1002">
        <v>85314724</v>
      </c>
      <c r="E244" s="1002">
        <v>85314724</v>
      </c>
      <c r="F244" s="1002">
        <v>0</v>
      </c>
    </row>
    <row r="245" spans="1:6" x14ac:dyDescent="0.25">
      <c r="A245" s="846" t="s">
        <v>182</v>
      </c>
      <c r="B245" s="1001"/>
      <c r="C245" s="1001"/>
      <c r="D245" s="1002"/>
      <c r="E245" s="1002"/>
      <c r="F245" s="1002"/>
    </row>
    <row r="246" spans="1:6" x14ac:dyDescent="0.25">
      <c r="A246" s="846" t="s">
        <v>152</v>
      </c>
      <c r="B246" s="1001"/>
      <c r="C246" s="1001"/>
      <c r="D246" s="1002"/>
      <c r="E246" s="1002"/>
      <c r="F246" s="1002"/>
    </row>
    <row r="247" spans="1:6" ht="60" x14ac:dyDescent="0.25">
      <c r="A247" s="846" t="s">
        <v>441</v>
      </c>
      <c r="B247" s="1001">
        <v>40150</v>
      </c>
      <c r="C247" s="1001">
        <v>41336</v>
      </c>
      <c r="D247" s="1002">
        <v>507000000</v>
      </c>
      <c r="E247" s="1002">
        <v>471070424</v>
      </c>
      <c r="F247" s="1002">
        <v>35929576</v>
      </c>
    </row>
    <row r="248" spans="1:6" x14ac:dyDescent="0.25">
      <c r="A248" s="846" t="s">
        <v>78</v>
      </c>
      <c r="B248" s="1001"/>
      <c r="C248" s="1001"/>
      <c r="D248" s="1002"/>
      <c r="E248" s="1002"/>
      <c r="F248" s="1002"/>
    </row>
    <row r="249" spans="1:6" x14ac:dyDescent="0.25">
      <c r="A249" s="846" t="s">
        <v>79</v>
      </c>
      <c r="B249" s="1001"/>
      <c r="C249" s="1001"/>
      <c r="D249" s="1002"/>
      <c r="E249" s="1002"/>
      <c r="F249" s="1002"/>
    </row>
    <row r="250" spans="1:6" ht="60" x14ac:dyDescent="0.25">
      <c r="A250" s="846" t="s">
        <v>340</v>
      </c>
      <c r="B250" s="1001">
        <v>41319</v>
      </c>
      <c r="C250" s="1001">
        <v>41683</v>
      </c>
      <c r="D250" s="1002">
        <v>123000000</v>
      </c>
      <c r="E250" s="1002">
        <v>123000000</v>
      </c>
      <c r="F250" s="1002">
        <v>0</v>
      </c>
    </row>
    <row r="251" spans="1:6" x14ac:dyDescent="0.25">
      <c r="A251" s="846" t="s">
        <v>80</v>
      </c>
      <c r="B251" s="1001"/>
      <c r="C251" s="1001"/>
      <c r="D251" s="1002"/>
      <c r="E251" s="1002"/>
      <c r="F251" s="1002"/>
    </row>
    <row r="252" spans="1:6" x14ac:dyDescent="0.25">
      <c r="A252" s="846" t="s">
        <v>81</v>
      </c>
      <c r="B252" s="1001"/>
      <c r="C252" s="1001"/>
      <c r="D252" s="1002"/>
      <c r="E252" s="1002"/>
      <c r="F252" s="1002"/>
    </row>
    <row r="253" spans="1:6" ht="60" x14ac:dyDescent="0.25">
      <c r="A253" s="846" t="s">
        <v>1073</v>
      </c>
      <c r="B253" s="1001">
        <v>41347</v>
      </c>
      <c r="C253" s="1001">
        <v>41711</v>
      </c>
      <c r="D253" s="1002">
        <v>1113600</v>
      </c>
      <c r="E253" s="1002">
        <v>1113600</v>
      </c>
      <c r="F253" s="1002">
        <v>0</v>
      </c>
    </row>
    <row r="254" spans="1:6" x14ac:dyDescent="0.25">
      <c r="A254" s="846" t="s">
        <v>82</v>
      </c>
      <c r="B254" s="1001"/>
      <c r="C254" s="1001"/>
      <c r="D254" s="1002"/>
      <c r="E254" s="1002"/>
      <c r="F254" s="1002"/>
    </row>
    <row r="255" spans="1:6" x14ac:dyDescent="0.25">
      <c r="A255" s="846" t="s">
        <v>1030</v>
      </c>
      <c r="B255" s="1001"/>
      <c r="C255" s="1001"/>
      <c r="D255" s="1002"/>
      <c r="E255" s="1002"/>
      <c r="F255" s="1002"/>
    </row>
    <row r="256" spans="1:6" ht="60" x14ac:dyDescent="0.25">
      <c r="A256" s="846" t="s">
        <v>463</v>
      </c>
      <c r="B256" s="1001">
        <v>41347</v>
      </c>
      <c r="C256" s="1001">
        <v>41652</v>
      </c>
      <c r="D256" s="1002">
        <v>4967474</v>
      </c>
      <c r="E256" s="1002">
        <v>4453683</v>
      </c>
      <c r="F256" s="1002">
        <v>513791</v>
      </c>
    </row>
    <row r="257" spans="1:6" x14ac:dyDescent="0.25">
      <c r="A257" s="846" t="s">
        <v>83</v>
      </c>
      <c r="B257" s="1001"/>
      <c r="C257" s="1001"/>
      <c r="D257" s="1002"/>
      <c r="E257" s="1002"/>
      <c r="F257" s="1002"/>
    </row>
    <row r="258" spans="1:6" x14ac:dyDescent="0.25">
      <c r="A258" s="846" t="s">
        <v>84</v>
      </c>
      <c r="B258" s="1001"/>
      <c r="C258" s="1001"/>
      <c r="D258" s="1002"/>
      <c r="E258" s="1002"/>
      <c r="F258" s="1002"/>
    </row>
    <row r="259" spans="1:6" ht="30" x14ac:dyDescent="0.25">
      <c r="A259" s="846" t="s">
        <v>320</v>
      </c>
      <c r="B259" s="1001">
        <v>41367</v>
      </c>
      <c r="C259" s="1001">
        <v>41731</v>
      </c>
      <c r="D259" s="1002">
        <v>15913500</v>
      </c>
      <c r="E259" s="1002">
        <v>15453868</v>
      </c>
      <c r="F259" s="1002">
        <v>459632</v>
      </c>
    </row>
    <row r="260" spans="1:6" x14ac:dyDescent="0.25">
      <c r="A260" s="846" t="s">
        <v>85</v>
      </c>
      <c r="B260" s="1001"/>
      <c r="C260" s="1001"/>
      <c r="D260" s="1002"/>
      <c r="E260" s="1002"/>
      <c r="F260" s="1002"/>
    </row>
    <row r="261" spans="1:6" x14ac:dyDescent="0.25">
      <c r="A261" s="846" t="s">
        <v>86</v>
      </c>
      <c r="B261" s="1001"/>
      <c r="C261" s="1001"/>
      <c r="D261" s="1002"/>
      <c r="E261" s="1002"/>
      <c r="F261" s="1002"/>
    </row>
    <row r="262" spans="1:6" ht="30" x14ac:dyDescent="0.25">
      <c r="A262" s="846" t="s">
        <v>341</v>
      </c>
      <c r="B262" s="1001">
        <v>41352</v>
      </c>
      <c r="C262" s="1001">
        <v>41716</v>
      </c>
      <c r="D262" s="1002">
        <v>1197000</v>
      </c>
      <c r="E262" s="1002">
        <v>1197000</v>
      </c>
      <c r="F262" s="1002">
        <v>0</v>
      </c>
    </row>
    <row r="263" spans="1:6" x14ac:dyDescent="0.25">
      <c r="A263" s="846" t="s">
        <v>87</v>
      </c>
      <c r="B263" s="1001"/>
      <c r="C263" s="1001"/>
      <c r="D263" s="1002"/>
      <c r="E263" s="1002"/>
      <c r="F263" s="1002"/>
    </row>
    <row r="264" spans="1:6" x14ac:dyDescent="0.25">
      <c r="A264" s="846" t="s">
        <v>435</v>
      </c>
      <c r="B264" s="1001"/>
      <c r="C264" s="1001"/>
      <c r="D264" s="1002"/>
      <c r="E264" s="1002"/>
      <c r="F264" s="1002"/>
    </row>
    <row r="265" spans="1:6" ht="45" x14ac:dyDescent="0.25">
      <c r="A265" s="846" t="s">
        <v>318</v>
      </c>
      <c r="B265" s="1001">
        <v>41400</v>
      </c>
      <c r="C265" s="1001">
        <v>41764</v>
      </c>
      <c r="D265" s="1002">
        <v>8360000</v>
      </c>
      <c r="E265" s="1002">
        <v>7018000</v>
      </c>
      <c r="F265" s="1002">
        <v>1342000</v>
      </c>
    </row>
    <row r="266" spans="1:6" x14ac:dyDescent="0.25">
      <c r="A266" s="846" t="s">
        <v>88</v>
      </c>
      <c r="B266" s="1001"/>
      <c r="C266" s="1001"/>
      <c r="D266" s="1002"/>
      <c r="E266" s="1002"/>
      <c r="F266" s="1002"/>
    </row>
    <row r="267" spans="1:6" x14ac:dyDescent="0.25">
      <c r="A267" s="846" t="s">
        <v>1031</v>
      </c>
      <c r="B267" s="1001"/>
      <c r="C267" s="1001"/>
      <c r="D267" s="1002"/>
      <c r="E267" s="1002"/>
      <c r="F267" s="1002"/>
    </row>
    <row r="268" spans="1:6" ht="45" x14ac:dyDescent="0.25">
      <c r="A268" s="846" t="s">
        <v>342</v>
      </c>
      <c r="B268" s="1001">
        <v>41393</v>
      </c>
      <c r="C268" s="1001">
        <v>41545</v>
      </c>
      <c r="D268" s="1002">
        <v>3700000</v>
      </c>
      <c r="E268" s="1002">
        <v>3700000</v>
      </c>
      <c r="F268" s="1002">
        <v>0</v>
      </c>
    </row>
    <row r="269" spans="1:6" x14ac:dyDescent="0.25">
      <c r="A269" s="846" t="s">
        <v>91</v>
      </c>
      <c r="B269" s="1001"/>
      <c r="C269" s="1001"/>
      <c r="D269" s="1002"/>
      <c r="E269" s="1002"/>
      <c r="F269" s="1002"/>
    </row>
    <row r="270" spans="1:6" x14ac:dyDescent="0.25">
      <c r="A270" s="846" t="s">
        <v>1032</v>
      </c>
      <c r="B270" s="1001"/>
      <c r="C270" s="1001"/>
      <c r="D270" s="1002"/>
      <c r="E270" s="1002"/>
      <c r="F270" s="1002"/>
    </row>
    <row r="271" spans="1:6" ht="75" x14ac:dyDescent="0.25">
      <c r="A271" s="846" t="s">
        <v>464</v>
      </c>
      <c r="B271" s="1001">
        <v>41387</v>
      </c>
      <c r="C271" s="1001">
        <v>41692</v>
      </c>
      <c r="D271" s="1002">
        <v>50000000</v>
      </c>
      <c r="E271" s="1002">
        <v>50000000</v>
      </c>
      <c r="F271" s="1002">
        <v>0</v>
      </c>
    </row>
    <row r="272" spans="1:6" x14ac:dyDescent="0.25">
      <c r="A272" s="846" t="s">
        <v>93</v>
      </c>
      <c r="B272" s="1001"/>
      <c r="C272" s="1001"/>
      <c r="D272" s="1002"/>
      <c r="E272" s="1002"/>
      <c r="F272" s="1002"/>
    </row>
    <row r="273" spans="1:6" x14ac:dyDescent="0.25">
      <c r="A273" s="846" t="s">
        <v>1033</v>
      </c>
      <c r="B273" s="1001"/>
      <c r="C273" s="1001"/>
      <c r="D273" s="1002"/>
      <c r="E273" s="1002"/>
      <c r="F273" s="1002"/>
    </row>
    <row r="274" spans="1:6" ht="45" x14ac:dyDescent="0.25">
      <c r="A274" s="846" t="s">
        <v>343</v>
      </c>
      <c r="B274" s="1001">
        <v>41396</v>
      </c>
      <c r="C274" s="1001">
        <v>41699</v>
      </c>
      <c r="D274" s="1002">
        <v>41600000</v>
      </c>
      <c r="E274" s="1002">
        <v>41600000</v>
      </c>
      <c r="F274" s="1002">
        <v>0</v>
      </c>
    </row>
    <row r="275" spans="1:6" x14ac:dyDescent="0.25">
      <c r="A275" s="846" t="s">
        <v>94</v>
      </c>
      <c r="B275" s="1001"/>
      <c r="C275" s="1001"/>
      <c r="D275" s="1002"/>
      <c r="E275" s="1002"/>
      <c r="F275" s="1002"/>
    </row>
    <row r="276" spans="1:6" x14ac:dyDescent="0.25">
      <c r="A276" s="846" t="s">
        <v>433</v>
      </c>
      <c r="B276" s="1001"/>
      <c r="C276" s="1001"/>
      <c r="D276" s="1002"/>
      <c r="E276" s="1002"/>
      <c r="F276" s="1002"/>
    </row>
    <row r="277" spans="1:6" ht="45" x14ac:dyDescent="0.25">
      <c r="A277" s="846" t="s">
        <v>344</v>
      </c>
      <c r="B277" s="1001">
        <v>41411</v>
      </c>
      <c r="C277" s="1001">
        <v>41508</v>
      </c>
      <c r="D277" s="1002">
        <v>240000000</v>
      </c>
      <c r="E277" s="1002">
        <v>239999964</v>
      </c>
      <c r="F277" s="1002">
        <v>36</v>
      </c>
    </row>
    <row r="278" spans="1:6" x14ac:dyDescent="0.25">
      <c r="A278" s="846" t="s">
        <v>95</v>
      </c>
      <c r="B278" s="1001"/>
      <c r="C278" s="1001"/>
      <c r="D278" s="1002"/>
      <c r="E278" s="1002"/>
      <c r="F278" s="1002"/>
    </row>
    <row r="279" spans="1:6" x14ac:dyDescent="0.25">
      <c r="A279" s="846" t="s">
        <v>41</v>
      </c>
      <c r="B279" s="1001"/>
      <c r="C279" s="1001"/>
      <c r="D279" s="1002"/>
      <c r="E279" s="1002"/>
      <c r="F279" s="1002"/>
    </row>
    <row r="280" spans="1:6" ht="30" x14ac:dyDescent="0.25">
      <c r="A280" s="846" t="s">
        <v>458</v>
      </c>
      <c r="B280" s="1001">
        <v>41403</v>
      </c>
      <c r="C280" s="1001">
        <v>41890</v>
      </c>
      <c r="D280" s="1002">
        <v>67179000</v>
      </c>
      <c r="E280" s="1002">
        <v>67115300</v>
      </c>
      <c r="F280" s="1002">
        <v>63700</v>
      </c>
    </row>
    <row r="281" spans="1:6" x14ac:dyDescent="0.25">
      <c r="A281" s="846" t="s">
        <v>96</v>
      </c>
      <c r="B281" s="1001"/>
      <c r="C281" s="1001"/>
      <c r="D281" s="1002"/>
      <c r="E281" s="1002"/>
      <c r="F281" s="1002"/>
    </row>
    <row r="282" spans="1:6" x14ac:dyDescent="0.25">
      <c r="A282" s="846" t="s">
        <v>3</v>
      </c>
      <c r="B282" s="1001"/>
      <c r="C282" s="1001"/>
      <c r="D282" s="1002"/>
      <c r="E282" s="1002"/>
      <c r="F282" s="1002"/>
    </row>
    <row r="283" spans="1:6" ht="45" x14ac:dyDescent="0.25">
      <c r="A283" s="846" t="s">
        <v>456</v>
      </c>
      <c r="B283" s="1001">
        <v>41426</v>
      </c>
      <c r="C283" s="1001">
        <v>41820</v>
      </c>
      <c r="D283" s="1002">
        <v>473134060</v>
      </c>
      <c r="E283" s="1002">
        <v>473133510</v>
      </c>
      <c r="F283" s="1002">
        <v>550</v>
      </c>
    </row>
    <row r="284" spans="1:6" x14ac:dyDescent="0.25">
      <c r="A284" s="846" t="s">
        <v>97</v>
      </c>
      <c r="B284" s="1001"/>
      <c r="C284" s="1001"/>
      <c r="D284" s="1002"/>
      <c r="E284" s="1002"/>
      <c r="F284" s="1002"/>
    </row>
    <row r="285" spans="1:6" x14ac:dyDescent="0.25">
      <c r="A285" s="846" t="s">
        <v>98</v>
      </c>
      <c r="B285" s="1001"/>
      <c r="C285" s="1001"/>
      <c r="D285" s="1002"/>
      <c r="E285" s="1002"/>
      <c r="F285" s="1002"/>
    </row>
    <row r="286" spans="1:6" ht="45" x14ac:dyDescent="0.25">
      <c r="A286" s="846" t="s">
        <v>345</v>
      </c>
      <c r="B286" s="1001">
        <v>41417</v>
      </c>
      <c r="C286" s="1001">
        <v>41692</v>
      </c>
      <c r="D286" s="1002">
        <v>2096276</v>
      </c>
      <c r="E286" s="1002">
        <v>2086672</v>
      </c>
      <c r="F286" s="1002">
        <v>9604</v>
      </c>
    </row>
    <row r="287" spans="1:6" x14ac:dyDescent="0.25">
      <c r="A287" s="846" t="s">
        <v>99</v>
      </c>
      <c r="B287" s="1001"/>
      <c r="C287" s="1001"/>
      <c r="D287" s="1002"/>
      <c r="E287" s="1002"/>
      <c r="F287" s="1002"/>
    </row>
    <row r="288" spans="1:6" x14ac:dyDescent="0.25">
      <c r="A288" s="846" t="s">
        <v>100</v>
      </c>
      <c r="B288" s="1001">
        <v>41416</v>
      </c>
      <c r="C288" s="1001">
        <v>41660</v>
      </c>
      <c r="D288" s="1002">
        <v>18744000</v>
      </c>
      <c r="E288" s="1002">
        <v>18286734</v>
      </c>
      <c r="F288" s="1002">
        <v>457266</v>
      </c>
    </row>
    <row r="289" spans="1:6" x14ac:dyDescent="0.25">
      <c r="A289" s="846" t="s">
        <v>121</v>
      </c>
      <c r="B289" s="1001"/>
      <c r="C289" s="1001"/>
      <c r="D289" s="1002"/>
      <c r="E289" s="1002"/>
      <c r="F289" s="1002"/>
    </row>
    <row r="290" spans="1:6" x14ac:dyDescent="0.25">
      <c r="A290" s="846" t="s">
        <v>15</v>
      </c>
      <c r="B290" s="1001"/>
      <c r="C290" s="1001"/>
      <c r="D290" s="1002"/>
      <c r="E290" s="1002"/>
      <c r="F290" s="1002"/>
    </row>
    <row r="291" spans="1:6" x14ac:dyDescent="0.25">
      <c r="A291" s="846" t="s">
        <v>353</v>
      </c>
      <c r="B291" s="1001">
        <v>41410</v>
      </c>
      <c r="C291" s="1001">
        <v>41774</v>
      </c>
      <c r="D291" s="1002">
        <v>7740000</v>
      </c>
      <c r="E291" s="1002">
        <v>7740000</v>
      </c>
      <c r="F291" s="1002">
        <v>0</v>
      </c>
    </row>
    <row r="292" spans="1:6" x14ac:dyDescent="0.25">
      <c r="A292" s="846" t="s">
        <v>123</v>
      </c>
      <c r="B292" s="1001"/>
      <c r="C292" s="1001"/>
      <c r="D292" s="1002"/>
      <c r="E292" s="1002"/>
      <c r="F292" s="1002"/>
    </row>
    <row r="293" spans="1:6" x14ac:dyDescent="0.25">
      <c r="A293" s="846" t="s">
        <v>124</v>
      </c>
      <c r="B293" s="1001"/>
      <c r="C293" s="1001"/>
      <c r="D293" s="1002"/>
      <c r="E293" s="1002"/>
      <c r="F293" s="1002"/>
    </row>
    <row r="294" spans="1:6" ht="75" x14ac:dyDescent="0.25">
      <c r="A294" s="846" t="s">
        <v>464</v>
      </c>
      <c r="B294" s="1001">
        <v>41410</v>
      </c>
      <c r="C294" s="1001">
        <v>41713</v>
      </c>
      <c r="D294" s="1002">
        <v>50000000</v>
      </c>
      <c r="E294" s="1002">
        <v>27500000</v>
      </c>
      <c r="F294" s="1002">
        <v>22500000</v>
      </c>
    </row>
    <row r="295" spans="1:6" x14ac:dyDescent="0.25">
      <c r="A295" s="846" t="s">
        <v>125</v>
      </c>
      <c r="B295" s="1001"/>
      <c r="C295" s="1001"/>
      <c r="D295" s="1002"/>
      <c r="E295" s="1002"/>
      <c r="F295" s="1002"/>
    </row>
    <row r="296" spans="1:6" x14ac:dyDescent="0.25">
      <c r="A296" s="846" t="s">
        <v>126</v>
      </c>
      <c r="B296" s="1001"/>
      <c r="C296" s="1001"/>
      <c r="D296" s="1002"/>
      <c r="E296" s="1002"/>
      <c r="F296" s="1002"/>
    </row>
    <row r="297" spans="1:6" ht="45" x14ac:dyDescent="0.25">
      <c r="A297" s="846" t="s">
        <v>466</v>
      </c>
      <c r="B297" s="1001">
        <v>41423</v>
      </c>
      <c r="C297" s="1001">
        <v>41698</v>
      </c>
      <c r="D297" s="1002">
        <v>9366000</v>
      </c>
      <c r="E297" s="1002">
        <v>7783682</v>
      </c>
      <c r="F297" s="1002">
        <v>1582318</v>
      </c>
    </row>
    <row r="298" spans="1:6" x14ac:dyDescent="0.25">
      <c r="A298" s="846" t="s">
        <v>129</v>
      </c>
      <c r="B298" s="1001"/>
      <c r="C298" s="1001"/>
      <c r="D298" s="1002"/>
      <c r="E298" s="1002"/>
      <c r="F298" s="1002"/>
    </row>
    <row r="299" spans="1:6" x14ac:dyDescent="0.25">
      <c r="A299" s="846" t="s">
        <v>1019</v>
      </c>
      <c r="B299" s="1001"/>
      <c r="C299" s="1001"/>
      <c r="D299" s="1002"/>
      <c r="E299" s="1002"/>
      <c r="F299" s="1002"/>
    </row>
    <row r="300" spans="1:6" ht="45" x14ac:dyDescent="0.25">
      <c r="A300" s="846" t="s">
        <v>315</v>
      </c>
      <c r="B300" s="1001">
        <v>41410</v>
      </c>
      <c r="C300" s="1001">
        <v>41806</v>
      </c>
      <c r="D300" s="1002">
        <v>33120000</v>
      </c>
      <c r="E300" s="1002">
        <v>32832950</v>
      </c>
      <c r="F300" s="1002">
        <v>287050</v>
      </c>
    </row>
    <row r="301" spans="1:6" x14ac:dyDescent="0.25">
      <c r="A301" s="846" t="s">
        <v>89</v>
      </c>
      <c r="B301" s="1001"/>
      <c r="C301" s="1001"/>
      <c r="D301" s="1002"/>
      <c r="E301" s="1002"/>
      <c r="F301" s="1002"/>
    </row>
    <row r="302" spans="1:6" x14ac:dyDescent="0.25">
      <c r="A302" s="846" t="s">
        <v>90</v>
      </c>
      <c r="B302" s="1001"/>
      <c r="C302" s="1001"/>
      <c r="D302" s="1002"/>
      <c r="E302" s="1002"/>
      <c r="F302" s="1002"/>
    </row>
    <row r="303" spans="1:6" ht="45" x14ac:dyDescent="0.25">
      <c r="A303" s="846" t="s">
        <v>467</v>
      </c>
      <c r="B303" s="1001">
        <v>41438</v>
      </c>
      <c r="C303" s="1001">
        <v>41802</v>
      </c>
      <c r="D303" s="1002">
        <v>1030000</v>
      </c>
      <c r="E303" s="1002">
        <v>1030000</v>
      </c>
      <c r="F303" s="1002">
        <v>0</v>
      </c>
    </row>
    <row r="304" spans="1:6" x14ac:dyDescent="0.25">
      <c r="A304" s="846" t="s">
        <v>130</v>
      </c>
      <c r="B304" s="1001"/>
      <c r="C304" s="1001"/>
      <c r="D304" s="1002"/>
      <c r="E304" s="1002"/>
      <c r="F304" s="1002"/>
    </row>
    <row r="305" spans="1:6" x14ac:dyDescent="0.25">
      <c r="A305" s="846" t="s">
        <v>1112</v>
      </c>
      <c r="B305" s="1001"/>
      <c r="C305" s="1001"/>
      <c r="D305" s="1002"/>
      <c r="E305" s="1002"/>
      <c r="F305" s="1002"/>
    </row>
    <row r="306" spans="1:6" ht="60" x14ac:dyDescent="0.25">
      <c r="A306" s="846" t="s">
        <v>468</v>
      </c>
      <c r="B306" s="1001">
        <v>41421</v>
      </c>
      <c r="C306" s="1001">
        <v>41897</v>
      </c>
      <c r="D306" s="1002">
        <v>1552431776</v>
      </c>
      <c r="E306" s="1002">
        <v>1552431775</v>
      </c>
      <c r="F306" s="1002">
        <v>1</v>
      </c>
    </row>
    <row r="307" spans="1:6" x14ac:dyDescent="0.25">
      <c r="A307" s="1005" t="s">
        <v>132</v>
      </c>
      <c r="B307" s="1003"/>
      <c r="C307" s="1003"/>
      <c r="D307" s="1004"/>
      <c r="E307" s="1004"/>
      <c r="F307" s="1004"/>
    </row>
    <row r="308" spans="1:6" x14ac:dyDescent="0.25">
      <c r="A308" s="846" t="s">
        <v>27</v>
      </c>
      <c r="B308" s="1003"/>
      <c r="C308" s="1003"/>
      <c r="D308" s="1004"/>
      <c r="E308" s="1004"/>
      <c r="F308" s="1004"/>
    </row>
    <row r="309" spans="1:6" ht="45" x14ac:dyDescent="0.25">
      <c r="A309" s="846" t="s">
        <v>450</v>
      </c>
      <c r="B309" s="1003">
        <v>41421</v>
      </c>
      <c r="C309" s="1003">
        <v>41969</v>
      </c>
      <c r="D309" s="1004">
        <v>849000</v>
      </c>
      <c r="E309" s="1004">
        <v>849000</v>
      </c>
      <c r="F309" s="1004">
        <v>0</v>
      </c>
    </row>
    <row r="310" spans="1:6" x14ac:dyDescent="0.25">
      <c r="A310" s="846" t="s">
        <v>133</v>
      </c>
      <c r="B310" s="1001"/>
      <c r="C310" s="1001"/>
      <c r="D310" s="1002"/>
      <c r="E310" s="1002"/>
      <c r="F310" s="1002"/>
    </row>
    <row r="311" spans="1:6" x14ac:dyDescent="0.25">
      <c r="A311" s="846" t="s">
        <v>134</v>
      </c>
      <c r="B311" s="1001"/>
      <c r="C311" s="1001"/>
      <c r="D311" s="1002"/>
      <c r="E311" s="1002"/>
      <c r="F311" s="1002"/>
    </row>
    <row r="312" spans="1:6" ht="30" x14ac:dyDescent="0.25">
      <c r="A312" s="846" t="s">
        <v>356</v>
      </c>
      <c r="B312" s="1001">
        <v>41459</v>
      </c>
      <c r="C312" s="1001">
        <v>41823</v>
      </c>
      <c r="D312" s="1002">
        <v>15000000</v>
      </c>
      <c r="E312" s="1002">
        <v>5368620</v>
      </c>
      <c r="F312" s="1002">
        <v>9631380</v>
      </c>
    </row>
    <row r="313" spans="1:6" x14ac:dyDescent="0.25">
      <c r="A313" s="846" t="s">
        <v>135</v>
      </c>
      <c r="B313" s="1001"/>
      <c r="C313" s="1001"/>
      <c r="D313" s="1002"/>
      <c r="E313" s="1002"/>
      <c r="F313" s="1002"/>
    </row>
    <row r="314" spans="1:6" x14ac:dyDescent="0.25">
      <c r="A314" s="846" t="s">
        <v>38</v>
      </c>
      <c r="B314" s="1001"/>
      <c r="C314" s="1001"/>
      <c r="D314" s="1002"/>
      <c r="E314" s="1002"/>
      <c r="F314" s="1002"/>
    </row>
    <row r="315" spans="1:6" ht="30" x14ac:dyDescent="0.25">
      <c r="A315" s="846" t="s">
        <v>327</v>
      </c>
      <c r="B315" s="1001">
        <v>41426</v>
      </c>
      <c r="C315" s="1001">
        <v>41820</v>
      </c>
      <c r="D315" s="1002">
        <v>35904847</v>
      </c>
      <c r="E315" s="1002">
        <v>35904845</v>
      </c>
      <c r="F315" s="1002">
        <v>2</v>
      </c>
    </row>
    <row r="316" spans="1:6" x14ac:dyDescent="0.25">
      <c r="A316" s="846" t="s">
        <v>136</v>
      </c>
      <c r="B316" s="1001"/>
      <c r="C316" s="1001"/>
      <c r="D316" s="1002"/>
      <c r="E316" s="1002"/>
      <c r="F316" s="1002"/>
    </row>
    <row r="317" spans="1:6" x14ac:dyDescent="0.25">
      <c r="A317" s="846" t="s">
        <v>137</v>
      </c>
      <c r="B317" s="1001"/>
      <c r="C317" s="1001"/>
      <c r="D317" s="1002"/>
      <c r="E317" s="1002"/>
      <c r="F317" s="1002"/>
    </row>
    <row r="318" spans="1:6" ht="30" x14ac:dyDescent="0.25">
      <c r="A318" s="846" t="s">
        <v>469</v>
      </c>
      <c r="B318" s="1001">
        <v>41416</v>
      </c>
      <c r="C318" s="1001">
        <v>41660</v>
      </c>
      <c r="D318" s="1002">
        <v>40000000</v>
      </c>
      <c r="E318" s="1002">
        <v>16667000</v>
      </c>
      <c r="F318" s="1002">
        <v>23333000</v>
      </c>
    </row>
    <row r="319" spans="1:6" x14ac:dyDescent="0.25">
      <c r="A319" s="846" t="s">
        <v>202</v>
      </c>
      <c r="B319" s="1001"/>
      <c r="C319" s="1001"/>
      <c r="D319" s="1002"/>
      <c r="E319" s="1002"/>
      <c r="F319" s="1002"/>
    </row>
    <row r="320" spans="1:6" x14ac:dyDescent="0.25">
      <c r="A320" s="846" t="s">
        <v>203</v>
      </c>
      <c r="B320" s="1001"/>
      <c r="C320" s="1001"/>
      <c r="D320" s="1002"/>
      <c r="E320" s="1002"/>
      <c r="F320" s="1002"/>
    </row>
    <row r="321" spans="1:6" ht="30" x14ac:dyDescent="0.25">
      <c r="A321" s="846" t="s">
        <v>470</v>
      </c>
      <c r="B321" s="1001">
        <v>41548</v>
      </c>
      <c r="C321" s="1001">
        <v>41578</v>
      </c>
      <c r="D321" s="1002">
        <v>4524000</v>
      </c>
      <c r="E321" s="1002">
        <v>4524000</v>
      </c>
      <c r="F321" s="1002">
        <v>0</v>
      </c>
    </row>
    <row r="322" spans="1:6" x14ac:dyDescent="0.25">
      <c r="A322" s="846" t="s">
        <v>138</v>
      </c>
      <c r="B322" s="1001"/>
      <c r="C322" s="1001"/>
      <c r="D322" s="1002"/>
      <c r="E322" s="1002"/>
      <c r="F322" s="1002"/>
    </row>
    <row r="323" spans="1:6" x14ac:dyDescent="0.25">
      <c r="A323" s="846" t="s">
        <v>1034</v>
      </c>
      <c r="B323" s="1001"/>
      <c r="C323" s="1001"/>
      <c r="D323" s="1002"/>
      <c r="E323" s="1002"/>
      <c r="F323" s="1002"/>
    </row>
    <row r="324" spans="1:6" ht="45" x14ac:dyDescent="0.25">
      <c r="A324" s="846" t="s">
        <v>357</v>
      </c>
      <c r="B324" s="1001">
        <v>41421</v>
      </c>
      <c r="C324" s="1001">
        <v>41665</v>
      </c>
      <c r="D324" s="1002">
        <v>20800000</v>
      </c>
      <c r="E324" s="1002">
        <v>20800000</v>
      </c>
      <c r="F324" s="1002">
        <v>0</v>
      </c>
    </row>
    <row r="325" spans="1:6" x14ac:dyDescent="0.25">
      <c r="A325" s="846" t="s">
        <v>139</v>
      </c>
      <c r="B325" s="1001"/>
      <c r="C325" s="1001"/>
      <c r="D325" s="1002"/>
      <c r="E325" s="1002"/>
      <c r="F325" s="1002"/>
    </row>
    <row r="326" spans="1:6" x14ac:dyDescent="0.25">
      <c r="A326" s="846" t="s">
        <v>140</v>
      </c>
      <c r="B326" s="1001"/>
      <c r="C326" s="1001"/>
      <c r="D326" s="1002"/>
      <c r="E326" s="1002"/>
      <c r="F326" s="1002"/>
    </row>
    <row r="327" spans="1:6" ht="75" x14ac:dyDescent="0.25">
      <c r="A327" s="846" t="s">
        <v>1053</v>
      </c>
      <c r="B327" s="1001">
        <v>41423</v>
      </c>
      <c r="C327" s="1001">
        <v>41667</v>
      </c>
      <c r="D327" s="1002">
        <v>28000000</v>
      </c>
      <c r="E327" s="1002">
        <v>28000000</v>
      </c>
      <c r="F327" s="1002">
        <v>0</v>
      </c>
    </row>
    <row r="328" spans="1:6" x14ac:dyDescent="0.25">
      <c r="A328" s="846" t="s">
        <v>141</v>
      </c>
      <c r="B328" s="1001"/>
      <c r="C328" s="1001"/>
      <c r="D328" s="1002"/>
      <c r="E328" s="1002"/>
      <c r="F328" s="1002"/>
    </row>
    <row r="329" spans="1:6" x14ac:dyDescent="0.25">
      <c r="A329" s="846" t="s">
        <v>142</v>
      </c>
      <c r="B329" s="1001"/>
      <c r="C329" s="1001"/>
      <c r="D329" s="1002"/>
      <c r="E329" s="1002"/>
      <c r="F329" s="1002"/>
    </row>
    <row r="330" spans="1:6" ht="45" x14ac:dyDescent="0.25">
      <c r="A330" s="846" t="s">
        <v>471</v>
      </c>
      <c r="B330" s="1001">
        <v>41457</v>
      </c>
      <c r="C330" s="1001">
        <v>41501</v>
      </c>
      <c r="D330" s="1002">
        <v>266580829</v>
      </c>
      <c r="E330" s="1002">
        <v>266580829</v>
      </c>
      <c r="F330" s="1002">
        <v>0</v>
      </c>
    </row>
    <row r="331" spans="1:6" x14ac:dyDescent="0.25">
      <c r="A331" s="846" t="s">
        <v>143</v>
      </c>
      <c r="B331" s="1001"/>
      <c r="C331" s="1001"/>
      <c r="D331" s="1002"/>
      <c r="E331" s="1002"/>
      <c r="F331" s="1002"/>
    </row>
    <row r="332" spans="1:6" x14ac:dyDescent="0.25">
      <c r="A332" s="846" t="s">
        <v>144</v>
      </c>
      <c r="B332" s="1001"/>
      <c r="C332" s="1001"/>
      <c r="D332" s="1002"/>
      <c r="E332" s="1002"/>
      <c r="F332" s="1002"/>
    </row>
    <row r="333" spans="1:6" ht="30" x14ac:dyDescent="0.25">
      <c r="A333" s="846" t="s">
        <v>358</v>
      </c>
      <c r="B333" s="1001">
        <v>41463</v>
      </c>
      <c r="C333" s="1001">
        <v>41849</v>
      </c>
      <c r="D333" s="1002">
        <v>348897514</v>
      </c>
      <c r="E333" s="1002">
        <v>348897514</v>
      </c>
      <c r="F333" s="1002">
        <v>0</v>
      </c>
    </row>
    <row r="334" spans="1:6" x14ac:dyDescent="0.25">
      <c r="A334" s="846" t="s">
        <v>145</v>
      </c>
      <c r="B334" s="1001"/>
      <c r="C334" s="1001"/>
      <c r="D334" s="1002"/>
      <c r="E334" s="1002"/>
      <c r="F334" s="1002"/>
    </row>
    <row r="335" spans="1:6" x14ac:dyDescent="0.25">
      <c r="A335" s="846" t="s">
        <v>43</v>
      </c>
      <c r="B335" s="1001"/>
      <c r="C335" s="1001"/>
      <c r="D335" s="1002"/>
      <c r="E335" s="1002"/>
      <c r="F335" s="1002"/>
    </row>
    <row r="336" spans="1:6" ht="45" x14ac:dyDescent="0.25">
      <c r="A336" s="846" t="s">
        <v>1462</v>
      </c>
      <c r="B336" s="1001">
        <v>41463</v>
      </c>
      <c r="C336" s="1001">
        <v>41736</v>
      </c>
      <c r="D336" s="1002">
        <v>23246000</v>
      </c>
      <c r="E336" s="1002">
        <v>19772977</v>
      </c>
      <c r="F336" s="1002">
        <v>3473023</v>
      </c>
    </row>
    <row r="337" spans="1:6" x14ac:dyDescent="0.25">
      <c r="A337" s="846" t="s">
        <v>146</v>
      </c>
      <c r="B337" s="1001"/>
      <c r="C337" s="1001"/>
      <c r="D337" s="1002"/>
      <c r="E337" s="1002"/>
      <c r="F337" s="1002"/>
    </row>
    <row r="338" spans="1:6" x14ac:dyDescent="0.25">
      <c r="A338" s="846" t="s">
        <v>1018</v>
      </c>
      <c r="B338" s="1001"/>
      <c r="C338" s="1001"/>
      <c r="D338" s="1002"/>
      <c r="E338" s="1002"/>
      <c r="F338" s="1002"/>
    </row>
    <row r="339" spans="1:6" ht="30" x14ac:dyDescent="0.25">
      <c r="A339" s="846" t="s">
        <v>313</v>
      </c>
      <c r="B339" s="1001">
        <v>41446</v>
      </c>
      <c r="C339" s="1001">
        <v>41810</v>
      </c>
      <c r="D339" s="1002">
        <v>321573359</v>
      </c>
      <c r="E339" s="1002">
        <v>317232018</v>
      </c>
      <c r="F339" s="1002">
        <v>4341341</v>
      </c>
    </row>
    <row r="340" spans="1:6" x14ac:dyDescent="0.25">
      <c r="A340" s="846" t="s">
        <v>147</v>
      </c>
      <c r="B340" s="1001"/>
      <c r="C340" s="1001"/>
      <c r="D340" s="1002"/>
      <c r="E340" s="1002"/>
      <c r="F340" s="1002"/>
    </row>
    <row r="341" spans="1:6" x14ac:dyDescent="0.25">
      <c r="A341" s="846" t="s">
        <v>148</v>
      </c>
      <c r="B341" s="1001"/>
      <c r="C341" s="1001"/>
      <c r="D341" s="1002"/>
      <c r="E341" s="1002"/>
      <c r="F341" s="1002"/>
    </row>
    <row r="342" spans="1:6" ht="60" x14ac:dyDescent="0.25">
      <c r="A342" s="846" t="s">
        <v>472</v>
      </c>
      <c r="B342" s="1001">
        <v>41464</v>
      </c>
      <c r="C342" s="1001">
        <v>41851</v>
      </c>
      <c r="D342" s="1002">
        <v>22292691</v>
      </c>
      <c r="E342" s="1002">
        <v>22292691</v>
      </c>
      <c r="F342" s="1002">
        <v>0</v>
      </c>
    </row>
    <row r="343" spans="1:6" x14ac:dyDescent="0.25">
      <c r="A343" s="846" t="s">
        <v>155</v>
      </c>
      <c r="B343" s="1001"/>
      <c r="C343" s="1001"/>
      <c r="D343" s="1002"/>
      <c r="E343" s="1002"/>
      <c r="F343" s="1002"/>
    </row>
    <row r="344" spans="1:6" x14ac:dyDescent="0.25">
      <c r="A344" s="846" t="s">
        <v>1035</v>
      </c>
      <c r="B344" s="1001"/>
      <c r="C344" s="1001"/>
      <c r="D344" s="1002"/>
      <c r="E344" s="1002"/>
      <c r="F344" s="1002"/>
    </row>
    <row r="345" spans="1:6" ht="60" x14ac:dyDescent="0.25">
      <c r="A345" s="846" t="s">
        <v>359</v>
      </c>
      <c r="B345" s="1001">
        <v>41457</v>
      </c>
      <c r="C345" s="1001">
        <v>41671</v>
      </c>
      <c r="D345" s="1002">
        <v>23989000</v>
      </c>
      <c r="E345" s="1002">
        <v>23989000</v>
      </c>
      <c r="F345" s="1002">
        <v>0</v>
      </c>
    </row>
    <row r="346" spans="1:6" x14ac:dyDescent="0.25">
      <c r="A346" s="846" t="s">
        <v>156</v>
      </c>
      <c r="B346" s="1001"/>
      <c r="C346" s="1001"/>
      <c r="D346" s="1002"/>
      <c r="E346" s="1002"/>
      <c r="F346" s="1002"/>
    </row>
    <row r="347" spans="1:6" x14ac:dyDescent="0.25">
      <c r="A347" s="846" t="s">
        <v>53</v>
      </c>
      <c r="B347" s="1001"/>
      <c r="C347" s="1001"/>
      <c r="D347" s="1002"/>
      <c r="E347" s="1002"/>
      <c r="F347" s="1002"/>
    </row>
    <row r="348" spans="1:6" ht="30" x14ac:dyDescent="0.25">
      <c r="A348" s="846" t="s">
        <v>332</v>
      </c>
      <c r="B348" s="1001">
        <v>41470</v>
      </c>
      <c r="C348" s="1001">
        <v>41712</v>
      </c>
      <c r="D348" s="1002">
        <v>19576000</v>
      </c>
      <c r="E348" s="1002">
        <v>19571370</v>
      </c>
      <c r="F348" s="1002">
        <v>4630</v>
      </c>
    </row>
    <row r="349" spans="1:6" x14ac:dyDescent="0.25">
      <c r="A349" s="846" t="s">
        <v>157</v>
      </c>
      <c r="B349" s="1001"/>
      <c r="C349" s="1001"/>
      <c r="D349" s="1002"/>
      <c r="E349" s="1002"/>
      <c r="F349" s="1002"/>
    </row>
    <row r="350" spans="1:6" x14ac:dyDescent="0.25">
      <c r="A350" s="846" t="s">
        <v>158</v>
      </c>
      <c r="B350" s="1001"/>
      <c r="C350" s="1001"/>
      <c r="D350" s="1002"/>
      <c r="E350" s="1002"/>
      <c r="F350" s="1002"/>
    </row>
    <row r="351" spans="1:6" ht="30" x14ac:dyDescent="0.25">
      <c r="A351" s="846" t="s">
        <v>473</v>
      </c>
      <c r="B351" s="1001">
        <v>41471</v>
      </c>
      <c r="C351" s="1001">
        <v>41562</v>
      </c>
      <c r="D351" s="1002">
        <v>6499930</v>
      </c>
      <c r="E351" s="1002">
        <v>6499930</v>
      </c>
      <c r="F351" s="1002">
        <v>0</v>
      </c>
    </row>
    <row r="352" spans="1:6" x14ac:dyDescent="0.25">
      <c r="A352" s="846" t="s">
        <v>159</v>
      </c>
      <c r="B352" s="1001"/>
      <c r="C352" s="1001"/>
      <c r="D352" s="1002"/>
      <c r="E352" s="1002"/>
      <c r="F352" s="1002"/>
    </row>
    <row r="353" spans="1:6" x14ac:dyDescent="0.25">
      <c r="A353" s="846" t="s">
        <v>160</v>
      </c>
      <c r="B353" s="1001"/>
      <c r="C353" s="1001"/>
      <c r="D353" s="1002"/>
      <c r="E353" s="1002"/>
      <c r="F353" s="1002"/>
    </row>
    <row r="354" spans="1:6" ht="45" x14ac:dyDescent="0.25">
      <c r="A354" s="846" t="s">
        <v>474</v>
      </c>
      <c r="B354" s="1001">
        <v>41472</v>
      </c>
      <c r="C354" s="1001">
        <v>41533</v>
      </c>
      <c r="D354" s="1002">
        <v>2367000</v>
      </c>
      <c r="E354" s="1002">
        <v>2367000</v>
      </c>
      <c r="F354" s="1002">
        <v>0</v>
      </c>
    </row>
    <row r="355" spans="1:6" x14ac:dyDescent="0.25">
      <c r="A355" s="846" t="s">
        <v>164</v>
      </c>
      <c r="B355" s="1001"/>
      <c r="C355" s="1001"/>
      <c r="D355" s="1002"/>
      <c r="E355" s="1002"/>
      <c r="F355" s="1002"/>
    </row>
    <row r="356" spans="1:6" x14ac:dyDescent="0.25">
      <c r="A356" s="846" t="s">
        <v>165</v>
      </c>
      <c r="B356" s="1001"/>
      <c r="C356" s="1001"/>
      <c r="D356" s="1002"/>
      <c r="E356" s="1002"/>
      <c r="F356" s="1002"/>
    </row>
    <row r="357" spans="1:6" ht="45" x14ac:dyDescent="0.25">
      <c r="A357" s="846" t="s">
        <v>1445</v>
      </c>
      <c r="B357" s="1001">
        <v>41464</v>
      </c>
      <c r="C357" s="1001">
        <v>41820</v>
      </c>
      <c r="D357" s="1002">
        <v>269441460</v>
      </c>
      <c r="E357" s="1002">
        <v>265223666</v>
      </c>
      <c r="F357" s="1002">
        <v>4217794</v>
      </c>
    </row>
    <row r="358" spans="1:6" x14ac:dyDescent="0.25">
      <c r="A358" s="846" t="s">
        <v>190</v>
      </c>
      <c r="B358" s="1001"/>
      <c r="C358" s="1001"/>
      <c r="D358" s="1002"/>
      <c r="E358" s="1002"/>
      <c r="F358" s="1002"/>
    </row>
    <row r="359" spans="1:6" x14ac:dyDescent="0.25">
      <c r="A359" s="846" t="s">
        <v>29</v>
      </c>
      <c r="B359" s="1001"/>
      <c r="C359" s="1001"/>
      <c r="D359" s="1002"/>
      <c r="E359" s="1002"/>
      <c r="F359" s="1002"/>
    </row>
    <row r="360" spans="1:6" x14ac:dyDescent="0.25">
      <c r="A360" s="846" t="s">
        <v>404</v>
      </c>
      <c r="B360" s="1001">
        <v>41531</v>
      </c>
      <c r="C360" s="1001">
        <v>41895</v>
      </c>
      <c r="D360" s="1002">
        <v>840000</v>
      </c>
      <c r="E360" s="1002">
        <v>840000</v>
      </c>
      <c r="F360" s="1002">
        <v>0</v>
      </c>
    </row>
    <row r="361" spans="1:6" x14ac:dyDescent="0.25">
      <c r="A361" s="846" t="s">
        <v>166</v>
      </c>
      <c r="B361" s="1001"/>
      <c r="C361" s="1001"/>
      <c r="D361" s="1002"/>
      <c r="E361" s="1002"/>
      <c r="F361" s="1002"/>
    </row>
    <row r="362" spans="1:6" x14ac:dyDescent="0.25">
      <c r="A362" s="846" t="s">
        <v>1025</v>
      </c>
      <c r="B362" s="1001"/>
      <c r="C362" s="1001"/>
      <c r="D362" s="1002"/>
      <c r="E362" s="1002"/>
      <c r="F362" s="1002"/>
    </row>
    <row r="363" spans="1:6" ht="30" x14ac:dyDescent="0.25">
      <c r="A363" s="846" t="s">
        <v>333</v>
      </c>
      <c r="B363" s="1001">
        <v>41472</v>
      </c>
      <c r="C363" s="1001">
        <v>41714</v>
      </c>
      <c r="D363" s="1002">
        <v>38271000</v>
      </c>
      <c r="E363" s="1002">
        <v>38271000</v>
      </c>
      <c r="F363" s="1002">
        <v>0</v>
      </c>
    </row>
    <row r="364" spans="1:6" x14ac:dyDescent="0.25">
      <c r="A364" s="1005" t="s">
        <v>175</v>
      </c>
      <c r="B364" s="1003"/>
      <c r="C364" s="1003"/>
      <c r="D364" s="1004"/>
      <c r="E364" s="1004"/>
      <c r="F364" s="1004"/>
    </row>
    <row r="365" spans="1:6" x14ac:dyDescent="0.25">
      <c r="A365" s="846" t="s">
        <v>176</v>
      </c>
      <c r="B365" s="1003"/>
      <c r="C365" s="1003"/>
      <c r="D365" s="1004"/>
      <c r="E365" s="1004"/>
      <c r="F365" s="1004"/>
    </row>
    <row r="366" spans="1:6" ht="45" x14ac:dyDescent="0.25">
      <c r="A366" s="846" t="s">
        <v>475</v>
      </c>
      <c r="B366" s="1003">
        <v>41472</v>
      </c>
      <c r="C366" s="1003">
        <v>42082</v>
      </c>
      <c r="D366" s="1004">
        <v>4001000</v>
      </c>
      <c r="E366" s="1004">
        <v>4001000</v>
      </c>
      <c r="F366" s="1004">
        <v>0</v>
      </c>
    </row>
    <row r="367" spans="1:6" x14ac:dyDescent="0.25">
      <c r="A367" s="846" t="s">
        <v>197</v>
      </c>
      <c r="B367" s="1001"/>
      <c r="C367" s="1001"/>
      <c r="D367" s="1002"/>
      <c r="E367" s="1002"/>
      <c r="F367" s="1002"/>
    </row>
    <row r="368" spans="1:6" x14ac:dyDescent="0.25">
      <c r="A368" s="846" t="s">
        <v>198</v>
      </c>
      <c r="B368" s="1001"/>
      <c r="C368" s="1001"/>
      <c r="D368" s="1002"/>
      <c r="E368" s="1002"/>
      <c r="F368" s="1002"/>
    </row>
    <row r="369" spans="1:6" ht="45" x14ac:dyDescent="0.25">
      <c r="A369" s="846" t="s">
        <v>476</v>
      </c>
      <c r="B369" s="1001">
        <v>41548</v>
      </c>
      <c r="C369" s="1001">
        <v>41790</v>
      </c>
      <c r="D369" s="1002">
        <v>10222000</v>
      </c>
      <c r="E369" s="1002">
        <v>10208006</v>
      </c>
      <c r="F369" s="1002">
        <v>13994</v>
      </c>
    </row>
    <row r="370" spans="1:6" x14ac:dyDescent="0.25">
      <c r="A370" s="846" t="s">
        <v>167</v>
      </c>
      <c r="B370" s="1001"/>
      <c r="C370" s="1001"/>
      <c r="D370" s="1002"/>
      <c r="E370" s="1002"/>
      <c r="F370" s="1002"/>
    </row>
    <row r="371" spans="1:6" x14ac:dyDescent="0.25">
      <c r="A371" s="846" t="s">
        <v>1516</v>
      </c>
      <c r="B371" s="1001"/>
      <c r="C371" s="1001"/>
      <c r="D371" s="1002"/>
      <c r="E371" s="1002"/>
      <c r="F371" s="1002"/>
    </row>
    <row r="372" spans="1:6" ht="60" x14ac:dyDescent="0.25">
      <c r="A372" s="846" t="s">
        <v>361</v>
      </c>
      <c r="B372" s="1001">
        <v>41477</v>
      </c>
      <c r="C372" s="1001">
        <v>41691</v>
      </c>
      <c r="D372" s="1002">
        <v>23989000</v>
      </c>
      <c r="E372" s="1002">
        <v>23989000</v>
      </c>
      <c r="F372" s="1002">
        <v>0</v>
      </c>
    </row>
    <row r="373" spans="1:6" x14ac:dyDescent="0.25">
      <c r="A373" s="846" t="s">
        <v>178</v>
      </c>
      <c r="B373" s="1001"/>
      <c r="C373" s="1001"/>
      <c r="D373" s="1002"/>
      <c r="E373" s="1002"/>
      <c r="F373" s="1002"/>
    </row>
    <row r="374" spans="1:6" x14ac:dyDescent="0.25">
      <c r="A374" s="846" t="s">
        <v>33</v>
      </c>
      <c r="B374" s="1001"/>
      <c r="C374" s="1001"/>
      <c r="D374" s="1002"/>
      <c r="E374" s="1002"/>
      <c r="F374" s="1002"/>
    </row>
    <row r="375" spans="1:6" x14ac:dyDescent="0.25">
      <c r="A375" s="846" t="s">
        <v>477</v>
      </c>
      <c r="B375" s="1001">
        <v>41547</v>
      </c>
      <c r="C375" s="1001">
        <v>41911</v>
      </c>
      <c r="D375" s="1002">
        <v>795000</v>
      </c>
      <c r="E375" s="1002">
        <v>795000</v>
      </c>
      <c r="F375" s="1002">
        <v>0</v>
      </c>
    </row>
    <row r="376" spans="1:6" x14ac:dyDescent="0.25">
      <c r="A376" s="846" t="s">
        <v>189</v>
      </c>
      <c r="B376" s="1001"/>
      <c r="C376" s="1001"/>
      <c r="D376" s="1002"/>
      <c r="E376" s="1002"/>
      <c r="F376" s="1002"/>
    </row>
    <row r="377" spans="1:6" x14ac:dyDescent="0.25">
      <c r="A377" s="846" t="s">
        <v>13</v>
      </c>
      <c r="B377" s="1001"/>
      <c r="C377" s="1001"/>
      <c r="D377" s="1002"/>
      <c r="E377" s="1002"/>
      <c r="F377" s="1002"/>
    </row>
    <row r="378" spans="1:6" x14ac:dyDescent="0.25">
      <c r="A378" s="846" t="s">
        <v>478</v>
      </c>
      <c r="B378" s="1001">
        <v>41528</v>
      </c>
      <c r="C378" s="1001">
        <v>41892</v>
      </c>
      <c r="D378" s="1002">
        <v>936000</v>
      </c>
      <c r="E378" s="1002">
        <v>936000</v>
      </c>
      <c r="F378" s="1002">
        <v>0</v>
      </c>
    </row>
    <row r="379" spans="1:6" x14ac:dyDescent="0.25">
      <c r="A379" s="846" t="s">
        <v>168</v>
      </c>
      <c r="B379" s="1001"/>
      <c r="C379" s="1001"/>
      <c r="D379" s="1002"/>
      <c r="E379" s="1002"/>
      <c r="F379" s="1002"/>
    </row>
    <row r="380" spans="1:6" x14ac:dyDescent="0.25">
      <c r="A380" s="846" t="s">
        <v>169</v>
      </c>
      <c r="B380" s="1001"/>
      <c r="C380" s="1001"/>
      <c r="D380" s="1002"/>
      <c r="E380" s="1002"/>
      <c r="F380" s="1002"/>
    </row>
    <row r="381" spans="1:6" ht="45" x14ac:dyDescent="0.25">
      <c r="A381" s="846" t="s">
        <v>362</v>
      </c>
      <c r="B381" s="1001">
        <v>41494</v>
      </c>
      <c r="C381" s="1001">
        <v>41858</v>
      </c>
      <c r="D381" s="1002">
        <v>3847300</v>
      </c>
      <c r="E381" s="1002">
        <v>3847300</v>
      </c>
      <c r="F381" s="1002">
        <v>0</v>
      </c>
    </row>
    <row r="382" spans="1:6" x14ac:dyDescent="0.25">
      <c r="A382" s="846" t="s">
        <v>172</v>
      </c>
      <c r="B382" s="1001"/>
      <c r="C382" s="1001"/>
      <c r="D382" s="1002"/>
      <c r="E382" s="1002"/>
      <c r="F382" s="1002"/>
    </row>
    <row r="383" spans="1:6" x14ac:dyDescent="0.25">
      <c r="A383" s="846" t="s">
        <v>152</v>
      </c>
      <c r="B383" s="1001"/>
      <c r="C383" s="1001"/>
      <c r="D383" s="1002"/>
      <c r="E383" s="1002"/>
      <c r="F383" s="1002"/>
    </row>
    <row r="384" spans="1:6" ht="75" x14ac:dyDescent="0.25">
      <c r="A384" s="846" t="s">
        <v>364</v>
      </c>
      <c r="B384" s="1001">
        <v>41500</v>
      </c>
      <c r="C384" s="1001">
        <v>41864</v>
      </c>
      <c r="D384" s="1002">
        <v>60693200</v>
      </c>
      <c r="E384" s="1002">
        <v>59391828</v>
      </c>
      <c r="F384" s="1002">
        <v>1301372</v>
      </c>
    </row>
    <row r="385" spans="1:6" x14ac:dyDescent="0.25">
      <c r="A385" s="846" t="s">
        <v>173</v>
      </c>
      <c r="B385" s="1001"/>
      <c r="C385" s="1001"/>
      <c r="D385" s="1002"/>
      <c r="E385" s="1002"/>
      <c r="F385" s="1002"/>
    </row>
    <row r="386" spans="1:6" x14ac:dyDescent="0.25">
      <c r="A386" s="846" t="s">
        <v>174</v>
      </c>
      <c r="B386" s="1001"/>
      <c r="C386" s="1001"/>
      <c r="D386" s="1002"/>
      <c r="E386" s="1002"/>
      <c r="F386" s="1002"/>
    </row>
    <row r="387" spans="1:6" ht="60" x14ac:dyDescent="0.25">
      <c r="A387" s="846" t="s">
        <v>365</v>
      </c>
      <c r="B387" s="1001">
        <v>41512</v>
      </c>
      <c r="C387" s="1001">
        <v>41876</v>
      </c>
      <c r="D387" s="1002">
        <v>4393120</v>
      </c>
      <c r="E387" s="1002">
        <v>2578000</v>
      </c>
      <c r="F387" s="1002">
        <v>1815120</v>
      </c>
    </row>
    <row r="388" spans="1:6" x14ac:dyDescent="0.25">
      <c r="A388" s="846" t="s">
        <v>187</v>
      </c>
      <c r="B388" s="1001"/>
      <c r="C388" s="1001"/>
      <c r="D388" s="1002"/>
      <c r="E388" s="1002"/>
      <c r="F388" s="1002"/>
    </row>
    <row r="389" spans="1:6" x14ac:dyDescent="0.25">
      <c r="A389" s="846" t="s">
        <v>188</v>
      </c>
      <c r="B389" s="1001"/>
      <c r="C389" s="1001"/>
      <c r="D389" s="1002"/>
      <c r="E389" s="1002"/>
      <c r="F389" s="1002"/>
    </row>
    <row r="390" spans="1:6" ht="60" x14ac:dyDescent="0.25">
      <c r="A390" s="846" t="s">
        <v>479</v>
      </c>
      <c r="B390" s="1001">
        <v>41523</v>
      </c>
      <c r="C390" s="1001">
        <v>42099</v>
      </c>
      <c r="D390" s="1002">
        <v>25204000</v>
      </c>
      <c r="E390" s="1002">
        <v>25201450</v>
      </c>
      <c r="F390" s="1002">
        <v>2550</v>
      </c>
    </row>
    <row r="391" spans="1:6" x14ac:dyDescent="0.25">
      <c r="A391" s="1005" t="s">
        <v>183</v>
      </c>
      <c r="B391" s="1003"/>
      <c r="C391" s="1003"/>
      <c r="D391" s="1004"/>
      <c r="E391" s="1004"/>
      <c r="F391" s="1004"/>
    </row>
    <row r="392" spans="1:6" x14ac:dyDescent="0.25">
      <c r="A392" s="846" t="s">
        <v>184</v>
      </c>
      <c r="B392" s="1003"/>
      <c r="C392" s="1003"/>
      <c r="D392" s="1004"/>
      <c r="E392" s="1004"/>
      <c r="F392" s="1004"/>
    </row>
    <row r="393" spans="1:6" ht="75" x14ac:dyDescent="0.25">
      <c r="A393" s="846" t="s">
        <v>480</v>
      </c>
      <c r="B393" s="1003">
        <v>41506</v>
      </c>
      <c r="C393" s="1003">
        <v>42055</v>
      </c>
      <c r="D393" s="1004">
        <v>130384697</v>
      </c>
      <c r="E393" s="1004">
        <v>96359635</v>
      </c>
      <c r="F393" s="1004">
        <v>34025062</v>
      </c>
    </row>
    <row r="394" spans="1:6" x14ac:dyDescent="0.25">
      <c r="A394" s="846" t="s">
        <v>185</v>
      </c>
      <c r="B394" s="1001"/>
      <c r="C394" s="1001"/>
      <c r="D394" s="1002"/>
      <c r="E394" s="1002"/>
      <c r="F394" s="1002"/>
    </row>
    <row r="395" spans="1:6" x14ac:dyDescent="0.25">
      <c r="A395" s="846" t="s">
        <v>186</v>
      </c>
      <c r="B395" s="1001"/>
      <c r="C395" s="1001"/>
      <c r="D395" s="1002"/>
      <c r="E395" s="1002"/>
      <c r="F395" s="1002"/>
    </row>
    <row r="396" spans="1:6" ht="75" x14ac:dyDescent="0.25">
      <c r="A396" s="846" t="s">
        <v>481</v>
      </c>
      <c r="B396" s="1001">
        <v>41533</v>
      </c>
      <c r="C396" s="1001">
        <v>41897</v>
      </c>
      <c r="D396" s="1002">
        <v>45056000</v>
      </c>
      <c r="E396" s="1002">
        <v>25056000</v>
      </c>
      <c r="F396" s="1002">
        <v>20000000</v>
      </c>
    </row>
    <row r="397" spans="1:6" x14ac:dyDescent="0.25">
      <c r="A397" s="846" t="s">
        <v>195</v>
      </c>
      <c r="B397" s="1001"/>
      <c r="C397" s="1001"/>
      <c r="D397" s="1002"/>
      <c r="E397" s="1002"/>
      <c r="F397" s="1002"/>
    </row>
    <row r="398" spans="1:6" x14ac:dyDescent="0.25">
      <c r="A398" s="846" t="s">
        <v>1037</v>
      </c>
      <c r="B398" s="1001"/>
      <c r="C398" s="1001"/>
      <c r="D398" s="1002"/>
      <c r="E398" s="1002"/>
      <c r="F398" s="1002"/>
    </row>
    <row r="399" spans="1:6" ht="90" x14ac:dyDescent="0.25">
      <c r="A399" s="846" t="s">
        <v>482</v>
      </c>
      <c r="B399" s="1001">
        <v>41541</v>
      </c>
      <c r="C399" s="1001">
        <v>41782</v>
      </c>
      <c r="D399" s="1002">
        <v>114225288</v>
      </c>
      <c r="E399" s="1002">
        <v>114217068</v>
      </c>
      <c r="F399" s="1002">
        <v>8220</v>
      </c>
    </row>
    <row r="400" spans="1:6" x14ac:dyDescent="0.25">
      <c r="A400" s="846" t="s">
        <v>191</v>
      </c>
      <c r="B400" s="1001"/>
      <c r="C400" s="1001"/>
      <c r="D400" s="1002"/>
      <c r="E400" s="1002"/>
      <c r="F400" s="1002"/>
    </row>
    <row r="401" spans="1:6" x14ac:dyDescent="0.25">
      <c r="A401" s="846" t="s">
        <v>192</v>
      </c>
      <c r="B401" s="1001"/>
      <c r="C401" s="1001"/>
      <c r="D401" s="1002"/>
      <c r="E401" s="1002"/>
      <c r="F401" s="1002"/>
    </row>
    <row r="402" spans="1:6" ht="60" x14ac:dyDescent="0.25">
      <c r="A402" s="846" t="s">
        <v>483</v>
      </c>
      <c r="B402" s="1001">
        <v>41555</v>
      </c>
      <c r="C402" s="1001">
        <v>41615</v>
      </c>
      <c r="D402" s="1002">
        <v>4715000</v>
      </c>
      <c r="E402" s="1002">
        <v>4715000</v>
      </c>
      <c r="F402" s="1002">
        <v>0</v>
      </c>
    </row>
    <row r="403" spans="1:6" x14ac:dyDescent="0.25">
      <c r="A403" s="846" t="s">
        <v>199</v>
      </c>
      <c r="B403" s="1001"/>
      <c r="C403" s="1001"/>
      <c r="D403" s="1002"/>
      <c r="E403" s="1002"/>
      <c r="F403" s="1002"/>
    </row>
    <row r="404" spans="1:6" x14ac:dyDescent="0.25">
      <c r="A404" s="846" t="s">
        <v>1038</v>
      </c>
      <c r="B404" s="1001"/>
      <c r="C404" s="1001"/>
      <c r="D404" s="1002"/>
      <c r="E404" s="1002"/>
      <c r="F404" s="1002"/>
    </row>
    <row r="405" spans="1:6" ht="45" x14ac:dyDescent="0.25">
      <c r="A405" s="846" t="s">
        <v>484</v>
      </c>
      <c r="B405" s="1001">
        <v>41556</v>
      </c>
      <c r="C405" s="1001">
        <v>41890</v>
      </c>
      <c r="D405" s="1002">
        <v>457000000</v>
      </c>
      <c r="E405" s="1002">
        <v>416287285</v>
      </c>
      <c r="F405" s="1002">
        <v>40712715</v>
      </c>
    </row>
    <row r="406" spans="1:6" x14ac:dyDescent="0.25">
      <c r="A406" s="846" t="s">
        <v>177</v>
      </c>
      <c r="B406" s="1001"/>
      <c r="C406" s="1001"/>
      <c r="D406" s="1002"/>
      <c r="E406" s="1002"/>
      <c r="F406" s="1002"/>
    </row>
    <row r="407" spans="1:6" x14ac:dyDescent="0.25">
      <c r="A407" s="846" t="s">
        <v>1039</v>
      </c>
      <c r="B407" s="1001"/>
      <c r="C407" s="1001"/>
      <c r="D407" s="1002"/>
      <c r="E407" s="1002"/>
      <c r="F407" s="1002"/>
    </row>
    <row r="408" spans="1:6" ht="75" x14ac:dyDescent="0.25">
      <c r="A408" s="846" t="s">
        <v>485</v>
      </c>
      <c r="B408" s="1001">
        <v>41554</v>
      </c>
      <c r="C408" s="1001">
        <v>41645</v>
      </c>
      <c r="D408" s="1002">
        <v>3356320</v>
      </c>
      <c r="E408" s="1002">
        <v>3356320</v>
      </c>
      <c r="F408" s="1002">
        <v>0</v>
      </c>
    </row>
    <row r="409" spans="1:6" x14ac:dyDescent="0.25">
      <c r="A409" s="1005" t="s">
        <v>193</v>
      </c>
      <c r="B409" s="1003"/>
      <c r="C409" s="1003"/>
      <c r="D409" s="1004"/>
      <c r="E409" s="1004"/>
      <c r="F409" s="1004"/>
    </row>
    <row r="410" spans="1:6" x14ac:dyDescent="0.25">
      <c r="A410" s="846" t="s">
        <v>194</v>
      </c>
      <c r="B410" s="1003"/>
      <c r="C410" s="1003"/>
      <c r="D410" s="1004"/>
      <c r="E410" s="1004"/>
      <c r="F410" s="1004"/>
    </row>
    <row r="411" spans="1:6" ht="45" x14ac:dyDescent="0.25">
      <c r="A411" s="846" t="s">
        <v>486</v>
      </c>
      <c r="B411" s="1003">
        <v>41555</v>
      </c>
      <c r="C411" s="1003">
        <v>41935</v>
      </c>
      <c r="D411" s="1004">
        <v>19965572</v>
      </c>
      <c r="E411" s="1004">
        <v>19965572</v>
      </c>
      <c r="F411" s="1004">
        <v>0</v>
      </c>
    </row>
    <row r="412" spans="1:6" x14ac:dyDescent="0.25">
      <c r="A412" s="1005" t="s">
        <v>196</v>
      </c>
      <c r="B412" s="1003"/>
      <c r="C412" s="1003"/>
      <c r="D412" s="1004"/>
      <c r="E412" s="1004"/>
      <c r="F412" s="1004"/>
    </row>
    <row r="413" spans="1:6" x14ac:dyDescent="0.25">
      <c r="A413" s="846" t="s">
        <v>22</v>
      </c>
      <c r="B413" s="1003"/>
      <c r="C413" s="1003"/>
      <c r="D413" s="1004"/>
      <c r="E413" s="1004"/>
      <c r="F413" s="1004"/>
    </row>
    <row r="414" spans="1:6" ht="30" x14ac:dyDescent="0.25">
      <c r="A414" s="846" t="s">
        <v>487</v>
      </c>
      <c r="B414" s="1003">
        <v>41562</v>
      </c>
      <c r="C414" s="1003">
        <v>41926</v>
      </c>
      <c r="D414" s="1004">
        <v>38280000</v>
      </c>
      <c r="E414" s="1004">
        <v>38280000</v>
      </c>
      <c r="F414" s="1004">
        <v>0</v>
      </c>
    </row>
    <row r="415" spans="1:6" x14ac:dyDescent="0.25">
      <c r="A415" s="846" t="s">
        <v>200</v>
      </c>
      <c r="B415" s="1001"/>
      <c r="C415" s="1001"/>
      <c r="D415" s="1002"/>
      <c r="E415" s="1002"/>
      <c r="F415" s="1002"/>
    </row>
    <row r="416" spans="1:6" x14ac:dyDescent="0.25">
      <c r="A416" s="846" t="s">
        <v>201</v>
      </c>
      <c r="B416" s="1001"/>
      <c r="C416" s="1001"/>
      <c r="D416" s="1002"/>
      <c r="E416" s="1002"/>
      <c r="F416" s="1002"/>
    </row>
    <row r="417" spans="1:6" ht="45" x14ac:dyDescent="0.25">
      <c r="A417" s="846" t="s">
        <v>488</v>
      </c>
      <c r="B417" s="1001">
        <v>41562</v>
      </c>
      <c r="C417" s="1001">
        <v>41592</v>
      </c>
      <c r="D417" s="1002">
        <v>26073552</v>
      </c>
      <c r="E417" s="1002">
        <v>26073552</v>
      </c>
      <c r="F417" s="1002">
        <v>0</v>
      </c>
    </row>
    <row r="418" spans="1:6" x14ac:dyDescent="0.25">
      <c r="A418" s="846" t="s">
        <v>204</v>
      </c>
      <c r="B418" s="1001"/>
      <c r="C418" s="1001"/>
      <c r="D418" s="1002"/>
      <c r="E418" s="1002"/>
      <c r="F418" s="1002"/>
    </row>
    <row r="419" spans="1:6" x14ac:dyDescent="0.25">
      <c r="A419" s="846" t="s">
        <v>205</v>
      </c>
      <c r="B419" s="1001"/>
      <c r="C419" s="1001"/>
      <c r="D419" s="1002"/>
      <c r="E419" s="1002"/>
      <c r="F419" s="1002"/>
    </row>
    <row r="420" spans="1:6" ht="45" x14ac:dyDescent="0.25">
      <c r="A420" s="846" t="s">
        <v>489</v>
      </c>
      <c r="B420" s="1001">
        <v>41570</v>
      </c>
      <c r="C420" s="1001">
        <v>41692</v>
      </c>
      <c r="D420" s="1002">
        <v>17262940</v>
      </c>
      <c r="E420" s="1002">
        <v>17262940</v>
      </c>
      <c r="F420" s="1002">
        <v>0</v>
      </c>
    </row>
    <row r="421" spans="1:6" x14ac:dyDescent="0.25">
      <c r="A421" s="1005" t="s">
        <v>206</v>
      </c>
      <c r="B421" s="1003"/>
      <c r="C421" s="1003"/>
      <c r="D421" s="1004"/>
      <c r="E421" s="1004"/>
      <c r="F421" s="1004"/>
    </row>
    <row r="422" spans="1:6" x14ac:dyDescent="0.25">
      <c r="A422" s="846" t="s">
        <v>1020</v>
      </c>
      <c r="B422" s="1003"/>
      <c r="C422" s="1003"/>
      <c r="D422" s="1004"/>
      <c r="E422" s="1004"/>
      <c r="F422" s="1004"/>
    </row>
    <row r="423" spans="1:6" ht="30" x14ac:dyDescent="0.25">
      <c r="A423" s="846" t="s">
        <v>490</v>
      </c>
      <c r="B423" s="1003">
        <v>41575</v>
      </c>
      <c r="C423" s="1003">
        <v>41939</v>
      </c>
      <c r="D423" s="1004">
        <v>810000</v>
      </c>
      <c r="E423" s="1004">
        <v>810000</v>
      </c>
      <c r="F423" s="1004">
        <v>0</v>
      </c>
    </row>
    <row r="424" spans="1:6" x14ac:dyDescent="0.25">
      <c r="A424" s="846" t="s">
        <v>211</v>
      </c>
      <c r="B424" s="1001"/>
      <c r="C424" s="1001"/>
      <c r="D424" s="1002"/>
      <c r="E424" s="1002"/>
      <c r="F424" s="1002"/>
    </row>
    <row r="425" spans="1:6" x14ac:dyDescent="0.25">
      <c r="A425" s="846" t="s">
        <v>212</v>
      </c>
      <c r="B425" s="1001"/>
      <c r="C425" s="1001"/>
      <c r="D425" s="1002"/>
      <c r="E425" s="1002"/>
      <c r="F425" s="1002"/>
    </row>
    <row r="426" spans="1:6" ht="75" x14ac:dyDescent="0.25">
      <c r="A426" s="846" t="s">
        <v>491</v>
      </c>
      <c r="B426" s="1001">
        <v>41590</v>
      </c>
      <c r="C426" s="1001">
        <v>41650</v>
      </c>
      <c r="D426" s="1002">
        <v>5545000</v>
      </c>
      <c r="E426" s="1002">
        <v>5545000</v>
      </c>
      <c r="F426" s="1002">
        <v>0</v>
      </c>
    </row>
    <row r="427" spans="1:6" x14ac:dyDescent="0.25">
      <c r="A427" s="846" t="s">
        <v>209</v>
      </c>
      <c r="B427" s="1001"/>
      <c r="C427" s="1001"/>
      <c r="D427" s="1002"/>
      <c r="E427" s="1002"/>
      <c r="F427" s="1002"/>
    </row>
    <row r="428" spans="1:6" x14ac:dyDescent="0.25">
      <c r="A428" s="846" t="s">
        <v>210</v>
      </c>
      <c r="B428" s="1001"/>
      <c r="C428" s="1001"/>
      <c r="D428" s="1002"/>
      <c r="E428" s="1002"/>
      <c r="F428" s="1002"/>
    </row>
    <row r="429" spans="1:6" ht="75" x14ac:dyDescent="0.25">
      <c r="A429" s="846" t="s">
        <v>1446</v>
      </c>
      <c r="B429" s="1001">
        <v>41590</v>
      </c>
      <c r="C429" s="1001">
        <v>41650</v>
      </c>
      <c r="D429" s="1002">
        <v>19360400</v>
      </c>
      <c r="E429" s="1002">
        <v>19360400</v>
      </c>
      <c r="F429" s="1002">
        <v>0</v>
      </c>
    </row>
    <row r="430" spans="1:6" x14ac:dyDescent="0.25">
      <c r="A430" s="846" t="s">
        <v>207</v>
      </c>
      <c r="B430" s="1001"/>
      <c r="C430" s="1001"/>
      <c r="D430" s="1002"/>
      <c r="E430" s="1002"/>
      <c r="F430" s="1002"/>
    </row>
    <row r="431" spans="1:6" x14ac:dyDescent="0.25">
      <c r="A431" s="846" t="s">
        <v>208</v>
      </c>
      <c r="B431" s="1001"/>
      <c r="C431" s="1001"/>
      <c r="D431" s="1002"/>
      <c r="E431" s="1002"/>
      <c r="F431" s="1002"/>
    </row>
    <row r="432" spans="1:6" ht="30" x14ac:dyDescent="0.25">
      <c r="A432" s="846" t="s">
        <v>492</v>
      </c>
      <c r="B432" s="1001">
        <v>41572</v>
      </c>
      <c r="C432" s="1001">
        <v>41814</v>
      </c>
      <c r="D432" s="1002">
        <v>502280800</v>
      </c>
      <c r="E432" s="1002">
        <v>502247588</v>
      </c>
      <c r="F432" s="1002">
        <v>33212</v>
      </c>
    </row>
    <row r="433" spans="1:6" x14ac:dyDescent="0.25">
      <c r="A433" s="1005" t="s">
        <v>213</v>
      </c>
      <c r="B433" s="1003"/>
      <c r="C433" s="1003"/>
      <c r="D433" s="1004"/>
      <c r="E433" s="1004"/>
      <c r="F433" s="1004"/>
    </row>
    <row r="434" spans="1:6" x14ac:dyDescent="0.25">
      <c r="A434" s="846" t="s">
        <v>1040</v>
      </c>
      <c r="B434" s="1003"/>
      <c r="C434" s="1003"/>
      <c r="D434" s="1004"/>
      <c r="E434" s="1004"/>
      <c r="F434" s="1004"/>
    </row>
    <row r="435" spans="1:6" ht="105" x14ac:dyDescent="0.25">
      <c r="A435" s="846" t="s">
        <v>493</v>
      </c>
      <c r="B435" s="1003">
        <v>41580</v>
      </c>
      <c r="C435" s="1003">
        <v>41975</v>
      </c>
      <c r="D435" s="1004">
        <v>692839272</v>
      </c>
      <c r="E435" s="1004">
        <v>678164443</v>
      </c>
      <c r="F435" s="1004">
        <v>14674829</v>
      </c>
    </row>
    <row r="436" spans="1:6" x14ac:dyDescent="0.25">
      <c r="A436" s="1005" t="s">
        <v>258</v>
      </c>
      <c r="B436" s="1003"/>
      <c r="C436" s="1003"/>
      <c r="D436" s="1004"/>
      <c r="E436" s="1004"/>
      <c r="F436" s="1004"/>
    </row>
    <row r="437" spans="1:6" x14ac:dyDescent="0.25">
      <c r="A437" s="846" t="s">
        <v>259</v>
      </c>
      <c r="B437" s="1003"/>
      <c r="C437" s="1003"/>
      <c r="D437" s="1004"/>
      <c r="E437" s="1004"/>
      <c r="F437" s="1004"/>
    </row>
    <row r="438" spans="1:6" ht="60" x14ac:dyDescent="0.25">
      <c r="A438" s="846" t="s">
        <v>494</v>
      </c>
      <c r="B438" s="1003">
        <v>41696</v>
      </c>
      <c r="C438" s="1003">
        <v>42425</v>
      </c>
      <c r="D438" s="1004">
        <v>0</v>
      </c>
      <c r="E438" s="1004">
        <v>0</v>
      </c>
      <c r="F438" s="1004">
        <v>0</v>
      </c>
    </row>
    <row r="439" spans="1:6" x14ac:dyDescent="0.25">
      <c r="A439" s="1005" t="s">
        <v>309</v>
      </c>
      <c r="B439" s="1003"/>
      <c r="C439" s="1003"/>
      <c r="D439" s="1004"/>
      <c r="E439" s="1004"/>
      <c r="F439" s="1004"/>
    </row>
    <row r="440" spans="1:6" x14ac:dyDescent="0.25">
      <c r="A440" s="846" t="s">
        <v>77</v>
      </c>
      <c r="B440" s="1001"/>
      <c r="C440" s="1001"/>
      <c r="D440" s="1002"/>
      <c r="E440" s="1002"/>
      <c r="F440" s="1002"/>
    </row>
    <row r="441" spans="1:6" ht="60" x14ac:dyDescent="0.25">
      <c r="A441" s="846" t="s">
        <v>1890</v>
      </c>
      <c r="B441" s="1001">
        <v>41864</v>
      </c>
      <c r="C441" s="1001">
        <v>42321</v>
      </c>
      <c r="D441" s="1002">
        <v>398614000</v>
      </c>
      <c r="E441" s="1002">
        <v>398614000</v>
      </c>
      <c r="F441" s="1002">
        <v>0</v>
      </c>
    </row>
    <row r="442" spans="1:6" x14ac:dyDescent="0.25">
      <c r="A442" s="846" t="s">
        <v>234</v>
      </c>
      <c r="B442" s="1001"/>
      <c r="C442" s="1001"/>
      <c r="D442" s="1002"/>
      <c r="E442" s="1002"/>
      <c r="F442" s="1002"/>
    </row>
    <row r="443" spans="1:6" x14ac:dyDescent="0.25">
      <c r="A443" s="846" t="s">
        <v>235</v>
      </c>
      <c r="B443" s="1001"/>
      <c r="C443" s="1001"/>
      <c r="D443" s="1002"/>
      <c r="E443" s="1002"/>
      <c r="F443" s="1002"/>
    </row>
    <row r="444" spans="1:6" ht="60" x14ac:dyDescent="0.25">
      <c r="A444" s="846" t="s">
        <v>367</v>
      </c>
      <c r="B444" s="1001">
        <v>41659</v>
      </c>
      <c r="C444" s="1001">
        <v>41748</v>
      </c>
      <c r="D444" s="1002">
        <v>430036764</v>
      </c>
      <c r="E444" s="1002">
        <v>430036600</v>
      </c>
      <c r="F444" s="1002">
        <v>164</v>
      </c>
    </row>
    <row r="445" spans="1:6" x14ac:dyDescent="0.25">
      <c r="A445" s="846" t="s">
        <v>214</v>
      </c>
      <c r="B445" s="1001"/>
      <c r="C445" s="1001"/>
      <c r="D445" s="1002"/>
      <c r="E445" s="1002"/>
      <c r="F445" s="1002"/>
    </row>
    <row r="446" spans="1:6" x14ac:dyDescent="0.25">
      <c r="A446" s="846" t="s">
        <v>31</v>
      </c>
      <c r="B446" s="1001"/>
      <c r="C446" s="1001"/>
      <c r="D446" s="1002"/>
      <c r="E446" s="1002"/>
      <c r="F446" s="1002"/>
    </row>
    <row r="447" spans="1:6" ht="60" x14ac:dyDescent="0.25">
      <c r="A447" s="846" t="s">
        <v>495</v>
      </c>
      <c r="B447" s="1001">
        <v>41620</v>
      </c>
      <c r="C447" s="1001">
        <v>41681</v>
      </c>
      <c r="D447" s="1002">
        <v>6000000</v>
      </c>
      <c r="E447" s="1002">
        <v>6000000</v>
      </c>
      <c r="F447" s="1002">
        <v>0</v>
      </c>
    </row>
    <row r="448" spans="1:6" x14ac:dyDescent="0.25">
      <c r="A448" s="1005" t="s">
        <v>232</v>
      </c>
      <c r="B448" s="1003"/>
      <c r="C448" s="1003"/>
      <c r="D448" s="1004"/>
      <c r="E448" s="1004"/>
      <c r="F448" s="1004"/>
    </row>
    <row r="449" spans="1:6" x14ac:dyDescent="0.25">
      <c r="A449" s="846" t="s">
        <v>233</v>
      </c>
      <c r="B449" s="1003"/>
      <c r="C449" s="1003"/>
      <c r="D449" s="1004"/>
      <c r="E449" s="1004"/>
      <c r="F449" s="1004"/>
    </row>
    <row r="450" spans="1:6" ht="60" x14ac:dyDescent="0.25">
      <c r="A450" s="846" t="s">
        <v>496</v>
      </c>
      <c r="B450" s="1003">
        <v>41641</v>
      </c>
      <c r="C450" s="1003">
        <v>42005</v>
      </c>
      <c r="D450" s="1004">
        <v>7937504</v>
      </c>
      <c r="E450" s="1004">
        <v>5992064</v>
      </c>
      <c r="F450" s="1004">
        <v>1945440</v>
      </c>
    </row>
    <row r="451" spans="1:6" x14ac:dyDescent="0.25">
      <c r="A451" s="846" t="s">
        <v>215</v>
      </c>
      <c r="B451" s="1001"/>
      <c r="C451" s="1001"/>
      <c r="D451" s="1002"/>
      <c r="E451" s="1002"/>
      <c r="F451" s="1002"/>
    </row>
    <row r="452" spans="1:6" x14ac:dyDescent="0.25">
      <c r="A452" s="846" t="s">
        <v>1599</v>
      </c>
      <c r="B452" s="1001"/>
      <c r="C452" s="1001"/>
      <c r="D452" s="1002"/>
      <c r="E452" s="1002"/>
      <c r="F452" s="1002"/>
    </row>
    <row r="453" spans="1:6" ht="45" x14ac:dyDescent="0.25">
      <c r="A453" s="846" t="s">
        <v>1447</v>
      </c>
      <c r="B453" s="1001">
        <v>41612</v>
      </c>
      <c r="C453" s="1001">
        <v>41658</v>
      </c>
      <c r="D453" s="1002">
        <v>15000000</v>
      </c>
      <c r="E453" s="1002">
        <v>15000000</v>
      </c>
      <c r="F453" s="1002">
        <v>0</v>
      </c>
    </row>
    <row r="454" spans="1:6" x14ac:dyDescent="0.25">
      <c r="A454" s="1005" t="s">
        <v>216</v>
      </c>
      <c r="B454" s="1003"/>
      <c r="C454" s="1003"/>
      <c r="D454" s="1004"/>
      <c r="E454" s="1004"/>
      <c r="F454" s="1004"/>
    </row>
    <row r="455" spans="1:6" x14ac:dyDescent="0.25">
      <c r="A455" s="846" t="s">
        <v>217</v>
      </c>
      <c r="B455" s="1003"/>
      <c r="C455" s="1003"/>
      <c r="D455" s="1004"/>
      <c r="E455" s="1004"/>
      <c r="F455" s="1004"/>
    </row>
    <row r="456" spans="1:6" ht="45" x14ac:dyDescent="0.25">
      <c r="A456" s="846" t="s">
        <v>1129</v>
      </c>
      <c r="B456" s="1001">
        <v>41621</v>
      </c>
      <c r="C456" s="1001">
        <v>41985</v>
      </c>
      <c r="D456" s="1002">
        <v>452974000</v>
      </c>
      <c r="E456" s="1002">
        <v>355062557</v>
      </c>
      <c r="F456" s="1002">
        <v>97911443</v>
      </c>
    </row>
    <row r="457" spans="1:6" x14ac:dyDescent="0.25">
      <c r="A457" s="846" t="s">
        <v>218</v>
      </c>
      <c r="B457" s="1001"/>
      <c r="C457" s="1001"/>
      <c r="D457" s="1002"/>
      <c r="E457" s="1002"/>
      <c r="F457" s="1002"/>
    </row>
    <row r="458" spans="1:6" x14ac:dyDescent="0.25">
      <c r="A458" s="846" t="s">
        <v>219</v>
      </c>
      <c r="B458" s="1001"/>
      <c r="C458" s="1001"/>
      <c r="D458" s="1002"/>
      <c r="E458" s="1002"/>
      <c r="F458" s="1002"/>
    </row>
    <row r="459" spans="1:6" ht="60" x14ac:dyDescent="0.25">
      <c r="A459" s="846" t="s">
        <v>366</v>
      </c>
      <c r="B459" s="1001">
        <v>41647</v>
      </c>
      <c r="C459" s="1001">
        <v>41980</v>
      </c>
      <c r="D459" s="1002">
        <v>95000000</v>
      </c>
      <c r="E459" s="1002">
        <v>88983693</v>
      </c>
      <c r="F459" s="1002">
        <v>6016307</v>
      </c>
    </row>
    <row r="460" spans="1:6" x14ac:dyDescent="0.25">
      <c r="A460" s="846" t="s">
        <v>220</v>
      </c>
      <c r="B460" s="1001"/>
      <c r="C460" s="1001"/>
      <c r="D460" s="1002"/>
      <c r="E460" s="1002"/>
      <c r="F460" s="1002"/>
    </row>
    <row r="461" spans="1:6" x14ac:dyDescent="0.25">
      <c r="A461" s="846" t="s">
        <v>1150</v>
      </c>
      <c r="B461" s="1001"/>
      <c r="C461" s="1001"/>
      <c r="D461" s="1002"/>
      <c r="E461" s="1002"/>
      <c r="F461" s="1002"/>
    </row>
    <row r="462" spans="1:6" x14ac:dyDescent="0.25">
      <c r="A462" s="846" t="s">
        <v>497</v>
      </c>
      <c r="B462" s="1001">
        <v>41626</v>
      </c>
      <c r="C462" s="1001">
        <v>41641</v>
      </c>
      <c r="D462" s="1002">
        <v>63128000</v>
      </c>
      <c r="E462" s="1002">
        <v>63128000</v>
      </c>
      <c r="F462" s="1002">
        <v>0</v>
      </c>
    </row>
    <row r="463" spans="1:6" x14ac:dyDescent="0.25">
      <c r="A463" s="846" t="s">
        <v>227</v>
      </c>
      <c r="B463" s="1001"/>
      <c r="C463" s="1001"/>
      <c r="D463" s="1002"/>
      <c r="E463" s="1002"/>
      <c r="F463" s="1002"/>
    </row>
    <row r="464" spans="1:6" x14ac:dyDescent="0.25">
      <c r="A464" s="846" t="s">
        <v>228</v>
      </c>
      <c r="B464" s="1001"/>
      <c r="C464" s="1001"/>
      <c r="D464" s="1002"/>
      <c r="E464" s="1002"/>
      <c r="F464" s="1002"/>
    </row>
    <row r="465" spans="1:6" ht="45" x14ac:dyDescent="0.25">
      <c r="A465" s="846" t="s">
        <v>498</v>
      </c>
      <c r="B465" s="1001">
        <v>41628</v>
      </c>
      <c r="C465" s="1001">
        <v>41658</v>
      </c>
      <c r="D465" s="1002">
        <v>5000000</v>
      </c>
      <c r="E465" s="1002">
        <v>5000000</v>
      </c>
      <c r="F465" s="1002">
        <v>0</v>
      </c>
    </row>
    <row r="466" spans="1:6" x14ac:dyDescent="0.25">
      <c r="A466" s="846" t="s">
        <v>223</v>
      </c>
      <c r="B466" s="1001"/>
      <c r="C466" s="1001"/>
      <c r="D466" s="1002"/>
      <c r="E466" s="1002"/>
      <c r="F466" s="1002"/>
    </row>
    <row r="467" spans="1:6" x14ac:dyDescent="0.25">
      <c r="A467" s="846" t="s">
        <v>224</v>
      </c>
      <c r="B467" s="1001"/>
      <c r="C467" s="1001"/>
      <c r="D467" s="1002"/>
      <c r="E467" s="1002"/>
      <c r="F467" s="1002"/>
    </row>
    <row r="468" spans="1:6" ht="45" x14ac:dyDescent="0.25">
      <c r="A468" s="846" t="s">
        <v>498</v>
      </c>
      <c r="B468" s="1001">
        <v>41628</v>
      </c>
      <c r="C468" s="1001">
        <v>41658</v>
      </c>
      <c r="D468" s="1002">
        <v>5000000</v>
      </c>
      <c r="E468" s="1002">
        <v>5000000</v>
      </c>
      <c r="F468" s="1002">
        <v>0</v>
      </c>
    </row>
    <row r="469" spans="1:6" x14ac:dyDescent="0.25">
      <c r="A469" s="846" t="s">
        <v>231</v>
      </c>
      <c r="B469" s="1001"/>
      <c r="C469" s="1001"/>
      <c r="D469" s="1002"/>
      <c r="E469" s="1002"/>
      <c r="F469" s="1002"/>
    </row>
    <row r="470" spans="1:6" x14ac:dyDescent="0.25">
      <c r="A470" s="846" t="s">
        <v>1042</v>
      </c>
      <c r="B470" s="1001"/>
      <c r="C470" s="1001"/>
      <c r="D470" s="1002"/>
      <c r="E470" s="1002"/>
      <c r="F470" s="1002"/>
    </row>
    <row r="471" spans="1:6" ht="60" x14ac:dyDescent="0.25">
      <c r="A471" s="846" t="s">
        <v>499</v>
      </c>
      <c r="B471" s="1001">
        <v>41647</v>
      </c>
      <c r="C471" s="1001">
        <v>41797</v>
      </c>
      <c r="D471" s="1002">
        <v>70000000</v>
      </c>
      <c r="E471" s="1002">
        <v>69658711</v>
      </c>
      <c r="F471" s="1002">
        <v>341289</v>
      </c>
    </row>
    <row r="472" spans="1:6" x14ac:dyDescent="0.25">
      <c r="A472" s="846" t="s">
        <v>225</v>
      </c>
      <c r="B472" s="1001"/>
      <c r="C472" s="1001"/>
      <c r="D472" s="1002"/>
      <c r="E472" s="1002"/>
      <c r="F472" s="1002"/>
    </row>
    <row r="473" spans="1:6" x14ac:dyDescent="0.25">
      <c r="A473" s="846" t="s">
        <v>226</v>
      </c>
      <c r="B473" s="1001"/>
      <c r="C473" s="1001"/>
      <c r="D473" s="1002"/>
      <c r="E473" s="1002"/>
      <c r="F473" s="1002"/>
    </row>
    <row r="474" spans="1:6" ht="45" x14ac:dyDescent="0.25">
      <c r="A474" s="846" t="s">
        <v>498</v>
      </c>
      <c r="B474" s="1001">
        <v>41628</v>
      </c>
      <c r="C474" s="1001">
        <v>41658</v>
      </c>
      <c r="D474" s="1002">
        <v>5000000</v>
      </c>
      <c r="E474" s="1002">
        <v>5000000</v>
      </c>
      <c r="F474" s="1002">
        <v>0</v>
      </c>
    </row>
    <row r="475" spans="1:6" x14ac:dyDescent="0.25">
      <c r="A475" s="846" t="s">
        <v>221</v>
      </c>
      <c r="B475" s="1001"/>
      <c r="C475" s="1001"/>
      <c r="D475" s="1002"/>
      <c r="E475" s="1002"/>
      <c r="F475" s="1002"/>
    </row>
    <row r="476" spans="1:6" x14ac:dyDescent="0.25">
      <c r="A476" s="846" t="s">
        <v>222</v>
      </c>
      <c r="B476" s="1001">
        <v>41628</v>
      </c>
      <c r="C476" s="1001">
        <v>41658</v>
      </c>
      <c r="D476" s="1002">
        <v>5000000</v>
      </c>
      <c r="E476" s="1002">
        <v>5000000</v>
      </c>
      <c r="F476" s="1002">
        <v>0</v>
      </c>
    </row>
    <row r="477" spans="1:6" x14ac:dyDescent="0.25">
      <c r="A477" s="846" t="s">
        <v>242</v>
      </c>
      <c r="B477" s="1001"/>
      <c r="C477" s="1001"/>
      <c r="D477" s="1002"/>
      <c r="E477" s="1002"/>
      <c r="F477" s="1002"/>
    </row>
    <row r="478" spans="1:6" x14ac:dyDescent="0.25">
      <c r="A478" s="846" t="s">
        <v>235</v>
      </c>
      <c r="B478" s="1001"/>
      <c r="C478" s="1001"/>
      <c r="D478" s="1002"/>
      <c r="E478" s="1002"/>
      <c r="F478" s="1002"/>
    </row>
    <row r="479" spans="1:6" ht="45" x14ac:dyDescent="0.25">
      <c r="A479" s="846" t="s">
        <v>500</v>
      </c>
      <c r="B479" s="1001">
        <v>41662</v>
      </c>
      <c r="C479" s="1001">
        <v>41751</v>
      </c>
      <c r="D479" s="1002">
        <v>3017160</v>
      </c>
      <c r="E479" s="1002">
        <v>3017160</v>
      </c>
      <c r="F479" s="1002">
        <v>0</v>
      </c>
    </row>
    <row r="480" spans="1:6" x14ac:dyDescent="0.25">
      <c r="A480" s="1005" t="s">
        <v>240</v>
      </c>
      <c r="B480" s="1003"/>
      <c r="C480" s="1003"/>
      <c r="D480" s="1004"/>
      <c r="E480" s="1004"/>
      <c r="F480" s="1004"/>
    </row>
    <row r="481" spans="1:6" x14ac:dyDescent="0.25">
      <c r="A481" s="846" t="s">
        <v>290</v>
      </c>
      <c r="B481" s="1003"/>
      <c r="C481" s="1003"/>
      <c r="D481" s="1004"/>
      <c r="E481" s="1004"/>
      <c r="F481" s="1004"/>
    </row>
    <row r="482" spans="1:6" ht="30" x14ac:dyDescent="0.25">
      <c r="A482" s="846" t="s">
        <v>501</v>
      </c>
      <c r="B482" s="1003">
        <v>41655</v>
      </c>
      <c r="C482" s="1003">
        <v>42019</v>
      </c>
      <c r="D482" s="1004">
        <v>90000000</v>
      </c>
      <c r="E482" s="1004">
        <v>42574877.200000003</v>
      </c>
      <c r="F482" s="1004">
        <v>47425122.799999997</v>
      </c>
    </row>
    <row r="483" spans="1:6" x14ac:dyDescent="0.25">
      <c r="A483" s="846" t="s">
        <v>229</v>
      </c>
      <c r="B483" s="1001"/>
      <c r="C483" s="1001"/>
      <c r="D483" s="1002"/>
      <c r="E483" s="1002"/>
      <c r="F483" s="1002"/>
    </row>
    <row r="484" spans="1:6" x14ac:dyDescent="0.25">
      <c r="A484" s="846" t="s">
        <v>1043</v>
      </c>
      <c r="B484" s="1001"/>
      <c r="C484" s="1001"/>
      <c r="D484" s="1002"/>
      <c r="E484" s="1002"/>
      <c r="F484" s="1002"/>
    </row>
    <row r="485" spans="1:6" ht="45" x14ac:dyDescent="0.25">
      <c r="A485" s="846" t="s">
        <v>498</v>
      </c>
      <c r="B485" s="1001">
        <v>41634</v>
      </c>
      <c r="C485" s="1001">
        <v>41664</v>
      </c>
      <c r="D485" s="1002">
        <v>5000000</v>
      </c>
      <c r="E485" s="1002">
        <v>5000000</v>
      </c>
      <c r="F485" s="1002">
        <v>0</v>
      </c>
    </row>
    <row r="486" spans="1:6" x14ac:dyDescent="0.25">
      <c r="A486" s="846" t="s">
        <v>239</v>
      </c>
      <c r="B486" s="1001"/>
      <c r="C486" s="1001"/>
      <c r="D486" s="1002"/>
      <c r="E486" s="1002"/>
      <c r="F486" s="1002"/>
    </row>
    <row r="487" spans="1:6" x14ac:dyDescent="0.25">
      <c r="A487" s="846" t="s">
        <v>152</v>
      </c>
      <c r="B487" s="1001"/>
      <c r="C487" s="1001"/>
      <c r="D487" s="1002"/>
      <c r="E487" s="1002"/>
      <c r="F487" s="1002"/>
    </row>
    <row r="488" spans="1:6" ht="60" x14ac:dyDescent="0.25">
      <c r="A488" s="846" t="s">
        <v>502</v>
      </c>
      <c r="B488" s="1001">
        <v>41662</v>
      </c>
      <c r="C488" s="1001">
        <v>41754</v>
      </c>
      <c r="D488" s="1002">
        <v>3743343</v>
      </c>
      <c r="E488" s="1002">
        <v>3743343</v>
      </c>
      <c r="F488" s="1002">
        <v>0</v>
      </c>
    </row>
    <row r="489" spans="1:6" x14ac:dyDescent="0.25">
      <c r="A489" s="1005" t="s">
        <v>405</v>
      </c>
      <c r="B489" s="1003"/>
      <c r="C489" s="1003"/>
      <c r="D489" s="1004"/>
      <c r="E489" s="1004"/>
      <c r="F489" s="1004"/>
    </row>
    <row r="490" spans="1:6" x14ac:dyDescent="0.25">
      <c r="A490" s="846" t="s">
        <v>238</v>
      </c>
      <c r="B490" s="1003"/>
      <c r="C490" s="1003"/>
      <c r="D490" s="1004"/>
      <c r="E490" s="1004"/>
      <c r="F490" s="1004"/>
    </row>
    <row r="491" spans="1:6" ht="60" x14ac:dyDescent="0.25">
      <c r="A491" s="846" t="s">
        <v>503</v>
      </c>
      <c r="B491" s="1003">
        <v>41662</v>
      </c>
      <c r="C491" s="1003">
        <v>42026</v>
      </c>
      <c r="D491" s="1004">
        <v>1620000</v>
      </c>
      <c r="E491" s="1004">
        <v>354000</v>
      </c>
      <c r="F491" s="1004">
        <v>1266000</v>
      </c>
    </row>
    <row r="492" spans="1:6" x14ac:dyDescent="0.25">
      <c r="A492" s="846" t="s">
        <v>236</v>
      </c>
      <c r="B492" s="1001"/>
      <c r="C492" s="1001"/>
      <c r="D492" s="1002"/>
      <c r="E492" s="1002"/>
      <c r="F492" s="1002"/>
    </row>
    <row r="493" spans="1:6" x14ac:dyDescent="0.25">
      <c r="A493" s="846" t="s">
        <v>186</v>
      </c>
      <c r="B493" s="1001"/>
      <c r="C493" s="1001"/>
      <c r="D493" s="1002"/>
      <c r="E493" s="1002"/>
      <c r="F493" s="1002"/>
    </row>
    <row r="494" spans="1:6" ht="45" x14ac:dyDescent="0.25">
      <c r="A494" s="846" t="s">
        <v>504</v>
      </c>
      <c r="B494" s="1001">
        <v>41655</v>
      </c>
      <c r="C494" s="1001">
        <v>41713</v>
      </c>
      <c r="D494" s="1002">
        <v>32048480</v>
      </c>
      <c r="E494" s="1002">
        <v>32048480</v>
      </c>
      <c r="F494" s="1002">
        <v>0</v>
      </c>
    </row>
    <row r="495" spans="1:6" x14ac:dyDescent="0.25">
      <c r="A495" s="846" t="s">
        <v>241</v>
      </c>
      <c r="B495" s="1001"/>
      <c r="C495" s="1001"/>
      <c r="D495" s="1002"/>
      <c r="E495" s="1002"/>
      <c r="F495" s="1002"/>
    </row>
    <row r="496" spans="1:6" x14ac:dyDescent="0.25">
      <c r="A496" s="846" t="s">
        <v>1044</v>
      </c>
      <c r="B496" s="1001"/>
      <c r="C496" s="1001"/>
      <c r="D496" s="1002"/>
      <c r="E496" s="1002"/>
      <c r="F496" s="1002"/>
    </row>
    <row r="497" spans="1:6" ht="45" x14ac:dyDescent="0.25">
      <c r="A497" s="846" t="s">
        <v>505</v>
      </c>
      <c r="B497" s="1001">
        <v>41662</v>
      </c>
      <c r="C497" s="1001">
        <v>41720</v>
      </c>
      <c r="D497" s="1002">
        <v>3480000</v>
      </c>
      <c r="E497" s="1002">
        <v>3480000</v>
      </c>
      <c r="F497" s="1002">
        <v>0</v>
      </c>
    </row>
    <row r="498" spans="1:6" x14ac:dyDescent="0.25">
      <c r="A498" s="846" t="s">
        <v>237</v>
      </c>
      <c r="B498" s="1001"/>
      <c r="C498" s="1001"/>
      <c r="D498" s="1002"/>
      <c r="E498" s="1002"/>
      <c r="F498" s="1002"/>
    </row>
    <row r="499" spans="1:6" x14ac:dyDescent="0.25">
      <c r="A499" s="846" t="s">
        <v>186</v>
      </c>
      <c r="B499" s="1001"/>
      <c r="C499" s="1001"/>
      <c r="D499" s="1002"/>
      <c r="E499" s="1002"/>
      <c r="F499" s="1002"/>
    </row>
    <row r="500" spans="1:6" ht="60" x14ac:dyDescent="0.25">
      <c r="A500" s="846" t="s">
        <v>506</v>
      </c>
      <c r="B500" s="1001">
        <v>41662</v>
      </c>
      <c r="C500" s="1001">
        <v>41736</v>
      </c>
      <c r="D500" s="1002">
        <v>126308000</v>
      </c>
      <c r="E500" s="1002">
        <v>126308000</v>
      </c>
      <c r="F500" s="1002">
        <v>0</v>
      </c>
    </row>
    <row r="501" spans="1:6" x14ac:dyDescent="0.25">
      <c r="A501" s="846" t="s">
        <v>230</v>
      </c>
      <c r="B501" s="1001"/>
      <c r="C501" s="1001"/>
      <c r="D501" s="1002"/>
      <c r="E501" s="1002"/>
      <c r="F501" s="1002"/>
    </row>
    <row r="502" spans="1:6" x14ac:dyDescent="0.25">
      <c r="A502" s="846" t="s">
        <v>1045</v>
      </c>
      <c r="B502" s="1001"/>
      <c r="C502" s="1001"/>
      <c r="D502" s="1002"/>
      <c r="E502" s="1002"/>
      <c r="F502" s="1002"/>
    </row>
    <row r="503" spans="1:6" ht="45" x14ac:dyDescent="0.25">
      <c r="A503" s="846" t="s">
        <v>507</v>
      </c>
      <c r="B503" s="1001">
        <v>41638</v>
      </c>
      <c r="C503" s="1001">
        <v>41668</v>
      </c>
      <c r="D503" s="1002">
        <v>3500000</v>
      </c>
      <c r="E503" s="1002">
        <v>3500000</v>
      </c>
      <c r="F503" s="1002">
        <v>0</v>
      </c>
    </row>
    <row r="504" spans="1:6" x14ac:dyDescent="0.25">
      <c r="A504" s="846" t="s">
        <v>243</v>
      </c>
      <c r="B504" s="1001"/>
      <c r="C504" s="1001"/>
      <c r="D504" s="1002"/>
      <c r="E504" s="1002"/>
      <c r="F504" s="1002"/>
    </row>
    <row r="505" spans="1:6" x14ac:dyDescent="0.25">
      <c r="A505" s="846" t="s">
        <v>244</v>
      </c>
      <c r="B505" s="1001"/>
      <c r="C505" s="1001"/>
      <c r="D505" s="1002"/>
      <c r="E505" s="1002"/>
      <c r="F505" s="1002"/>
    </row>
    <row r="506" spans="1:6" ht="75" x14ac:dyDescent="0.25">
      <c r="A506" s="846" t="s">
        <v>508</v>
      </c>
      <c r="B506" s="1001">
        <v>41670</v>
      </c>
      <c r="C506" s="1001">
        <v>41789</v>
      </c>
      <c r="D506" s="1002">
        <v>803432165</v>
      </c>
      <c r="E506" s="1002">
        <v>741115935</v>
      </c>
      <c r="F506" s="1002">
        <v>62316230</v>
      </c>
    </row>
    <row r="507" spans="1:6" x14ac:dyDescent="0.25">
      <c r="A507" s="1005" t="s">
        <v>278</v>
      </c>
      <c r="B507" s="1003"/>
      <c r="C507" s="1003"/>
      <c r="D507" s="1004"/>
      <c r="E507" s="1004"/>
      <c r="F507" s="1004"/>
    </row>
    <row r="508" spans="1:6" x14ac:dyDescent="0.25">
      <c r="A508" s="846" t="s">
        <v>15</v>
      </c>
      <c r="B508" s="1003"/>
      <c r="C508" s="1003"/>
      <c r="D508" s="1004"/>
      <c r="E508" s="1004"/>
      <c r="F508" s="1004"/>
    </row>
    <row r="509" spans="1:6" ht="30" x14ac:dyDescent="0.25">
      <c r="A509" s="846" t="s">
        <v>509</v>
      </c>
      <c r="B509" s="1003">
        <v>41775</v>
      </c>
      <c r="C509" s="1003">
        <v>42139</v>
      </c>
      <c r="D509" s="1004">
        <v>7740000</v>
      </c>
      <c r="E509" s="1004">
        <v>7740000</v>
      </c>
      <c r="F509" s="1004">
        <v>0</v>
      </c>
    </row>
    <row r="510" spans="1:6" x14ac:dyDescent="0.25">
      <c r="A510" s="1005" t="s">
        <v>171</v>
      </c>
      <c r="B510" s="1003"/>
      <c r="C510" s="1003"/>
      <c r="D510" s="1004"/>
      <c r="E510" s="1004"/>
      <c r="F510" s="1004"/>
    </row>
    <row r="511" spans="1:6" x14ac:dyDescent="0.25">
      <c r="A511" s="846" t="s">
        <v>1034</v>
      </c>
      <c r="B511" s="1003"/>
      <c r="C511" s="1003"/>
      <c r="D511" s="1004"/>
      <c r="E511" s="1004"/>
      <c r="F511" s="1004"/>
    </row>
    <row r="512" spans="1:6" ht="45" x14ac:dyDescent="0.25">
      <c r="A512" s="846" t="s">
        <v>510</v>
      </c>
      <c r="B512" s="1003">
        <v>41675</v>
      </c>
      <c r="C512" s="1003">
        <v>42008</v>
      </c>
      <c r="D512" s="1004">
        <v>29819999</v>
      </c>
      <c r="E512" s="1004">
        <v>29819999</v>
      </c>
      <c r="F512" s="1004">
        <v>0</v>
      </c>
    </row>
    <row r="513" spans="1:6" x14ac:dyDescent="0.25">
      <c r="A513" s="1005" t="s">
        <v>252</v>
      </c>
      <c r="B513" s="1003"/>
      <c r="C513" s="1003"/>
      <c r="D513" s="1004"/>
      <c r="E513" s="1004"/>
      <c r="F513" s="1004"/>
    </row>
    <row r="514" spans="1:6" x14ac:dyDescent="0.25">
      <c r="A514" s="846" t="s">
        <v>86</v>
      </c>
      <c r="B514" s="1003"/>
      <c r="C514" s="1003"/>
      <c r="D514" s="1004"/>
      <c r="E514" s="1004"/>
      <c r="F514" s="1004"/>
    </row>
    <row r="515" spans="1:6" ht="30" x14ac:dyDescent="0.25">
      <c r="A515" s="846" t="s">
        <v>511</v>
      </c>
      <c r="B515" s="1003">
        <v>41717</v>
      </c>
      <c r="C515" s="1003">
        <v>42081</v>
      </c>
      <c r="D515" s="1004">
        <v>1197000</v>
      </c>
      <c r="E515" s="1004">
        <v>1197000</v>
      </c>
      <c r="F515" s="1004">
        <v>0</v>
      </c>
    </row>
    <row r="516" spans="1:6" x14ac:dyDescent="0.25">
      <c r="A516" s="846" t="s">
        <v>270</v>
      </c>
      <c r="B516" s="1001"/>
      <c r="C516" s="1001"/>
      <c r="D516" s="1002"/>
      <c r="E516" s="1002"/>
      <c r="F516" s="1002"/>
    </row>
    <row r="517" spans="1:6" x14ac:dyDescent="0.25">
      <c r="A517" s="846" t="s">
        <v>1031</v>
      </c>
      <c r="B517" s="1001"/>
      <c r="C517" s="1001"/>
      <c r="D517" s="1002"/>
      <c r="E517" s="1002"/>
      <c r="F517" s="1002"/>
    </row>
    <row r="518" spans="1:6" ht="30" x14ac:dyDescent="0.25">
      <c r="A518" s="846" t="s">
        <v>512</v>
      </c>
      <c r="B518" s="1001">
        <v>41739</v>
      </c>
      <c r="C518" s="1001">
        <v>41891</v>
      </c>
      <c r="D518" s="1002">
        <v>4000000</v>
      </c>
      <c r="E518" s="1002">
        <v>4000000</v>
      </c>
      <c r="F518" s="1002">
        <v>0</v>
      </c>
    </row>
    <row r="519" spans="1:6" x14ac:dyDescent="0.25">
      <c r="A519" s="1005" t="s">
        <v>254</v>
      </c>
      <c r="B519" s="1003"/>
      <c r="C519" s="1003"/>
      <c r="D519" s="1004"/>
      <c r="E519" s="1004"/>
      <c r="F519" s="1004"/>
    </row>
    <row r="520" spans="1:6" x14ac:dyDescent="0.25">
      <c r="A520" s="846" t="s">
        <v>1033</v>
      </c>
      <c r="B520" s="1003"/>
      <c r="C520" s="1003"/>
      <c r="D520" s="1004"/>
      <c r="E520" s="1004"/>
      <c r="F520" s="1004"/>
    </row>
    <row r="521" spans="1:6" ht="60" x14ac:dyDescent="0.25">
      <c r="A521" s="846" t="s">
        <v>513</v>
      </c>
      <c r="B521" s="1003">
        <v>41701</v>
      </c>
      <c r="C521" s="1003">
        <v>42006</v>
      </c>
      <c r="D521" s="1004">
        <v>42800000</v>
      </c>
      <c r="E521" s="1004">
        <v>42800000</v>
      </c>
      <c r="F521" s="1004">
        <v>0</v>
      </c>
    </row>
    <row r="522" spans="1:6" x14ac:dyDescent="0.25">
      <c r="A522" s="1005" t="s">
        <v>267</v>
      </c>
      <c r="B522" s="1003"/>
      <c r="C522" s="1003"/>
      <c r="D522" s="1004"/>
      <c r="E522" s="1004"/>
      <c r="F522" s="1004"/>
    </row>
    <row r="523" spans="1:6" x14ac:dyDescent="0.25">
      <c r="A523" s="846" t="s">
        <v>1516</v>
      </c>
      <c r="B523" s="1001"/>
      <c r="C523" s="1001"/>
      <c r="D523" s="1002"/>
      <c r="E523" s="1002"/>
      <c r="F523" s="1002"/>
    </row>
    <row r="524" spans="1:6" ht="45" x14ac:dyDescent="0.25">
      <c r="A524" s="846" t="s">
        <v>514</v>
      </c>
      <c r="B524" s="1001">
        <v>41708</v>
      </c>
      <c r="C524" s="1001">
        <v>42013</v>
      </c>
      <c r="D524" s="1002">
        <v>38830000</v>
      </c>
      <c r="E524" s="1002">
        <v>38830000</v>
      </c>
      <c r="F524" s="1002">
        <v>0</v>
      </c>
    </row>
    <row r="525" spans="1:6" x14ac:dyDescent="0.25">
      <c r="A525" s="1005" t="s">
        <v>257</v>
      </c>
      <c r="B525" s="1003"/>
      <c r="C525" s="1003"/>
      <c r="D525" s="1004"/>
      <c r="E525" s="1004"/>
      <c r="F525" s="1004"/>
    </row>
    <row r="526" spans="1:6" x14ac:dyDescent="0.25">
      <c r="A526" s="846" t="s">
        <v>1035</v>
      </c>
      <c r="B526" s="1003"/>
      <c r="C526" s="1003"/>
      <c r="D526" s="1004"/>
      <c r="E526" s="1004"/>
      <c r="F526" s="1004"/>
    </row>
    <row r="527" spans="1:6" ht="75" x14ac:dyDescent="0.25">
      <c r="A527" s="846" t="s">
        <v>515</v>
      </c>
      <c r="B527" s="1003">
        <v>41675</v>
      </c>
      <c r="C527" s="1003">
        <v>42008</v>
      </c>
      <c r="D527" s="1004">
        <v>40997000</v>
      </c>
      <c r="E527" s="1004">
        <v>40997000</v>
      </c>
      <c r="F527" s="1004">
        <v>0</v>
      </c>
    </row>
    <row r="528" spans="1:6" x14ac:dyDescent="0.25">
      <c r="A528" s="1005" t="s">
        <v>245</v>
      </c>
      <c r="B528" s="1003"/>
      <c r="C528" s="1003"/>
      <c r="D528" s="1004"/>
      <c r="E528" s="1004"/>
      <c r="F528" s="1004"/>
    </row>
    <row r="529" spans="1:6" x14ac:dyDescent="0.25">
      <c r="A529" s="846" t="s">
        <v>226</v>
      </c>
      <c r="B529" s="1003"/>
      <c r="C529" s="1003"/>
      <c r="D529" s="1004"/>
      <c r="E529" s="1004"/>
      <c r="F529" s="1004"/>
    </row>
    <row r="530" spans="1:6" ht="60" x14ac:dyDescent="0.25">
      <c r="A530" s="846" t="s">
        <v>516</v>
      </c>
      <c r="B530" s="1003">
        <v>41675</v>
      </c>
      <c r="C530" s="1003">
        <v>42008</v>
      </c>
      <c r="D530" s="1004">
        <v>55000000</v>
      </c>
      <c r="E530" s="1004">
        <v>54333333</v>
      </c>
      <c r="F530" s="1004">
        <v>666667</v>
      </c>
    </row>
    <row r="531" spans="1:6" x14ac:dyDescent="0.25">
      <c r="A531" s="1005" t="s">
        <v>247</v>
      </c>
      <c r="B531" s="1003"/>
      <c r="C531" s="1003"/>
      <c r="D531" s="1004"/>
      <c r="E531" s="1004"/>
      <c r="F531" s="1004"/>
    </row>
    <row r="532" spans="1:6" ht="30" x14ac:dyDescent="0.25">
      <c r="A532" s="846" t="s">
        <v>1515</v>
      </c>
      <c r="B532" s="1001"/>
      <c r="C532" s="1001"/>
      <c r="D532" s="1002"/>
      <c r="E532" s="1002"/>
      <c r="F532" s="1002"/>
    </row>
    <row r="533" spans="1:6" ht="60" x14ac:dyDescent="0.25">
      <c r="A533" s="846" t="s">
        <v>516</v>
      </c>
      <c r="B533" s="1001">
        <v>41675</v>
      </c>
      <c r="C533" s="1001">
        <v>42008</v>
      </c>
      <c r="D533" s="1002">
        <v>55000000</v>
      </c>
      <c r="E533" s="1002">
        <v>54666666</v>
      </c>
      <c r="F533" s="1002">
        <v>333334</v>
      </c>
    </row>
    <row r="534" spans="1:6" x14ac:dyDescent="0.25">
      <c r="A534" s="1005" t="s">
        <v>249</v>
      </c>
      <c r="B534" s="1003"/>
      <c r="C534" s="1003"/>
      <c r="D534" s="1004"/>
      <c r="E534" s="1004"/>
      <c r="F534" s="1004"/>
    </row>
    <row r="535" spans="1:6" x14ac:dyDescent="0.25">
      <c r="A535" s="846" t="s">
        <v>1045</v>
      </c>
      <c r="B535" s="1003"/>
      <c r="C535" s="1003"/>
      <c r="D535" s="1004"/>
      <c r="E535" s="1004"/>
      <c r="F535" s="1004"/>
    </row>
    <row r="536" spans="1:6" ht="60" x14ac:dyDescent="0.25">
      <c r="A536" s="846" t="s">
        <v>2207</v>
      </c>
      <c r="B536" s="1001">
        <v>41675</v>
      </c>
      <c r="C536" s="1001">
        <v>42008</v>
      </c>
      <c r="D536" s="1002">
        <v>38500000</v>
      </c>
      <c r="E536" s="1002">
        <v>38500000</v>
      </c>
      <c r="F536" s="1002">
        <v>0</v>
      </c>
    </row>
    <row r="537" spans="1:6" x14ac:dyDescent="0.25">
      <c r="A537" s="1005" t="s">
        <v>246</v>
      </c>
      <c r="B537" s="1003"/>
      <c r="C537" s="1003"/>
      <c r="D537" s="1004"/>
      <c r="E537" s="1004"/>
      <c r="F537" s="1004"/>
    </row>
    <row r="538" spans="1:6" x14ac:dyDescent="0.25">
      <c r="A538" s="846" t="s">
        <v>228</v>
      </c>
      <c r="B538" s="1003"/>
      <c r="C538" s="1003"/>
      <c r="D538" s="1004"/>
      <c r="E538" s="1004"/>
      <c r="F538" s="1004"/>
    </row>
    <row r="539" spans="1:6" ht="45" x14ac:dyDescent="0.25">
      <c r="A539" s="846" t="s">
        <v>1622</v>
      </c>
      <c r="B539" s="1001">
        <v>41675</v>
      </c>
      <c r="C539" s="1001">
        <v>42008</v>
      </c>
      <c r="D539" s="1002">
        <v>55000000</v>
      </c>
      <c r="E539" s="1002">
        <v>55000000</v>
      </c>
      <c r="F539" s="1002">
        <v>0</v>
      </c>
    </row>
    <row r="540" spans="1:6" x14ac:dyDescent="0.25">
      <c r="A540" s="1005" t="s">
        <v>248</v>
      </c>
      <c r="B540" s="1003"/>
      <c r="C540" s="1003"/>
      <c r="D540" s="1004"/>
      <c r="E540" s="1004"/>
      <c r="F540" s="1004"/>
    </row>
    <row r="541" spans="1:6" x14ac:dyDescent="0.25">
      <c r="A541" s="846" t="s">
        <v>224</v>
      </c>
      <c r="B541" s="1003"/>
      <c r="C541" s="1003"/>
      <c r="D541" s="1004"/>
      <c r="E541" s="1004"/>
      <c r="F541" s="1004"/>
    </row>
    <row r="542" spans="1:6" ht="60" x14ac:dyDescent="0.25">
      <c r="A542" s="846" t="s">
        <v>516</v>
      </c>
      <c r="B542" s="1003">
        <v>41675</v>
      </c>
      <c r="C542" s="1003">
        <v>42008</v>
      </c>
      <c r="D542" s="1004">
        <v>55000000</v>
      </c>
      <c r="E542" s="1004">
        <v>55000000</v>
      </c>
      <c r="F542" s="1004">
        <v>0</v>
      </c>
    </row>
    <row r="543" spans="1:6" x14ac:dyDescent="0.25">
      <c r="A543" s="1005" t="s">
        <v>268</v>
      </c>
      <c r="B543" s="1003"/>
      <c r="C543" s="1003"/>
      <c r="D543" s="1004"/>
      <c r="E543" s="1004"/>
      <c r="F543" s="1004"/>
    </row>
    <row r="544" spans="1:6" x14ac:dyDescent="0.25">
      <c r="A544" s="846" t="s">
        <v>269</v>
      </c>
      <c r="B544" s="1003"/>
      <c r="C544" s="1003"/>
      <c r="D544" s="1004"/>
      <c r="E544" s="1004"/>
      <c r="F544" s="1004"/>
    </row>
    <row r="545" spans="1:6" ht="45" x14ac:dyDescent="0.25">
      <c r="A545" s="846" t="s">
        <v>369</v>
      </c>
      <c r="B545" s="1003">
        <v>41732</v>
      </c>
      <c r="C545" s="1003">
        <v>42096</v>
      </c>
      <c r="D545" s="1004">
        <v>16555000</v>
      </c>
      <c r="E545" s="1004">
        <v>15762669</v>
      </c>
      <c r="F545" s="1004">
        <v>792331</v>
      </c>
    </row>
    <row r="546" spans="1:6" x14ac:dyDescent="0.25">
      <c r="A546" s="1005" t="s">
        <v>253</v>
      </c>
      <c r="B546" s="1003"/>
      <c r="C546" s="1003"/>
      <c r="D546" s="1004"/>
      <c r="E546" s="1004"/>
      <c r="F546" s="1004"/>
    </row>
    <row r="547" spans="1:6" x14ac:dyDescent="0.25">
      <c r="A547" s="846" t="s">
        <v>140</v>
      </c>
      <c r="B547" s="1003"/>
      <c r="C547" s="1003"/>
      <c r="D547" s="1004"/>
      <c r="E547" s="1004"/>
      <c r="F547" s="1004"/>
    </row>
    <row r="548" spans="1:6" ht="45" x14ac:dyDescent="0.25">
      <c r="A548" s="846" t="s">
        <v>1133</v>
      </c>
      <c r="B548" s="1001">
        <v>41675</v>
      </c>
      <c r="C548" s="1001">
        <v>42008</v>
      </c>
      <c r="D548" s="1002">
        <v>39600000</v>
      </c>
      <c r="E548" s="1002">
        <v>24720000</v>
      </c>
      <c r="F548" s="1002">
        <v>14880000</v>
      </c>
    </row>
    <row r="549" spans="1:6" x14ac:dyDescent="0.25">
      <c r="A549" s="1005" t="s">
        <v>255</v>
      </c>
      <c r="B549" s="1003"/>
      <c r="C549" s="1003"/>
      <c r="D549" s="1004"/>
      <c r="E549" s="1004"/>
      <c r="F549" s="1004"/>
    </row>
    <row r="550" spans="1:6" x14ac:dyDescent="0.25">
      <c r="A550" s="846" t="s">
        <v>1032</v>
      </c>
      <c r="B550" s="1003"/>
      <c r="C550" s="1003"/>
      <c r="D550" s="1004"/>
      <c r="E550" s="1004"/>
      <c r="F550" s="1004"/>
    </row>
    <row r="551" spans="1:6" ht="75" x14ac:dyDescent="0.25">
      <c r="A551" s="846" t="s">
        <v>517</v>
      </c>
      <c r="B551" s="1003">
        <v>41694</v>
      </c>
      <c r="C551" s="1003">
        <v>41887</v>
      </c>
      <c r="D551" s="1004">
        <v>51500000</v>
      </c>
      <c r="E551" s="1004">
        <v>32788333</v>
      </c>
      <c r="F551" s="1004">
        <v>18711667</v>
      </c>
    </row>
    <row r="552" spans="1:6" x14ac:dyDescent="0.25">
      <c r="A552" s="1005" t="s">
        <v>250</v>
      </c>
      <c r="B552" s="1003"/>
      <c r="C552" s="1003"/>
      <c r="D552" s="1004"/>
      <c r="E552" s="1004"/>
      <c r="F552" s="1004"/>
    </row>
    <row r="553" spans="1:6" x14ac:dyDescent="0.25">
      <c r="A553" s="846" t="s">
        <v>251</v>
      </c>
      <c r="B553" s="1003"/>
      <c r="C553" s="1003"/>
      <c r="D553" s="1004"/>
      <c r="E553" s="1004"/>
      <c r="F553" s="1004"/>
    </row>
    <row r="554" spans="1:6" ht="45" x14ac:dyDescent="0.25">
      <c r="A554" s="846" t="s">
        <v>518</v>
      </c>
      <c r="B554" s="1003">
        <v>41675</v>
      </c>
      <c r="C554" s="1003">
        <v>42008</v>
      </c>
      <c r="D554" s="1004">
        <v>16500000</v>
      </c>
      <c r="E554" s="1004">
        <v>10300000</v>
      </c>
      <c r="F554" s="1004">
        <v>6200000</v>
      </c>
    </row>
    <row r="555" spans="1:6" x14ac:dyDescent="0.25">
      <c r="A555" s="1005" t="s">
        <v>256</v>
      </c>
      <c r="B555" s="1003"/>
      <c r="C555" s="1003"/>
      <c r="D555" s="1004"/>
      <c r="E555" s="1004"/>
      <c r="F555" s="1004"/>
    </row>
    <row r="556" spans="1:6" ht="30" x14ac:dyDescent="0.25">
      <c r="A556" s="846" t="s">
        <v>1395</v>
      </c>
      <c r="B556" s="1001"/>
      <c r="C556" s="1001"/>
      <c r="D556" s="1002"/>
      <c r="E556" s="1002"/>
      <c r="F556" s="1002"/>
    </row>
    <row r="557" spans="1:6" ht="75" x14ac:dyDescent="0.25">
      <c r="A557" s="846" t="s">
        <v>519</v>
      </c>
      <c r="B557" s="1001">
        <v>41677</v>
      </c>
      <c r="C557" s="1001">
        <v>42006</v>
      </c>
      <c r="D557" s="1002">
        <v>61800000</v>
      </c>
      <c r="E557" s="1002">
        <v>54933333</v>
      </c>
      <c r="F557" s="1002">
        <v>6866667</v>
      </c>
    </row>
    <row r="558" spans="1:6" x14ac:dyDescent="0.25">
      <c r="A558" s="846" t="s">
        <v>264</v>
      </c>
      <c r="B558" s="1001"/>
      <c r="C558" s="1001"/>
      <c r="D558" s="1002"/>
      <c r="E558" s="1002"/>
      <c r="F558" s="1002"/>
    </row>
    <row r="559" spans="1:6" x14ac:dyDescent="0.25">
      <c r="A559" s="846" t="s">
        <v>186</v>
      </c>
      <c r="B559" s="1001"/>
      <c r="C559" s="1001"/>
      <c r="D559" s="1002"/>
      <c r="E559" s="1002"/>
      <c r="F559" s="1002"/>
    </row>
    <row r="560" spans="1:6" ht="60" x14ac:dyDescent="0.25">
      <c r="A560" s="846" t="s">
        <v>520</v>
      </c>
      <c r="B560" s="1001">
        <v>41704</v>
      </c>
      <c r="C560" s="1001">
        <v>41748</v>
      </c>
      <c r="D560" s="1002">
        <v>340808000</v>
      </c>
      <c r="E560" s="1002">
        <v>340808000</v>
      </c>
      <c r="F560" s="1002">
        <v>0</v>
      </c>
    </row>
    <row r="561" spans="1:6" x14ac:dyDescent="0.25">
      <c r="A561" s="846" t="s">
        <v>262</v>
      </c>
      <c r="B561" s="1001"/>
      <c r="C561" s="1001"/>
      <c r="D561" s="1002"/>
      <c r="E561" s="1002"/>
      <c r="F561" s="1002"/>
    </row>
    <row r="562" spans="1:6" x14ac:dyDescent="0.25">
      <c r="A562" s="846" t="s">
        <v>263</v>
      </c>
      <c r="B562" s="1001"/>
      <c r="C562" s="1001"/>
      <c r="D562" s="1002"/>
      <c r="E562" s="1002"/>
      <c r="F562" s="1002"/>
    </row>
    <row r="563" spans="1:6" ht="60" x14ac:dyDescent="0.25">
      <c r="A563" s="846" t="s">
        <v>521</v>
      </c>
      <c r="B563" s="1001">
        <v>41704</v>
      </c>
      <c r="C563" s="1001">
        <v>41748</v>
      </c>
      <c r="D563" s="1002">
        <v>28900000</v>
      </c>
      <c r="E563" s="1002">
        <v>28900000</v>
      </c>
      <c r="F563" s="1002">
        <v>0</v>
      </c>
    </row>
    <row r="564" spans="1:6" x14ac:dyDescent="0.25">
      <c r="A564" s="846" t="s">
        <v>260</v>
      </c>
      <c r="B564" s="1001"/>
      <c r="C564" s="1001"/>
      <c r="D564" s="1002"/>
      <c r="E564" s="1002"/>
      <c r="F564" s="1002"/>
    </row>
    <row r="565" spans="1:6" x14ac:dyDescent="0.25">
      <c r="A565" s="846" t="s">
        <v>261</v>
      </c>
      <c r="B565" s="1001"/>
      <c r="C565" s="1001"/>
      <c r="D565" s="1002"/>
      <c r="E565" s="1002"/>
      <c r="F565" s="1002"/>
    </row>
    <row r="566" spans="1:6" ht="30" x14ac:dyDescent="0.25">
      <c r="A566" s="846" t="s">
        <v>522</v>
      </c>
      <c r="B566" s="1001">
        <v>41708</v>
      </c>
      <c r="C566" s="1001">
        <v>41738</v>
      </c>
      <c r="D566" s="1002">
        <v>325128875</v>
      </c>
      <c r="E566" s="1002">
        <v>325028452</v>
      </c>
      <c r="F566" s="1002">
        <v>100423</v>
      </c>
    </row>
    <row r="567" spans="1:6" x14ac:dyDescent="0.25">
      <c r="A567" s="1005" t="s">
        <v>273</v>
      </c>
      <c r="B567" s="1003"/>
      <c r="C567" s="1003"/>
      <c r="D567" s="1004"/>
      <c r="E567" s="1004"/>
      <c r="F567" s="1004"/>
    </row>
    <row r="568" spans="1:6" x14ac:dyDescent="0.25">
      <c r="A568" s="846" t="s">
        <v>126</v>
      </c>
      <c r="B568" s="1003"/>
      <c r="C568" s="1003"/>
      <c r="D568" s="1004"/>
      <c r="E568" s="1004"/>
      <c r="F568" s="1004"/>
    </row>
    <row r="569" spans="1:6" ht="60" x14ac:dyDescent="0.25">
      <c r="A569" s="846" t="s">
        <v>523</v>
      </c>
      <c r="B569" s="1003">
        <v>41738</v>
      </c>
      <c r="C569" s="1003">
        <v>42012</v>
      </c>
      <c r="D569" s="1004">
        <v>11000000</v>
      </c>
      <c r="E569" s="1004">
        <v>2672466</v>
      </c>
      <c r="F569" s="1004">
        <v>8327534</v>
      </c>
    </row>
    <row r="570" spans="1:6" x14ac:dyDescent="0.25">
      <c r="A570" s="1005" t="s">
        <v>288</v>
      </c>
      <c r="B570" s="1003"/>
      <c r="C570" s="1003"/>
      <c r="D570" s="1004"/>
      <c r="E570" s="1004"/>
      <c r="F570" s="1004"/>
    </row>
    <row r="571" spans="1:6" x14ac:dyDescent="0.25">
      <c r="A571" s="846" t="s">
        <v>12</v>
      </c>
      <c r="B571" s="1003"/>
      <c r="C571" s="1003"/>
      <c r="D571" s="1004"/>
      <c r="E571" s="1004"/>
      <c r="F571" s="1004"/>
    </row>
    <row r="572" spans="1:6" ht="45" x14ac:dyDescent="0.25">
      <c r="A572" s="846" t="s">
        <v>524</v>
      </c>
      <c r="B572" s="1003">
        <v>41738</v>
      </c>
      <c r="C572" s="1003">
        <v>42102</v>
      </c>
      <c r="D572" s="1004">
        <v>1607400</v>
      </c>
      <c r="E572" s="1004">
        <v>0</v>
      </c>
      <c r="F572" s="1004">
        <v>1607400</v>
      </c>
    </row>
    <row r="573" spans="1:6" x14ac:dyDescent="0.25">
      <c r="A573" s="1005" t="s">
        <v>266</v>
      </c>
      <c r="B573" s="1003"/>
      <c r="C573" s="1003"/>
      <c r="D573" s="1004"/>
      <c r="E573" s="1004"/>
      <c r="F573" s="1004"/>
    </row>
    <row r="574" spans="1:6" x14ac:dyDescent="0.25">
      <c r="A574" s="846" t="s">
        <v>1030</v>
      </c>
      <c r="B574" s="1003"/>
      <c r="C574" s="1003"/>
      <c r="D574" s="1004"/>
      <c r="E574" s="1004"/>
      <c r="F574" s="1004"/>
    </row>
    <row r="575" spans="1:6" ht="75" x14ac:dyDescent="0.25">
      <c r="A575" s="846" t="s">
        <v>368</v>
      </c>
      <c r="B575" s="1003">
        <v>41725</v>
      </c>
      <c r="C575" s="1003">
        <v>41969</v>
      </c>
      <c r="D575" s="1004">
        <v>4982000</v>
      </c>
      <c r="E575" s="1004">
        <v>2832000</v>
      </c>
      <c r="F575" s="1004">
        <v>2150000</v>
      </c>
    </row>
    <row r="576" spans="1:6" x14ac:dyDescent="0.25">
      <c r="A576" s="1005" t="s">
        <v>271</v>
      </c>
      <c r="B576" s="1003"/>
      <c r="C576" s="1003"/>
      <c r="D576" s="1004"/>
      <c r="E576" s="1004"/>
      <c r="F576" s="1004"/>
    </row>
    <row r="577" spans="1:6" x14ac:dyDescent="0.25">
      <c r="A577" s="846" t="s">
        <v>272</v>
      </c>
      <c r="B577" s="1003"/>
      <c r="C577" s="1003"/>
      <c r="D577" s="1004"/>
      <c r="E577" s="1004"/>
      <c r="F577" s="1004"/>
    </row>
    <row r="578" spans="1:6" ht="60" x14ac:dyDescent="0.25">
      <c r="A578" s="846" t="s">
        <v>525</v>
      </c>
      <c r="B578" s="1003">
        <v>41738</v>
      </c>
      <c r="C578" s="1003">
        <v>41951</v>
      </c>
      <c r="D578" s="1004">
        <v>28000000</v>
      </c>
      <c r="E578" s="1004">
        <v>10978240</v>
      </c>
      <c r="F578" s="1004">
        <v>17021760</v>
      </c>
    </row>
    <row r="579" spans="1:6" x14ac:dyDescent="0.25">
      <c r="A579" s="1005" t="s">
        <v>400</v>
      </c>
      <c r="B579" s="1003"/>
      <c r="C579" s="1003"/>
      <c r="D579" s="1004"/>
      <c r="E579" s="1004"/>
      <c r="F579" s="1004"/>
    </row>
    <row r="580" spans="1:6" x14ac:dyDescent="0.25">
      <c r="A580" s="846" t="s">
        <v>198</v>
      </c>
      <c r="B580" s="1003"/>
      <c r="C580" s="1003"/>
      <c r="D580" s="1004"/>
      <c r="E580" s="1004"/>
      <c r="F580" s="1004"/>
    </row>
    <row r="581" spans="1:6" ht="60" x14ac:dyDescent="0.25">
      <c r="A581" s="846" t="s">
        <v>1144</v>
      </c>
      <c r="B581" s="1001">
        <v>41793</v>
      </c>
      <c r="C581" s="1001">
        <v>42096</v>
      </c>
      <c r="D581" s="1002">
        <v>10564000</v>
      </c>
      <c r="E581" s="1002">
        <v>10055157</v>
      </c>
      <c r="F581" s="1002">
        <v>508843</v>
      </c>
    </row>
    <row r="582" spans="1:6" x14ac:dyDescent="0.25">
      <c r="A582" s="1005" t="s">
        <v>274</v>
      </c>
      <c r="B582" s="1003"/>
      <c r="C582" s="1003"/>
      <c r="D582" s="1004"/>
      <c r="E582" s="1004"/>
      <c r="F582" s="1004"/>
    </row>
    <row r="583" spans="1:6" x14ac:dyDescent="0.25">
      <c r="A583" s="846" t="s">
        <v>275</v>
      </c>
      <c r="B583" s="1003"/>
      <c r="C583" s="1003"/>
      <c r="D583" s="1004"/>
      <c r="E583" s="1004"/>
      <c r="F583" s="1004"/>
    </row>
    <row r="584" spans="1:6" ht="60" x14ac:dyDescent="0.25">
      <c r="A584" s="846" t="s">
        <v>1450</v>
      </c>
      <c r="B584" s="1001">
        <v>41752</v>
      </c>
      <c r="C584" s="1001">
        <v>42116</v>
      </c>
      <c r="D584" s="1002">
        <v>2122000</v>
      </c>
      <c r="E584" s="1002">
        <v>2122000</v>
      </c>
      <c r="F584" s="1002">
        <v>0</v>
      </c>
    </row>
    <row r="585" spans="1:6" x14ac:dyDescent="0.25">
      <c r="A585" s="1005" t="s">
        <v>279</v>
      </c>
      <c r="B585" s="1003"/>
      <c r="C585" s="1003"/>
      <c r="D585" s="1004"/>
      <c r="E585" s="1004"/>
      <c r="F585" s="1004"/>
    </row>
    <row r="586" spans="1:6" x14ac:dyDescent="0.25">
      <c r="A586" s="846" t="s">
        <v>53</v>
      </c>
      <c r="B586" s="1003"/>
      <c r="C586" s="1003"/>
      <c r="D586" s="1004"/>
      <c r="E586" s="1004"/>
      <c r="F586" s="1004"/>
    </row>
    <row r="587" spans="1:6" ht="60" x14ac:dyDescent="0.25">
      <c r="A587" s="846" t="s">
        <v>1771</v>
      </c>
      <c r="B587" s="1001">
        <v>41757</v>
      </c>
      <c r="C587" s="1001">
        <v>42091</v>
      </c>
      <c r="D587" s="1002">
        <v>31218000</v>
      </c>
      <c r="E587" s="1002">
        <v>29571427</v>
      </c>
      <c r="F587" s="1002">
        <v>1646573</v>
      </c>
    </row>
    <row r="588" spans="1:6" x14ac:dyDescent="0.25">
      <c r="A588" s="846" t="s">
        <v>282</v>
      </c>
      <c r="B588" s="1001"/>
      <c r="C588" s="1001"/>
      <c r="D588" s="1002"/>
      <c r="E588" s="1002"/>
      <c r="F588" s="1002"/>
    </row>
    <row r="589" spans="1:6" x14ac:dyDescent="0.25">
      <c r="A589" s="846" t="s">
        <v>418</v>
      </c>
      <c r="B589" s="1001"/>
      <c r="C589" s="1001"/>
      <c r="D589" s="1002"/>
      <c r="E589" s="1002"/>
      <c r="F589" s="1002"/>
    </row>
    <row r="590" spans="1:6" ht="60" x14ac:dyDescent="0.25">
      <c r="A590" s="846" t="s">
        <v>526</v>
      </c>
      <c r="B590" s="1001">
        <v>41764</v>
      </c>
      <c r="C590" s="1001">
        <v>41901</v>
      </c>
      <c r="D590" s="1002">
        <v>18217800</v>
      </c>
      <c r="E590" s="1002">
        <v>18217800</v>
      </c>
      <c r="F590" s="1002">
        <v>0</v>
      </c>
    </row>
    <row r="591" spans="1:6" x14ac:dyDescent="0.25">
      <c r="A591" s="846" t="s">
        <v>280</v>
      </c>
      <c r="B591" s="1001"/>
      <c r="C591" s="1001"/>
      <c r="D591" s="1002"/>
      <c r="E591" s="1002"/>
      <c r="F591" s="1002"/>
    </row>
    <row r="592" spans="1:6" x14ac:dyDescent="0.25">
      <c r="A592" s="846" t="s">
        <v>281</v>
      </c>
      <c r="B592" s="1001"/>
      <c r="C592" s="1001"/>
      <c r="D592" s="1002"/>
      <c r="E592" s="1002"/>
      <c r="F592" s="1002"/>
    </row>
    <row r="593" spans="1:6" ht="45" x14ac:dyDescent="0.25">
      <c r="A593" s="846" t="s">
        <v>527</v>
      </c>
      <c r="B593" s="1001">
        <v>41757</v>
      </c>
      <c r="C593" s="1001">
        <v>41817</v>
      </c>
      <c r="D593" s="1002">
        <v>1700007</v>
      </c>
      <c r="E593" s="1002">
        <v>1700000</v>
      </c>
      <c r="F593" s="1002">
        <v>7</v>
      </c>
    </row>
    <row r="594" spans="1:6" x14ac:dyDescent="0.25">
      <c r="A594" s="1005" t="s">
        <v>276</v>
      </c>
      <c r="B594" s="1003"/>
      <c r="C594" s="1003"/>
      <c r="D594" s="1004"/>
      <c r="E594" s="1004"/>
      <c r="F594" s="1004"/>
    </row>
    <row r="595" spans="1:6" x14ac:dyDescent="0.25">
      <c r="A595" s="846" t="s">
        <v>277</v>
      </c>
      <c r="B595" s="1003"/>
      <c r="C595" s="1003"/>
      <c r="D595" s="1004"/>
      <c r="E595" s="1004"/>
      <c r="F595" s="1004"/>
    </row>
    <row r="596" spans="1:6" ht="45" x14ac:dyDescent="0.25">
      <c r="A596" s="846" t="s">
        <v>370</v>
      </c>
      <c r="B596" s="1003">
        <v>41753</v>
      </c>
      <c r="C596" s="1003">
        <v>42117</v>
      </c>
      <c r="D596" s="1004">
        <v>32631000</v>
      </c>
      <c r="E596" s="1004">
        <v>32594631</v>
      </c>
      <c r="F596" s="1004">
        <v>36369</v>
      </c>
    </row>
    <row r="597" spans="1:6" x14ac:dyDescent="0.25">
      <c r="A597" s="1005" t="s">
        <v>283</v>
      </c>
      <c r="B597" s="1003"/>
      <c r="C597" s="1003"/>
      <c r="D597" s="1004"/>
      <c r="E597" s="1004"/>
      <c r="F597" s="1004"/>
    </row>
    <row r="598" spans="1:6" x14ac:dyDescent="0.25">
      <c r="A598" s="846" t="s">
        <v>284</v>
      </c>
      <c r="B598" s="1003"/>
      <c r="C598" s="1003"/>
      <c r="D598" s="1004"/>
      <c r="E598" s="1004"/>
      <c r="F598" s="1004"/>
    </row>
    <row r="599" spans="1:6" ht="60" x14ac:dyDescent="0.25">
      <c r="A599" s="846" t="s">
        <v>528</v>
      </c>
      <c r="B599" s="1003">
        <v>41807</v>
      </c>
      <c r="C599" s="1003">
        <v>42128</v>
      </c>
      <c r="D599" s="1004">
        <v>45100746</v>
      </c>
      <c r="E599" s="1004">
        <v>45045000</v>
      </c>
      <c r="F599" s="1004">
        <v>55746</v>
      </c>
    </row>
    <row r="600" spans="1:6" x14ac:dyDescent="0.25">
      <c r="A600" s="846" t="s">
        <v>289</v>
      </c>
      <c r="B600" s="1001"/>
      <c r="C600" s="1001"/>
      <c r="D600" s="1002"/>
      <c r="E600" s="1002"/>
      <c r="F600" s="1002"/>
    </row>
    <row r="601" spans="1:6" x14ac:dyDescent="0.25">
      <c r="A601" s="846" t="s">
        <v>290</v>
      </c>
      <c r="B601" s="1001"/>
      <c r="C601" s="1001"/>
      <c r="D601" s="1002"/>
      <c r="E601" s="1002"/>
      <c r="F601" s="1002"/>
    </row>
    <row r="602" spans="1:6" ht="45" x14ac:dyDescent="0.25">
      <c r="A602" s="846" t="s">
        <v>529</v>
      </c>
      <c r="B602" s="1001">
        <v>41794</v>
      </c>
      <c r="C602" s="1001">
        <v>41855</v>
      </c>
      <c r="D602" s="1002">
        <v>9998117</v>
      </c>
      <c r="E602" s="1002">
        <v>9998097</v>
      </c>
      <c r="F602" s="1002">
        <v>20</v>
      </c>
    </row>
    <row r="603" spans="1:6" x14ac:dyDescent="0.25">
      <c r="A603" s="1005" t="s">
        <v>300</v>
      </c>
      <c r="B603" s="1003"/>
      <c r="C603" s="1003"/>
      <c r="D603" s="1004"/>
      <c r="E603" s="1004"/>
      <c r="F603" s="1004"/>
    </row>
    <row r="604" spans="1:6" x14ac:dyDescent="0.25">
      <c r="A604" s="846" t="s">
        <v>1571</v>
      </c>
      <c r="B604" s="1001"/>
      <c r="C604" s="1001"/>
      <c r="D604" s="1002"/>
      <c r="E604" s="1002"/>
      <c r="F604" s="1002"/>
    </row>
    <row r="605" spans="1:6" ht="45" x14ac:dyDescent="0.25">
      <c r="A605" s="846" t="s">
        <v>530</v>
      </c>
      <c r="B605" s="1001">
        <v>41824</v>
      </c>
      <c r="C605" s="1001">
        <v>42312</v>
      </c>
      <c r="D605" s="1002">
        <v>12000000</v>
      </c>
      <c r="E605" s="1002">
        <v>10800000</v>
      </c>
      <c r="F605" s="1002">
        <v>1200000</v>
      </c>
    </row>
    <row r="606" spans="1:6" x14ac:dyDescent="0.25">
      <c r="A606" s="1005" t="s">
        <v>401</v>
      </c>
      <c r="B606" s="1003"/>
      <c r="C606" s="1003"/>
      <c r="D606" s="1004"/>
      <c r="E606" s="1004"/>
      <c r="F606" s="1004"/>
    </row>
    <row r="607" spans="1:6" x14ac:dyDescent="0.25">
      <c r="A607" s="846" t="s">
        <v>547</v>
      </c>
      <c r="B607" s="1003"/>
      <c r="C607" s="1003"/>
      <c r="D607" s="1004"/>
      <c r="E607" s="1004"/>
      <c r="F607" s="1004"/>
    </row>
    <row r="608" spans="1:6" ht="75" x14ac:dyDescent="0.25">
      <c r="A608" s="846" t="s">
        <v>1051</v>
      </c>
      <c r="B608" s="1003">
        <v>41837</v>
      </c>
      <c r="C608" s="1003">
        <v>42216</v>
      </c>
      <c r="D608" s="1004">
        <v>249991314</v>
      </c>
      <c r="E608" s="1004">
        <v>248275406</v>
      </c>
      <c r="F608" s="1004">
        <v>1715908</v>
      </c>
    </row>
    <row r="609" spans="1:6" x14ac:dyDescent="0.25">
      <c r="A609" s="846" t="s">
        <v>296</v>
      </c>
      <c r="B609" s="1001"/>
      <c r="C609" s="1001"/>
      <c r="D609" s="1002"/>
      <c r="E609" s="1002"/>
      <c r="F609" s="1002"/>
    </row>
    <row r="610" spans="1:6" x14ac:dyDescent="0.25">
      <c r="A610" s="846" t="s">
        <v>1039</v>
      </c>
      <c r="B610" s="1001"/>
      <c r="C610" s="1001"/>
      <c r="D610" s="1002"/>
      <c r="E610" s="1002"/>
      <c r="F610" s="1002"/>
    </row>
    <row r="611" spans="1:6" ht="45" x14ac:dyDescent="0.25">
      <c r="A611" s="846" t="s">
        <v>531</v>
      </c>
      <c r="B611" s="1001">
        <v>41807</v>
      </c>
      <c r="C611" s="1001">
        <v>41867</v>
      </c>
      <c r="D611" s="1002">
        <v>5719790</v>
      </c>
      <c r="E611" s="1002">
        <v>5719790</v>
      </c>
      <c r="F611" s="1002">
        <v>0</v>
      </c>
    </row>
    <row r="612" spans="1:6" x14ac:dyDescent="0.25">
      <c r="A612" s="1005" t="s">
        <v>287</v>
      </c>
      <c r="B612" s="1003"/>
      <c r="C612" s="1003"/>
      <c r="D612" s="1004"/>
      <c r="E612" s="1004"/>
      <c r="F612" s="1004"/>
    </row>
    <row r="613" spans="1:6" x14ac:dyDescent="0.25">
      <c r="A613" s="846" t="s">
        <v>1018</v>
      </c>
      <c r="B613" s="1001"/>
      <c r="C613" s="1001"/>
      <c r="D613" s="1002"/>
      <c r="E613" s="1002"/>
      <c r="F613" s="1002"/>
    </row>
    <row r="614" spans="1:6" ht="60" x14ac:dyDescent="0.25">
      <c r="A614" s="846" t="s">
        <v>532</v>
      </c>
      <c r="B614" s="1001">
        <v>41811</v>
      </c>
      <c r="C614" s="1001">
        <v>42186</v>
      </c>
      <c r="D614" s="1002">
        <v>337487000</v>
      </c>
      <c r="E614" s="1002">
        <v>337486998</v>
      </c>
      <c r="F614" s="1002">
        <v>2</v>
      </c>
    </row>
    <row r="615" spans="1:6" x14ac:dyDescent="0.25">
      <c r="A615" s="1005" t="s">
        <v>291</v>
      </c>
      <c r="B615" s="1003"/>
      <c r="C615" s="1003"/>
      <c r="D615" s="1004"/>
      <c r="E615" s="1004"/>
      <c r="F615" s="1004"/>
    </row>
    <row r="616" spans="1:6" x14ac:dyDescent="0.25">
      <c r="A616" s="846" t="s">
        <v>1048</v>
      </c>
      <c r="B616" s="1003"/>
      <c r="C616" s="1003"/>
      <c r="D616" s="1004"/>
      <c r="E616" s="1004"/>
      <c r="F616" s="1004"/>
    </row>
    <row r="617" spans="1:6" ht="60" x14ac:dyDescent="0.25">
      <c r="A617" s="846" t="s">
        <v>533</v>
      </c>
      <c r="B617" s="1003">
        <v>41808</v>
      </c>
      <c r="C617" s="1003">
        <v>42116</v>
      </c>
      <c r="D617" s="1004">
        <v>3463454100</v>
      </c>
      <c r="E617" s="1004">
        <v>3320263630</v>
      </c>
      <c r="F617" s="1004">
        <v>143190470</v>
      </c>
    </row>
    <row r="618" spans="1:6" x14ac:dyDescent="0.25">
      <c r="A618" s="846" t="s">
        <v>305</v>
      </c>
      <c r="B618" s="1001"/>
      <c r="C618" s="1001"/>
      <c r="D618" s="1002"/>
      <c r="E618" s="1002"/>
      <c r="F618" s="1002"/>
    </row>
    <row r="619" spans="1:6" x14ac:dyDescent="0.25">
      <c r="A619" s="846" t="s">
        <v>306</v>
      </c>
      <c r="B619" s="1001"/>
      <c r="C619" s="1001"/>
      <c r="D619" s="1002"/>
      <c r="E619" s="1002"/>
      <c r="F619" s="1002"/>
    </row>
    <row r="620" spans="1:6" ht="30" x14ac:dyDescent="0.25">
      <c r="A620" s="846" t="s">
        <v>534</v>
      </c>
      <c r="B620" s="1001">
        <v>41841</v>
      </c>
      <c r="C620" s="1001">
        <v>41872</v>
      </c>
      <c r="D620" s="1002">
        <v>330000</v>
      </c>
      <c r="E620" s="1002">
        <v>330000</v>
      </c>
      <c r="F620" s="1002">
        <v>0</v>
      </c>
    </row>
    <row r="621" spans="1:6" x14ac:dyDescent="0.25">
      <c r="A621" s="1005" t="s">
        <v>285</v>
      </c>
      <c r="B621" s="1003"/>
      <c r="C621" s="1003"/>
      <c r="D621" s="1004"/>
      <c r="E621" s="1004"/>
      <c r="F621" s="1004"/>
    </row>
    <row r="622" spans="1:6" x14ac:dyDescent="0.25">
      <c r="A622" s="846" t="s">
        <v>3</v>
      </c>
      <c r="B622" s="1001"/>
      <c r="C622" s="1001"/>
      <c r="D622" s="1002"/>
      <c r="E622" s="1002"/>
      <c r="F622" s="1002"/>
    </row>
    <row r="623" spans="1:6" x14ac:dyDescent="0.25">
      <c r="A623" s="846" t="s">
        <v>402</v>
      </c>
      <c r="B623" s="1001">
        <v>41806</v>
      </c>
      <c r="C623" s="1001">
        <v>41959</v>
      </c>
      <c r="D623" s="1002">
        <v>251750000</v>
      </c>
      <c r="E623" s="1002">
        <v>180186681</v>
      </c>
      <c r="F623" s="1002">
        <v>71563319</v>
      </c>
    </row>
    <row r="624" spans="1:6" x14ac:dyDescent="0.25">
      <c r="A624" s="846" t="s">
        <v>299</v>
      </c>
      <c r="B624" s="1001"/>
      <c r="C624" s="1001"/>
      <c r="D624" s="1002"/>
      <c r="E624" s="1002"/>
      <c r="F624" s="1002"/>
    </row>
    <row r="625" spans="1:6" x14ac:dyDescent="0.25">
      <c r="A625" s="846" t="s">
        <v>1049</v>
      </c>
      <c r="B625" s="1001"/>
      <c r="C625" s="1001"/>
      <c r="D625" s="1002"/>
      <c r="E625" s="1002"/>
      <c r="F625" s="1002"/>
    </row>
    <row r="626" spans="1:6" ht="30" x14ac:dyDescent="0.25">
      <c r="A626" s="846" t="s">
        <v>535</v>
      </c>
      <c r="B626" s="1001">
        <v>41838</v>
      </c>
      <c r="C626" s="1001">
        <v>41852</v>
      </c>
      <c r="D626" s="1002">
        <v>2962640</v>
      </c>
      <c r="E626" s="1002">
        <v>2962640</v>
      </c>
      <c r="F626" s="1002">
        <v>0</v>
      </c>
    </row>
    <row r="627" spans="1:6" x14ac:dyDescent="0.25">
      <c r="A627" s="1005" t="s">
        <v>294</v>
      </c>
      <c r="B627" s="1003"/>
      <c r="C627" s="1003"/>
      <c r="D627" s="1004"/>
      <c r="E627" s="1004"/>
      <c r="F627" s="1004"/>
    </row>
    <row r="628" spans="1:6" x14ac:dyDescent="0.25">
      <c r="A628" s="846" t="s">
        <v>295</v>
      </c>
      <c r="B628" s="1003"/>
      <c r="C628" s="1003"/>
      <c r="D628" s="1004"/>
      <c r="E628" s="1004"/>
      <c r="F628" s="1004"/>
    </row>
    <row r="629" spans="1:6" ht="30" x14ac:dyDescent="0.25">
      <c r="A629" s="846" t="s">
        <v>536</v>
      </c>
      <c r="B629" s="1003">
        <v>41821</v>
      </c>
      <c r="C629" s="1003">
        <v>42186</v>
      </c>
      <c r="D629" s="1004">
        <v>36581760</v>
      </c>
      <c r="E629" s="1004">
        <v>34363318</v>
      </c>
      <c r="F629" s="1004">
        <v>2218442</v>
      </c>
    </row>
    <row r="630" spans="1:6" x14ac:dyDescent="0.25">
      <c r="A630" s="1005" t="s">
        <v>292</v>
      </c>
      <c r="B630" s="1003"/>
      <c r="C630" s="1003"/>
      <c r="D630" s="1004"/>
      <c r="E630" s="1004"/>
      <c r="F630" s="1004"/>
    </row>
    <row r="631" spans="1:6" x14ac:dyDescent="0.25">
      <c r="A631" s="846" t="s">
        <v>293</v>
      </c>
      <c r="B631" s="1003"/>
      <c r="C631" s="1003"/>
      <c r="D631" s="1004"/>
      <c r="E631" s="1004"/>
      <c r="F631" s="1004"/>
    </row>
    <row r="632" spans="1:6" ht="75" x14ac:dyDescent="0.25">
      <c r="A632" s="846" t="s">
        <v>537</v>
      </c>
      <c r="B632" s="1003">
        <v>41799</v>
      </c>
      <c r="C632" s="1003">
        <v>42247</v>
      </c>
      <c r="D632" s="1004">
        <v>18714400</v>
      </c>
      <c r="E632" s="1004">
        <v>18714400</v>
      </c>
      <c r="F632" s="1004">
        <v>0</v>
      </c>
    </row>
    <row r="633" spans="1:6" x14ac:dyDescent="0.25">
      <c r="A633" s="1005" t="s">
        <v>298</v>
      </c>
      <c r="B633" s="1003"/>
      <c r="C633" s="1003"/>
      <c r="D633" s="1004"/>
      <c r="E633" s="1004"/>
      <c r="F633" s="1004"/>
    </row>
    <row r="634" spans="1:6" x14ac:dyDescent="0.25">
      <c r="A634" s="846" t="s">
        <v>90</v>
      </c>
      <c r="B634" s="1003"/>
      <c r="C634" s="1003"/>
      <c r="D634" s="1004"/>
      <c r="E634" s="1004"/>
      <c r="F634" s="1004"/>
    </row>
    <row r="635" spans="1:6" ht="60" x14ac:dyDescent="0.25">
      <c r="A635" s="846" t="s">
        <v>538</v>
      </c>
      <c r="B635" s="1003">
        <v>41838</v>
      </c>
      <c r="C635" s="1003">
        <v>42203</v>
      </c>
      <c r="D635" s="1004">
        <v>683000</v>
      </c>
      <c r="E635" s="1004">
        <v>683000</v>
      </c>
      <c r="F635" s="1004">
        <v>0</v>
      </c>
    </row>
    <row r="636" spans="1:6" x14ac:dyDescent="0.25">
      <c r="A636" s="1005" t="s">
        <v>302</v>
      </c>
      <c r="B636" s="1003"/>
      <c r="C636" s="1003"/>
      <c r="D636" s="1004"/>
      <c r="E636" s="1004"/>
      <c r="F636" s="1004"/>
    </row>
    <row r="637" spans="1:6" x14ac:dyDescent="0.25">
      <c r="A637" s="846" t="s">
        <v>303</v>
      </c>
      <c r="B637" s="1003"/>
      <c r="C637" s="1003"/>
      <c r="D637" s="1004"/>
      <c r="E637" s="1004"/>
      <c r="F637" s="1004"/>
    </row>
    <row r="638" spans="1:6" ht="75" x14ac:dyDescent="0.25">
      <c r="A638" s="846" t="s">
        <v>539</v>
      </c>
      <c r="B638" s="1003">
        <v>41835</v>
      </c>
      <c r="C638" s="1003">
        <v>42050</v>
      </c>
      <c r="D638" s="1004">
        <v>4672000</v>
      </c>
      <c r="E638" s="1004">
        <v>1806200</v>
      </c>
      <c r="F638" s="1004">
        <v>2865800</v>
      </c>
    </row>
    <row r="639" spans="1:6" x14ac:dyDescent="0.25">
      <c r="A639" s="1005" t="s">
        <v>297</v>
      </c>
      <c r="B639" s="1003"/>
      <c r="C639" s="1003"/>
      <c r="D639" s="1004"/>
      <c r="E639" s="1004"/>
      <c r="F639" s="1004"/>
    </row>
    <row r="640" spans="1:6" x14ac:dyDescent="0.25">
      <c r="A640" s="1005" t="s">
        <v>999</v>
      </c>
      <c r="B640" s="1003"/>
      <c r="C640" s="1003"/>
      <c r="D640" s="1004"/>
      <c r="E640" s="1004"/>
      <c r="F640" s="1004"/>
    </row>
    <row r="641" spans="1:6" ht="45.75" x14ac:dyDescent="0.25">
      <c r="A641" s="1005" t="s">
        <v>540</v>
      </c>
      <c r="B641" s="1003">
        <v>41835</v>
      </c>
      <c r="C641" s="1003">
        <v>42139</v>
      </c>
      <c r="D641" s="1004">
        <v>97800000</v>
      </c>
      <c r="E641" s="1004">
        <v>97794518</v>
      </c>
      <c r="F641" s="1004">
        <v>5482</v>
      </c>
    </row>
    <row r="642" spans="1:6" x14ac:dyDescent="0.25">
      <c r="A642" s="1005" t="s">
        <v>304</v>
      </c>
      <c r="B642" s="1003"/>
      <c r="C642" s="1003"/>
      <c r="D642" s="1004"/>
      <c r="E642" s="1004"/>
      <c r="F642" s="1004"/>
    </row>
    <row r="643" spans="1:6" x14ac:dyDescent="0.25">
      <c r="A643" s="846" t="s">
        <v>1006</v>
      </c>
      <c r="B643" s="1003"/>
      <c r="C643" s="1003"/>
      <c r="D643" s="1004"/>
      <c r="E643" s="1004"/>
      <c r="F643" s="1004"/>
    </row>
    <row r="644" spans="1:6" ht="45" x14ac:dyDescent="0.25">
      <c r="A644" s="846" t="s">
        <v>371</v>
      </c>
      <c r="B644" s="1003">
        <v>41842</v>
      </c>
      <c r="C644" s="1003">
        <v>41965</v>
      </c>
      <c r="D644" s="1004">
        <v>2228070</v>
      </c>
      <c r="E644" s="1004">
        <v>2228070</v>
      </c>
      <c r="F644" s="1004">
        <v>0</v>
      </c>
    </row>
    <row r="645" spans="1:6" x14ac:dyDescent="0.25">
      <c r="A645" s="1005" t="s">
        <v>308</v>
      </c>
      <c r="B645" s="1003"/>
      <c r="C645" s="1003"/>
      <c r="D645" s="1004"/>
      <c r="E645" s="1004"/>
      <c r="F645" s="1004"/>
    </row>
    <row r="646" spans="1:6" x14ac:dyDescent="0.25">
      <c r="A646" s="846" t="s">
        <v>1050</v>
      </c>
      <c r="B646" s="1003"/>
      <c r="C646" s="1003"/>
      <c r="D646" s="1004"/>
      <c r="E646" s="1004"/>
      <c r="F646" s="1004"/>
    </row>
    <row r="647" spans="1:6" ht="30" x14ac:dyDescent="0.25">
      <c r="A647" s="846" t="s">
        <v>373</v>
      </c>
      <c r="B647" s="1003">
        <v>41862</v>
      </c>
      <c r="C647" s="1003">
        <v>41923</v>
      </c>
      <c r="D647" s="1004">
        <v>2260000</v>
      </c>
      <c r="E647" s="1004">
        <v>1595000</v>
      </c>
      <c r="F647" s="1004">
        <v>665000</v>
      </c>
    </row>
    <row r="648" spans="1:6" x14ac:dyDescent="0.25">
      <c r="A648" s="1005" t="s">
        <v>307</v>
      </c>
      <c r="B648" s="1003"/>
      <c r="C648" s="1003"/>
      <c r="D648" s="1004"/>
      <c r="E648" s="1004"/>
      <c r="F648" s="1004"/>
    </row>
    <row r="649" spans="1:6" x14ac:dyDescent="0.25">
      <c r="A649" s="846" t="s">
        <v>144</v>
      </c>
      <c r="B649" s="1003"/>
      <c r="C649" s="1003"/>
      <c r="D649" s="1004"/>
      <c r="E649" s="1004"/>
      <c r="F649" s="1004"/>
    </row>
    <row r="650" spans="1:6" ht="45" x14ac:dyDescent="0.25">
      <c r="A650" s="846" t="s">
        <v>372</v>
      </c>
      <c r="B650" s="1003">
        <v>41850</v>
      </c>
      <c r="C650" s="1003">
        <v>42108</v>
      </c>
      <c r="D650" s="1004">
        <v>290648563</v>
      </c>
      <c r="E650" s="1004">
        <v>290648563</v>
      </c>
      <c r="F650" s="1004">
        <v>0</v>
      </c>
    </row>
    <row r="651" spans="1:6" x14ac:dyDescent="0.25">
      <c r="A651" s="1005" t="s">
        <v>546</v>
      </c>
      <c r="B651" s="1003"/>
      <c r="C651" s="1003"/>
      <c r="D651" s="1004"/>
      <c r="E651" s="1004"/>
      <c r="F651" s="1004"/>
    </row>
    <row r="652" spans="1:6" x14ac:dyDescent="0.25">
      <c r="A652" s="846" t="s">
        <v>310</v>
      </c>
      <c r="B652" s="1003"/>
      <c r="C652" s="1003"/>
      <c r="D652" s="1004"/>
      <c r="E652" s="1004"/>
      <c r="F652" s="1004"/>
    </row>
    <row r="653" spans="1:6" x14ac:dyDescent="0.25">
      <c r="A653" s="846" t="s">
        <v>545</v>
      </c>
      <c r="B653" s="1003">
        <v>41871</v>
      </c>
      <c r="C653" s="1003">
        <v>41932</v>
      </c>
      <c r="D653" s="1004">
        <v>14975600</v>
      </c>
      <c r="E653" s="1004">
        <v>14975600</v>
      </c>
      <c r="F653" s="1004">
        <v>0</v>
      </c>
    </row>
    <row r="654" spans="1:6" x14ac:dyDescent="0.25">
      <c r="A654" s="1005" t="s">
        <v>548</v>
      </c>
      <c r="B654" s="1003"/>
      <c r="C654" s="1003"/>
      <c r="D654" s="1004"/>
      <c r="E654" s="1004"/>
      <c r="F654" s="1004"/>
    </row>
    <row r="655" spans="1:6" x14ac:dyDescent="0.25">
      <c r="A655" s="846" t="s">
        <v>13</v>
      </c>
      <c r="B655" s="1001"/>
      <c r="C655" s="1001"/>
      <c r="D655" s="1002"/>
      <c r="E655" s="1002"/>
      <c r="F655" s="1002"/>
    </row>
    <row r="656" spans="1:6" x14ac:dyDescent="0.25">
      <c r="A656" s="846" t="s">
        <v>550</v>
      </c>
      <c r="B656" s="1001">
        <v>41893</v>
      </c>
      <c r="C656" s="1001">
        <v>42258</v>
      </c>
      <c r="D656" s="1002">
        <v>936000</v>
      </c>
      <c r="E656" s="1002">
        <v>936000</v>
      </c>
      <c r="F656" s="1002">
        <v>0</v>
      </c>
    </row>
    <row r="657" spans="1:6" x14ac:dyDescent="0.25">
      <c r="A657" s="1005" t="s">
        <v>551</v>
      </c>
      <c r="B657" s="1003"/>
      <c r="C657" s="1003"/>
      <c r="D657" s="1004"/>
      <c r="E657" s="1004"/>
      <c r="F657" s="1004"/>
    </row>
    <row r="658" spans="1:6" x14ac:dyDescent="0.25">
      <c r="A658" s="846" t="s">
        <v>29</v>
      </c>
      <c r="B658" s="1001"/>
      <c r="C658" s="1001"/>
      <c r="D658" s="1002"/>
      <c r="E658" s="1002"/>
      <c r="F658" s="1002"/>
    </row>
    <row r="659" spans="1:6" x14ac:dyDescent="0.25">
      <c r="A659" s="846" t="s">
        <v>1001</v>
      </c>
      <c r="B659" s="1001">
        <v>41896</v>
      </c>
      <c r="C659" s="1001">
        <v>42261</v>
      </c>
      <c r="D659" s="1002">
        <v>855000</v>
      </c>
      <c r="E659" s="1002">
        <v>855000</v>
      </c>
      <c r="F659" s="1002">
        <v>0</v>
      </c>
    </row>
    <row r="660" spans="1:6" x14ac:dyDescent="0.25">
      <c r="A660" s="1005" t="s">
        <v>553</v>
      </c>
      <c r="B660" s="1003"/>
      <c r="C660" s="1003"/>
      <c r="D660" s="1004"/>
      <c r="E660" s="1004"/>
      <c r="F660" s="1004"/>
    </row>
    <row r="661" spans="1:6" x14ac:dyDescent="0.25">
      <c r="A661" s="846" t="s">
        <v>554</v>
      </c>
      <c r="B661" s="1003"/>
      <c r="C661" s="1003"/>
      <c r="D661" s="1004"/>
      <c r="E661" s="1004"/>
      <c r="F661" s="1004"/>
    </row>
    <row r="662" spans="1:6" ht="45" x14ac:dyDescent="0.25">
      <c r="A662" s="846" t="s">
        <v>1002</v>
      </c>
      <c r="B662" s="1003">
        <v>41887</v>
      </c>
      <c r="C662" s="1003">
        <v>42009</v>
      </c>
      <c r="D662" s="1004">
        <v>19356282</v>
      </c>
      <c r="E662" s="1004">
        <v>19356282</v>
      </c>
      <c r="F662" s="1004">
        <v>0</v>
      </c>
    </row>
    <row r="663" spans="1:6" x14ac:dyDescent="0.25">
      <c r="A663" s="1005" t="s">
        <v>555</v>
      </c>
      <c r="B663" s="1003"/>
      <c r="C663" s="1003"/>
      <c r="D663" s="1004"/>
      <c r="E663" s="1004"/>
      <c r="F663" s="1004"/>
    </row>
    <row r="664" spans="1:6" x14ac:dyDescent="0.25">
      <c r="A664" s="846" t="s">
        <v>1067</v>
      </c>
      <c r="B664" s="1001"/>
      <c r="C664" s="1001"/>
      <c r="D664" s="1002"/>
      <c r="E664" s="1002"/>
      <c r="F664" s="1002"/>
    </row>
    <row r="665" spans="1:6" ht="45" x14ac:dyDescent="0.25">
      <c r="A665" s="846" t="s">
        <v>1003</v>
      </c>
      <c r="B665" s="1001">
        <v>41891</v>
      </c>
      <c r="C665" s="1001">
        <v>42013</v>
      </c>
      <c r="D665" s="1002">
        <v>25000000</v>
      </c>
      <c r="E665" s="1002">
        <v>25000000</v>
      </c>
      <c r="F665" s="1002">
        <v>0</v>
      </c>
    </row>
    <row r="666" spans="1:6" x14ac:dyDescent="0.25">
      <c r="A666" s="1005" t="s">
        <v>556</v>
      </c>
      <c r="B666" s="1003"/>
      <c r="C666" s="1003"/>
      <c r="D666" s="1004"/>
      <c r="E666" s="1004"/>
      <c r="F666" s="1004"/>
    </row>
    <row r="667" spans="1:6" x14ac:dyDescent="0.25">
      <c r="A667" s="846" t="s">
        <v>1004</v>
      </c>
      <c r="B667" s="1003"/>
      <c r="C667" s="1003"/>
      <c r="D667" s="1004"/>
      <c r="E667" s="1004"/>
      <c r="F667" s="1004"/>
    </row>
    <row r="668" spans="1:6" ht="45" x14ac:dyDescent="0.25">
      <c r="A668" s="846" t="s">
        <v>557</v>
      </c>
      <c r="B668" s="1003">
        <v>41893</v>
      </c>
      <c r="C668" s="1003">
        <v>42046</v>
      </c>
      <c r="D668" s="1004">
        <v>25000000</v>
      </c>
      <c r="E668" s="1004">
        <v>25000000</v>
      </c>
      <c r="F668" s="1004">
        <v>0</v>
      </c>
    </row>
    <row r="669" spans="1:6" x14ac:dyDescent="0.25">
      <c r="A669" s="846" t="s">
        <v>1069</v>
      </c>
      <c r="B669" s="1001"/>
      <c r="C669" s="1001"/>
      <c r="D669" s="1002"/>
      <c r="E669" s="1002"/>
      <c r="F669" s="1002"/>
    </row>
    <row r="670" spans="1:6" x14ac:dyDescent="0.25">
      <c r="A670" s="846" t="s">
        <v>1070</v>
      </c>
      <c r="B670" s="1001"/>
      <c r="C670" s="1001"/>
      <c r="D670" s="1002"/>
      <c r="E670" s="1002"/>
      <c r="F670" s="1002"/>
    </row>
    <row r="671" spans="1:6" ht="45" x14ac:dyDescent="0.25">
      <c r="A671" s="846" t="s">
        <v>1074</v>
      </c>
      <c r="B671" s="1001">
        <v>41900</v>
      </c>
      <c r="C671" s="1001">
        <v>42053</v>
      </c>
      <c r="D671" s="1002">
        <v>17500000</v>
      </c>
      <c r="E671" s="1002">
        <v>17500000</v>
      </c>
      <c r="F671" s="1002">
        <v>0</v>
      </c>
    </row>
    <row r="672" spans="1:6" x14ac:dyDescent="0.25">
      <c r="A672" s="846" t="s">
        <v>1071</v>
      </c>
      <c r="B672" s="1001"/>
      <c r="C672" s="1001"/>
      <c r="D672" s="1002"/>
      <c r="E672" s="1002"/>
      <c r="F672" s="1002"/>
    </row>
    <row r="673" spans="1:6" x14ac:dyDescent="0.25">
      <c r="A673" s="846" t="s">
        <v>1072</v>
      </c>
      <c r="B673" s="1001"/>
      <c r="C673" s="1001"/>
      <c r="D673" s="1002"/>
      <c r="E673" s="1002"/>
      <c r="F673" s="1002"/>
    </row>
    <row r="674" spans="1:6" ht="45" x14ac:dyDescent="0.25">
      <c r="A674" s="846" t="s">
        <v>1075</v>
      </c>
      <c r="B674" s="1001">
        <v>41911</v>
      </c>
      <c r="C674" s="1001">
        <v>42033</v>
      </c>
      <c r="D674" s="1002">
        <v>10000000</v>
      </c>
      <c r="E674" s="1002">
        <v>10000000</v>
      </c>
      <c r="F674" s="1002">
        <v>0</v>
      </c>
    </row>
    <row r="675" spans="1:6" x14ac:dyDescent="0.25">
      <c r="A675" s="846" t="s">
        <v>1101</v>
      </c>
      <c r="B675" s="1001"/>
      <c r="C675" s="1001"/>
      <c r="D675" s="1002"/>
      <c r="E675" s="1002"/>
      <c r="F675" s="1002"/>
    </row>
    <row r="676" spans="1:6" x14ac:dyDescent="0.25">
      <c r="A676" s="846" t="s">
        <v>435</v>
      </c>
      <c r="B676" s="1001"/>
      <c r="C676" s="1001"/>
      <c r="D676" s="1002"/>
      <c r="E676" s="1002"/>
      <c r="F676" s="1002"/>
    </row>
    <row r="677" spans="1:6" ht="45" x14ac:dyDescent="0.25">
      <c r="A677" s="846" t="s">
        <v>1103</v>
      </c>
      <c r="B677" s="1001">
        <v>41842</v>
      </c>
      <c r="C677" s="1001">
        <v>42207</v>
      </c>
      <c r="D677" s="1002">
        <v>6252000</v>
      </c>
      <c r="E677" s="1002">
        <v>5665189</v>
      </c>
      <c r="F677" s="1002">
        <v>586811</v>
      </c>
    </row>
    <row r="678" spans="1:6" x14ac:dyDescent="0.25">
      <c r="A678" s="846" t="s">
        <v>1334</v>
      </c>
      <c r="B678" s="1001"/>
      <c r="C678" s="1001"/>
      <c r="D678" s="1002"/>
      <c r="E678" s="1002"/>
      <c r="F678" s="1002"/>
    </row>
    <row r="679" spans="1:6" x14ac:dyDescent="0.25">
      <c r="A679" s="846" t="s">
        <v>1335</v>
      </c>
      <c r="B679" s="1001"/>
      <c r="C679" s="1001"/>
      <c r="D679" s="1002"/>
      <c r="E679" s="1002"/>
      <c r="F679" s="1002"/>
    </row>
    <row r="680" spans="1:6" ht="60" x14ac:dyDescent="0.25">
      <c r="A680" s="846" t="s">
        <v>1336</v>
      </c>
      <c r="B680" s="1001">
        <v>41935</v>
      </c>
      <c r="C680" s="1001">
        <v>42027</v>
      </c>
      <c r="D680" s="1002">
        <v>4136000</v>
      </c>
      <c r="E680" s="1002">
        <v>2251047</v>
      </c>
      <c r="F680" s="1002">
        <v>1884953</v>
      </c>
    </row>
    <row r="681" spans="1:6" x14ac:dyDescent="0.25">
      <c r="A681" s="846" t="s">
        <v>919</v>
      </c>
      <c r="B681" s="1001"/>
      <c r="C681" s="1001"/>
      <c r="D681" s="1002"/>
      <c r="E681" s="1002"/>
      <c r="F681" s="1002"/>
    </row>
    <row r="682" spans="1:6" x14ac:dyDescent="0.25">
      <c r="A682" s="846" t="s">
        <v>1104</v>
      </c>
      <c r="B682" s="1001">
        <v>41837</v>
      </c>
      <c r="C682" s="1001">
        <v>42202</v>
      </c>
      <c r="D682" s="1002">
        <v>3846133</v>
      </c>
      <c r="E682" s="1002">
        <v>0</v>
      </c>
      <c r="F682" s="1002">
        <v>3846133</v>
      </c>
    </row>
    <row r="683" spans="1:6" x14ac:dyDescent="0.25">
      <c r="A683" s="846" t="s">
        <v>1106</v>
      </c>
      <c r="B683" s="1001"/>
      <c r="C683" s="1001"/>
      <c r="D683" s="1002"/>
      <c r="E683" s="1002"/>
      <c r="F683" s="1002"/>
    </row>
    <row r="684" spans="1:6" x14ac:dyDescent="0.25">
      <c r="A684" s="846" t="s">
        <v>100</v>
      </c>
      <c r="B684" s="1001">
        <v>41703</v>
      </c>
      <c r="C684" s="1001">
        <v>42129</v>
      </c>
      <c r="D684" s="1002">
        <v>30000000</v>
      </c>
      <c r="E684" s="1002">
        <v>28330110</v>
      </c>
      <c r="F684" s="1002">
        <v>1669890</v>
      </c>
    </row>
    <row r="685" spans="1:6" x14ac:dyDescent="0.25">
      <c r="A685" s="846" t="s">
        <v>1109</v>
      </c>
      <c r="B685" s="1001"/>
      <c r="C685" s="1001"/>
      <c r="D685" s="1002"/>
      <c r="E685" s="1002"/>
      <c r="F685" s="1002"/>
    </row>
    <row r="686" spans="1:6" x14ac:dyDescent="0.25">
      <c r="A686" s="846" t="s">
        <v>222</v>
      </c>
      <c r="B686" s="1001">
        <v>41675</v>
      </c>
      <c r="C686" s="1001">
        <v>42008</v>
      </c>
      <c r="D686" s="1002">
        <v>55000000</v>
      </c>
      <c r="E686" s="1002">
        <v>55000000</v>
      </c>
      <c r="F686" s="1002">
        <v>0</v>
      </c>
    </row>
    <row r="687" spans="1:6" x14ac:dyDescent="0.25">
      <c r="A687" s="846" t="s">
        <v>1114</v>
      </c>
      <c r="B687" s="1001"/>
      <c r="C687" s="1001"/>
      <c r="D687" s="1002"/>
      <c r="E687" s="1002"/>
      <c r="F687" s="1002"/>
    </row>
    <row r="688" spans="1:6" x14ac:dyDescent="0.25">
      <c r="A688" s="846" t="s">
        <v>1115</v>
      </c>
      <c r="B688" s="1001"/>
      <c r="C688" s="1001"/>
      <c r="D688" s="1002"/>
      <c r="E688" s="1002"/>
      <c r="F688" s="1002"/>
    </row>
    <row r="689" spans="1:6" x14ac:dyDescent="0.25">
      <c r="A689" s="846" t="s">
        <v>1116</v>
      </c>
      <c r="B689" s="1001">
        <v>41929</v>
      </c>
      <c r="C689" s="1001">
        <v>42021</v>
      </c>
      <c r="D689" s="1002">
        <v>14153603</v>
      </c>
      <c r="E689" s="1002">
        <v>14153603</v>
      </c>
      <c r="F689" s="1002">
        <v>0</v>
      </c>
    </row>
    <row r="690" spans="1:6" x14ac:dyDescent="0.25">
      <c r="A690" s="846" t="s">
        <v>1120</v>
      </c>
      <c r="B690" s="1001"/>
      <c r="C690" s="1001"/>
      <c r="D690" s="1002"/>
      <c r="E690" s="1002"/>
      <c r="F690" s="1002"/>
    </row>
    <row r="691" spans="1:6" x14ac:dyDescent="0.25">
      <c r="A691" s="846" t="s">
        <v>1121</v>
      </c>
      <c r="B691" s="1001"/>
      <c r="C691" s="1001"/>
      <c r="D691" s="1002"/>
      <c r="E691" s="1002"/>
      <c r="F691" s="1002"/>
    </row>
    <row r="692" spans="1:6" ht="30" x14ac:dyDescent="0.25">
      <c r="A692" s="846" t="s">
        <v>1773</v>
      </c>
      <c r="B692" s="1001">
        <v>41928</v>
      </c>
      <c r="C692" s="1001">
        <v>42004</v>
      </c>
      <c r="D692" s="1002">
        <v>812500</v>
      </c>
      <c r="E692" s="1002">
        <v>812500</v>
      </c>
      <c r="F692" s="1002">
        <v>0</v>
      </c>
    </row>
    <row r="693" spans="1:6" x14ac:dyDescent="0.25">
      <c r="A693" s="846" t="s">
        <v>1111</v>
      </c>
      <c r="B693" s="1001"/>
      <c r="C693" s="1001"/>
      <c r="D693" s="1002"/>
      <c r="E693" s="1002"/>
      <c r="F693" s="1002"/>
    </row>
    <row r="694" spans="1:6" x14ac:dyDescent="0.25">
      <c r="A694" s="846" t="s">
        <v>1112</v>
      </c>
      <c r="B694" s="1001"/>
      <c r="C694" s="1001"/>
      <c r="D694" s="1002"/>
      <c r="E694" s="1002"/>
      <c r="F694" s="1002"/>
    </row>
    <row r="695" spans="1:6" ht="30" x14ac:dyDescent="0.25">
      <c r="A695" s="846" t="s">
        <v>1113</v>
      </c>
      <c r="B695" s="1001">
        <v>41921</v>
      </c>
      <c r="C695" s="1001">
        <v>42116</v>
      </c>
      <c r="D695" s="1002">
        <v>818527824</v>
      </c>
      <c r="E695" s="1002">
        <v>800790708</v>
      </c>
      <c r="F695" s="1002">
        <v>17737116</v>
      </c>
    </row>
    <row r="696" spans="1:6" x14ac:dyDescent="0.25">
      <c r="A696" s="846" t="s">
        <v>1117</v>
      </c>
      <c r="B696" s="1001"/>
      <c r="C696" s="1001"/>
      <c r="D696" s="1002"/>
      <c r="E696" s="1002"/>
      <c r="F696" s="1002"/>
    </row>
    <row r="697" spans="1:6" x14ac:dyDescent="0.25">
      <c r="A697" s="846" t="s">
        <v>1118</v>
      </c>
      <c r="B697" s="1001"/>
      <c r="C697" s="1001"/>
      <c r="D697" s="1002"/>
      <c r="E697" s="1002"/>
      <c r="F697" s="1002"/>
    </row>
    <row r="698" spans="1:6" ht="45" x14ac:dyDescent="0.25">
      <c r="A698" s="846" t="s">
        <v>1119</v>
      </c>
      <c r="B698" s="1001">
        <v>41929</v>
      </c>
      <c r="C698" s="1001">
        <v>42369</v>
      </c>
      <c r="D698" s="1002">
        <v>75520000</v>
      </c>
      <c r="E698" s="1002">
        <v>75519999</v>
      </c>
      <c r="F698" s="1002">
        <v>1</v>
      </c>
    </row>
    <row r="699" spans="1:6" x14ac:dyDescent="0.25">
      <c r="A699" s="846" t="s">
        <v>1163</v>
      </c>
      <c r="B699" s="1001"/>
      <c r="C699" s="1001"/>
      <c r="D699" s="1002"/>
      <c r="E699" s="1002"/>
      <c r="F699" s="1002"/>
    </row>
    <row r="700" spans="1:6" x14ac:dyDescent="0.25">
      <c r="A700" s="846" t="s">
        <v>1164</v>
      </c>
      <c r="B700" s="1001"/>
      <c r="C700" s="1001"/>
      <c r="D700" s="1002"/>
      <c r="E700" s="1002"/>
      <c r="F700" s="1002"/>
    </row>
    <row r="701" spans="1:6" ht="30" x14ac:dyDescent="0.25">
      <c r="A701" s="846" t="s">
        <v>2137</v>
      </c>
      <c r="B701" s="1001">
        <v>41936</v>
      </c>
      <c r="C701" s="1001">
        <v>42301</v>
      </c>
      <c r="D701" s="1002">
        <v>16592327</v>
      </c>
      <c r="E701" s="1002">
        <v>14933095</v>
      </c>
      <c r="F701" s="1002">
        <v>1659232</v>
      </c>
    </row>
    <row r="702" spans="1:6" x14ac:dyDescent="0.25">
      <c r="A702" s="846" t="s">
        <v>1156</v>
      </c>
      <c r="B702" s="1001"/>
      <c r="C702" s="1001"/>
      <c r="D702" s="1002"/>
      <c r="E702" s="1002"/>
      <c r="F702" s="1002"/>
    </row>
    <row r="703" spans="1:6" x14ac:dyDescent="0.25">
      <c r="A703" s="846" t="s">
        <v>33</v>
      </c>
      <c r="B703" s="1001"/>
      <c r="C703" s="1001"/>
      <c r="D703" s="1002"/>
      <c r="E703" s="1002"/>
      <c r="F703" s="1002"/>
    </row>
    <row r="704" spans="1:6" x14ac:dyDescent="0.25">
      <c r="A704" s="846" t="s">
        <v>1157</v>
      </c>
      <c r="B704" s="1001">
        <v>41912</v>
      </c>
      <c r="C704" s="1001">
        <v>42277</v>
      </c>
      <c r="D704" s="1002">
        <v>807000</v>
      </c>
      <c r="E704" s="1002">
        <v>807000</v>
      </c>
      <c r="F704" s="1002">
        <v>0</v>
      </c>
    </row>
    <row r="705" spans="1:6" x14ac:dyDescent="0.25">
      <c r="A705" s="846" t="s">
        <v>1161</v>
      </c>
      <c r="B705" s="1001"/>
      <c r="C705" s="1001"/>
      <c r="D705" s="1002"/>
      <c r="E705" s="1002"/>
      <c r="F705" s="1002"/>
    </row>
    <row r="706" spans="1:6" x14ac:dyDescent="0.25">
      <c r="A706" s="846" t="s">
        <v>1162</v>
      </c>
      <c r="B706" s="1001"/>
      <c r="C706" s="1001"/>
      <c r="D706" s="1002"/>
      <c r="E706" s="1002"/>
      <c r="F706" s="1002"/>
    </row>
    <row r="707" spans="1:6" ht="60" x14ac:dyDescent="0.25">
      <c r="A707" s="846" t="s">
        <v>1772</v>
      </c>
      <c r="B707" s="1001">
        <v>41926</v>
      </c>
      <c r="C707" s="1001">
        <v>42138</v>
      </c>
      <c r="D707" s="1002">
        <v>41850000</v>
      </c>
      <c r="E707" s="1002">
        <v>26363000</v>
      </c>
      <c r="F707" s="1002">
        <v>15487000</v>
      </c>
    </row>
    <row r="708" spans="1:6" x14ac:dyDescent="0.25">
      <c r="A708" s="846" t="s">
        <v>1158</v>
      </c>
      <c r="B708" s="1001"/>
      <c r="C708" s="1001"/>
      <c r="D708" s="1002"/>
      <c r="E708" s="1002"/>
      <c r="F708" s="1002"/>
    </row>
    <row r="709" spans="1:6" x14ac:dyDescent="0.25">
      <c r="A709" s="846" t="s">
        <v>186</v>
      </c>
      <c r="B709" s="1001"/>
      <c r="C709" s="1001"/>
      <c r="D709" s="1002"/>
      <c r="E709" s="1002"/>
      <c r="F709" s="1002"/>
    </row>
    <row r="710" spans="1:6" ht="45" x14ac:dyDescent="0.25">
      <c r="A710" s="846" t="s">
        <v>1317</v>
      </c>
      <c r="B710" s="1001">
        <v>41907</v>
      </c>
      <c r="C710" s="1001">
        <v>41996</v>
      </c>
      <c r="D710" s="1002">
        <v>311460000</v>
      </c>
      <c r="E710" s="1002">
        <v>93438000</v>
      </c>
      <c r="F710" s="1002">
        <v>218022000</v>
      </c>
    </row>
    <row r="711" spans="1:6" x14ac:dyDescent="0.25">
      <c r="A711" s="846" t="s">
        <v>1159</v>
      </c>
      <c r="B711" s="1001"/>
      <c r="C711" s="1001"/>
      <c r="D711" s="1002"/>
      <c r="E711" s="1002"/>
      <c r="F711" s="1002"/>
    </row>
    <row r="712" spans="1:6" x14ac:dyDescent="0.25">
      <c r="A712" s="846" t="s">
        <v>22</v>
      </c>
      <c r="B712" s="1001"/>
      <c r="C712" s="1001"/>
      <c r="D712" s="1002"/>
      <c r="E712" s="1002"/>
      <c r="F712" s="1002"/>
    </row>
    <row r="713" spans="1:6" ht="30" x14ac:dyDescent="0.25">
      <c r="A713" s="846" t="s">
        <v>1160</v>
      </c>
      <c r="B713" s="1001">
        <v>41929</v>
      </c>
      <c r="C713" s="1001">
        <v>42477</v>
      </c>
      <c r="D713" s="1002">
        <v>66816000</v>
      </c>
      <c r="E713" s="1002">
        <v>66816000</v>
      </c>
      <c r="F713" s="1002">
        <v>0</v>
      </c>
    </row>
    <row r="714" spans="1:6" x14ac:dyDescent="0.25">
      <c r="A714" s="846" t="s">
        <v>599</v>
      </c>
      <c r="B714" s="1001"/>
      <c r="C714" s="1001"/>
      <c r="D714" s="1002"/>
      <c r="E714" s="1002"/>
      <c r="F714" s="1002"/>
    </row>
    <row r="715" spans="1:6" x14ac:dyDescent="0.25">
      <c r="A715" s="846" t="s">
        <v>1026</v>
      </c>
      <c r="B715" s="1001"/>
      <c r="C715" s="1001"/>
      <c r="D715" s="1002"/>
      <c r="E715" s="1002"/>
      <c r="F715" s="1002"/>
    </row>
    <row r="716" spans="1:6" ht="45" x14ac:dyDescent="0.25">
      <c r="A716" s="846" t="s">
        <v>461</v>
      </c>
      <c r="B716" s="1001">
        <v>41248</v>
      </c>
      <c r="C716" s="1001">
        <v>41580</v>
      </c>
      <c r="D716" s="1002">
        <v>9037264</v>
      </c>
      <c r="E716" s="1002">
        <v>7492420</v>
      </c>
      <c r="F716" s="1002">
        <v>1544844</v>
      </c>
    </row>
    <row r="717" spans="1:6" x14ac:dyDescent="0.25">
      <c r="A717" s="846" t="s">
        <v>857</v>
      </c>
      <c r="B717" s="1001"/>
      <c r="C717" s="1001"/>
      <c r="D717" s="1002"/>
      <c r="E717" s="1002"/>
      <c r="F717" s="1002"/>
    </row>
    <row r="718" spans="1:6" x14ac:dyDescent="0.25">
      <c r="A718" s="846" t="s">
        <v>1339</v>
      </c>
      <c r="B718" s="1001"/>
      <c r="C718" s="1001"/>
      <c r="D718" s="1002"/>
      <c r="E718" s="1002"/>
      <c r="F718" s="1002"/>
    </row>
    <row r="719" spans="1:6" ht="45" x14ac:dyDescent="0.25">
      <c r="A719" s="846" t="s">
        <v>1340</v>
      </c>
      <c r="B719" s="1001">
        <v>41610</v>
      </c>
      <c r="C719" s="1001">
        <v>41975</v>
      </c>
      <c r="D719" s="1002">
        <v>150000000</v>
      </c>
      <c r="E719" s="1002">
        <v>0</v>
      </c>
      <c r="F719" s="1002">
        <v>150000000</v>
      </c>
    </row>
    <row r="720" spans="1:6" x14ac:dyDescent="0.25">
      <c r="A720" s="846" t="s">
        <v>1330</v>
      </c>
      <c r="B720" s="1001"/>
      <c r="C720" s="1001"/>
      <c r="D720" s="1002"/>
      <c r="E720" s="1002"/>
      <c r="F720" s="1002"/>
    </row>
    <row r="721" spans="1:6" x14ac:dyDescent="0.25">
      <c r="A721" s="846" t="s">
        <v>1020</v>
      </c>
      <c r="B721" s="1001"/>
      <c r="C721" s="1001"/>
      <c r="D721" s="1002"/>
      <c r="E721" s="1002"/>
      <c r="F721" s="1002"/>
    </row>
    <row r="722" spans="1:6" x14ac:dyDescent="0.25">
      <c r="A722" s="846" t="s">
        <v>1331</v>
      </c>
      <c r="B722" s="1001">
        <v>41940</v>
      </c>
      <c r="C722" s="1001">
        <v>42305</v>
      </c>
      <c r="D722" s="1002">
        <v>810000</v>
      </c>
      <c r="E722" s="1002">
        <v>810000</v>
      </c>
      <c r="F722" s="1002">
        <v>0</v>
      </c>
    </row>
    <row r="723" spans="1:6" x14ac:dyDescent="0.25">
      <c r="A723" s="846" t="s">
        <v>1337</v>
      </c>
      <c r="B723" s="1001"/>
      <c r="C723" s="1001"/>
      <c r="D723" s="1002"/>
      <c r="E723" s="1002"/>
      <c r="F723" s="1002"/>
    </row>
    <row r="724" spans="1:6" x14ac:dyDescent="0.25">
      <c r="A724" s="846" t="s">
        <v>203</v>
      </c>
      <c r="B724" s="1001"/>
      <c r="C724" s="1001"/>
      <c r="D724" s="1002"/>
      <c r="E724" s="1002"/>
      <c r="F724" s="1002"/>
    </row>
    <row r="725" spans="1:6" ht="30" x14ac:dyDescent="0.25">
      <c r="A725" s="846" t="s">
        <v>1338</v>
      </c>
      <c r="B725" s="1001">
        <v>41934</v>
      </c>
      <c r="C725" s="1001">
        <v>42085</v>
      </c>
      <c r="D725" s="1002">
        <v>4621440</v>
      </c>
      <c r="E725" s="1002">
        <v>4621440</v>
      </c>
      <c r="F725" s="1002">
        <v>0</v>
      </c>
    </row>
    <row r="726" spans="1:6" x14ac:dyDescent="0.25">
      <c r="A726" s="846" t="s">
        <v>1332</v>
      </c>
      <c r="B726" s="1001"/>
      <c r="C726" s="1001"/>
      <c r="D726" s="1002"/>
      <c r="E726" s="1002"/>
      <c r="F726" s="1002"/>
    </row>
    <row r="727" spans="1:6" x14ac:dyDescent="0.25">
      <c r="A727" s="846" t="s">
        <v>212</v>
      </c>
      <c r="B727" s="1001"/>
      <c r="C727" s="1001"/>
      <c r="D727" s="1002"/>
      <c r="E727" s="1002"/>
      <c r="F727" s="1002"/>
    </row>
    <row r="728" spans="1:6" ht="45" x14ac:dyDescent="0.25">
      <c r="A728" s="846" t="s">
        <v>1333</v>
      </c>
      <c r="B728" s="1001">
        <v>41939</v>
      </c>
      <c r="C728" s="1001">
        <v>41970</v>
      </c>
      <c r="D728" s="1002">
        <v>324800</v>
      </c>
      <c r="E728" s="1002">
        <v>324800</v>
      </c>
      <c r="F728" s="1002">
        <v>0</v>
      </c>
    </row>
    <row r="729" spans="1:6" x14ac:dyDescent="0.25">
      <c r="A729" s="846" t="s">
        <v>1345</v>
      </c>
      <c r="B729" s="1001"/>
      <c r="C729" s="1001"/>
      <c r="D729" s="1002"/>
      <c r="E729" s="1002"/>
      <c r="F729" s="1002"/>
    </row>
    <row r="730" spans="1:6" x14ac:dyDescent="0.25">
      <c r="A730" s="846" t="s">
        <v>1346</v>
      </c>
      <c r="B730" s="1001"/>
      <c r="C730" s="1001"/>
      <c r="D730" s="1002"/>
      <c r="E730" s="1002"/>
      <c r="F730" s="1002"/>
    </row>
    <row r="731" spans="1:6" ht="30" x14ac:dyDescent="0.25">
      <c r="A731" s="846" t="s">
        <v>1347</v>
      </c>
      <c r="B731" s="1001">
        <v>41968</v>
      </c>
      <c r="C731" s="1001">
        <v>42241</v>
      </c>
      <c r="D731" s="1002">
        <v>2459960</v>
      </c>
      <c r="E731" s="1002">
        <v>2457884</v>
      </c>
      <c r="F731" s="1002">
        <v>2076</v>
      </c>
    </row>
    <row r="732" spans="1:6" x14ac:dyDescent="0.25">
      <c r="A732" s="846" t="s">
        <v>1348</v>
      </c>
      <c r="B732" s="1001"/>
      <c r="C732" s="1001"/>
      <c r="D732" s="1002"/>
      <c r="E732" s="1002"/>
      <c r="F732" s="1002"/>
    </row>
    <row r="733" spans="1:6" x14ac:dyDescent="0.25">
      <c r="A733" s="846" t="s">
        <v>1349</v>
      </c>
      <c r="B733" s="1001"/>
      <c r="C733" s="1001"/>
      <c r="D733" s="1002"/>
      <c r="E733" s="1002"/>
      <c r="F733" s="1002"/>
    </row>
    <row r="734" spans="1:6" ht="45" x14ac:dyDescent="0.25">
      <c r="A734" s="846" t="s">
        <v>1350</v>
      </c>
      <c r="B734" s="1001">
        <v>41957</v>
      </c>
      <c r="C734" s="1001">
        <v>42077</v>
      </c>
      <c r="D734" s="1002">
        <v>20188000</v>
      </c>
      <c r="E734" s="1002">
        <v>20188000</v>
      </c>
      <c r="F734" s="1002">
        <v>0</v>
      </c>
    </row>
    <row r="735" spans="1:6" x14ac:dyDescent="0.25">
      <c r="A735" s="846" t="s">
        <v>1352</v>
      </c>
      <c r="B735" s="1001"/>
      <c r="C735" s="1001"/>
      <c r="D735" s="1002"/>
      <c r="E735" s="1002"/>
      <c r="F735" s="1002"/>
    </row>
    <row r="736" spans="1:6" x14ac:dyDescent="0.25">
      <c r="A736" s="846" t="s">
        <v>1353</v>
      </c>
      <c r="B736" s="1001"/>
      <c r="C736" s="1001"/>
      <c r="D736" s="1002"/>
      <c r="E736" s="1002"/>
      <c r="F736" s="1002"/>
    </row>
    <row r="737" spans="1:6" ht="30" x14ac:dyDescent="0.25">
      <c r="A737" s="846" t="s">
        <v>1575</v>
      </c>
      <c r="B737" s="1001">
        <v>41941</v>
      </c>
      <c r="C737" s="1001">
        <v>42184</v>
      </c>
      <c r="D737" s="1002">
        <v>59383678</v>
      </c>
      <c r="E737" s="1002">
        <v>27770152</v>
      </c>
      <c r="F737" s="1002">
        <v>31613526</v>
      </c>
    </row>
    <row r="738" spans="1:6" x14ac:dyDescent="0.25">
      <c r="A738" s="846" t="s">
        <v>1355</v>
      </c>
      <c r="B738" s="1001"/>
      <c r="C738" s="1001"/>
      <c r="D738" s="1002"/>
      <c r="E738" s="1002"/>
      <c r="F738" s="1002"/>
    </row>
    <row r="739" spans="1:6" x14ac:dyDescent="0.25">
      <c r="A739" s="846" t="s">
        <v>27</v>
      </c>
      <c r="B739" s="1001"/>
      <c r="C739" s="1001"/>
      <c r="D739" s="1002"/>
      <c r="E739" s="1002"/>
      <c r="F739" s="1002"/>
    </row>
    <row r="740" spans="1:6" x14ac:dyDescent="0.25">
      <c r="A740" s="846" t="s">
        <v>1356</v>
      </c>
      <c r="B740" s="1001">
        <v>41970</v>
      </c>
      <c r="C740" s="1001">
        <v>42335</v>
      </c>
      <c r="D740" s="1002">
        <v>764100</v>
      </c>
      <c r="E740" s="1002">
        <v>764100</v>
      </c>
      <c r="F740" s="1002">
        <v>0</v>
      </c>
    </row>
    <row r="741" spans="1:6" x14ac:dyDescent="0.25">
      <c r="A741" s="846" t="s">
        <v>2258</v>
      </c>
      <c r="B741" s="1001"/>
      <c r="C741" s="1001"/>
      <c r="D741" s="1002"/>
      <c r="E741" s="1002"/>
      <c r="F741" s="1002"/>
    </row>
    <row r="742" spans="1:6" x14ac:dyDescent="0.25">
      <c r="A742" s="846" t="s">
        <v>3</v>
      </c>
      <c r="B742" s="1001"/>
      <c r="C742" s="1001"/>
      <c r="D742" s="1002"/>
      <c r="E742" s="1002"/>
      <c r="F742" s="1002"/>
    </row>
    <row r="743" spans="1:6" ht="45" x14ac:dyDescent="0.25">
      <c r="A743" s="846" t="s">
        <v>456</v>
      </c>
      <c r="B743" s="1001">
        <v>41163</v>
      </c>
      <c r="C743" s="1001">
        <v>41452</v>
      </c>
      <c r="D743" s="1002">
        <v>315000000</v>
      </c>
      <c r="E743" s="1002">
        <v>314473887</v>
      </c>
      <c r="F743" s="1002">
        <v>526113</v>
      </c>
    </row>
    <row r="744" spans="1:6" x14ac:dyDescent="0.25">
      <c r="A744"/>
      <c r="B744"/>
      <c r="C744"/>
      <c r="D744"/>
      <c r="E744"/>
      <c r="F744"/>
    </row>
    <row r="745" spans="1:6" x14ac:dyDescent="0.25">
      <c r="A745"/>
      <c r="B745"/>
      <c r="C745"/>
      <c r="D745"/>
      <c r="E745"/>
      <c r="F745"/>
    </row>
    <row r="746" spans="1:6" x14ac:dyDescent="0.25">
      <c r="A746"/>
      <c r="B746"/>
      <c r="C746"/>
      <c r="D746"/>
      <c r="E746"/>
      <c r="F746"/>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F718" sqref="F718"/>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42" t="s">
        <v>1063</v>
      </c>
      <c r="B4" s="1042"/>
      <c r="C4" s="1042"/>
      <c r="D4" s="1042"/>
      <c r="E4" s="1042"/>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255</v>
      </c>
      <c r="C7" s="123"/>
      <c r="D7" s="123"/>
      <c r="E7" s="124"/>
      <c r="F7" s="121"/>
      <c r="G7" s="121"/>
    </row>
    <row r="8" spans="1:7" s="111" customFormat="1" ht="12.75" thickTop="1" thickBot="1" x14ac:dyDescent="0.25">
      <c r="A8" s="113" t="s">
        <v>1148</v>
      </c>
      <c r="B8" s="120">
        <f>(COUNTA('Base de Datos'!E6:E514))-B7</f>
        <v>254</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12" t="s">
        <v>1057</v>
      </c>
      <c r="B11" s="920" t="s">
        <v>392</v>
      </c>
      <c r="C11" s="123"/>
      <c r="D11" s="123"/>
      <c r="E11" s="124"/>
      <c r="F11" s="121"/>
      <c r="G11" s="121"/>
    </row>
    <row r="12" spans="1:7" s="111" customFormat="1" x14ac:dyDescent="0.2">
      <c r="A12" s="912" t="s">
        <v>1000</v>
      </c>
      <c r="B12" s="921">
        <v>1</v>
      </c>
      <c r="C12" s="123"/>
      <c r="D12" s="123"/>
      <c r="E12" s="124"/>
      <c r="F12" s="121"/>
      <c r="G12" s="121"/>
    </row>
    <row r="13" spans="1:7" s="111" customFormat="1" x14ac:dyDescent="0.2">
      <c r="A13" s="121"/>
      <c r="B13" s="122"/>
      <c r="C13" s="123"/>
      <c r="D13" s="123"/>
      <c r="E13" s="124"/>
      <c r="F13" s="121"/>
      <c r="G13" s="121"/>
    </row>
    <row r="14" spans="1:7" s="108" customFormat="1" ht="22.5" x14ac:dyDescent="0.25">
      <c r="A14" s="910" t="s">
        <v>393</v>
      </c>
      <c r="B14" s="911" t="s">
        <v>1060</v>
      </c>
      <c r="C14" s="914" t="s">
        <v>955</v>
      </c>
      <c r="D14" s="914" t="s">
        <v>957</v>
      </c>
      <c r="E14" s="914" t="s">
        <v>958</v>
      </c>
      <c r="F14" s="915" t="s">
        <v>959</v>
      </c>
      <c r="G14" s="125"/>
    </row>
    <row r="15" spans="1:7" s="111" customFormat="1" x14ac:dyDescent="0.2">
      <c r="A15" s="916" t="s">
        <v>92</v>
      </c>
      <c r="B15" s="919"/>
      <c r="C15" s="913"/>
      <c r="D15" s="913"/>
      <c r="E15" s="913"/>
      <c r="F15" s="917"/>
      <c r="G15" s="121"/>
    </row>
    <row r="16" spans="1:7" s="111" customFormat="1" x14ac:dyDescent="0.2">
      <c r="A16" s="918" t="s">
        <v>425</v>
      </c>
      <c r="B16" s="919">
        <v>41673</v>
      </c>
      <c r="C16" s="913">
        <v>7329236109</v>
      </c>
      <c r="D16" s="913">
        <v>6218260556</v>
      </c>
      <c r="E16" s="913">
        <v>1110975553</v>
      </c>
      <c r="F16" s="917">
        <v>0.84841864329684125</v>
      </c>
      <c r="G16" s="121"/>
    </row>
    <row r="17" spans="1:7" s="111" customFormat="1" x14ac:dyDescent="0.2">
      <c r="A17" s="916" t="s">
        <v>151</v>
      </c>
      <c r="B17" s="919"/>
      <c r="C17" s="913"/>
      <c r="D17" s="913"/>
      <c r="E17" s="913"/>
      <c r="F17" s="917"/>
      <c r="G17" s="121"/>
    </row>
    <row r="18" spans="1:7" s="111" customFormat="1" x14ac:dyDescent="0.2">
      <c r="A18" s="918" t="s">
        <v>152</v>
      </c>
      <c r="B18" s="919">
        <v>41486</v>
      </c>
      <c r="C18" s="913">
        <v>3100400677</v>
      </c>
      <c r="D18" s="913">
        <v>3066561119</v>
      </c>
      <c r="E18" s="913">
        <v>33839558</v>
      </c>
      <c r="F18" s="917">
        <v>0.98908542426434254</v>
      </c>
      <c r="G18" s="121"/>
    </row>
    <row r="19" spans="1:7" s="111" customFormat="1" x14ac:dyDescent="0.2">
      <c r="A19" s="916" t="s">
        <v>149</v>
      </c>
      <c r="B19" s="919"/>
      <c r="C19" s="913"/>
      <c r="D19" s="913"/>
      <c r="E19" s="913"/>
      <c r="F19" s="917"/>
      <c r="G19" s="121"/>
    </row>
    <row r="20" spans="1:7" s="111" customFormat="1" x14ac:dyDescent="0.2">
      <c r="A20" s="918" t="s">
        <v>150</v>
      </c>
      <c r="B20" s="919">
        <v>41476</v>
      </c>
      <c r="C20" s="913">
        <v>2909992591</v>
      </c>
      <c r="D20" s="913">
        <v>13400894</v>
      </c>
      <c r="E20" s="913">
        <v>2896591697</v>
      </c>
      <c r="F20" s="917">
        <v>4.6051299379407939E-3</v>
      </c>
      <c r="G20" s="121"/>
    </row>
    <row r="21" spans="1:7" s="111" customFormat="1" x14ac:dyDescent="0.2">
      <c r="A21" s="916" t="s">
        <v>21</v>
      </c>
      <c r="B21" s="919"/>
      <c r="C21" s="913"/>
      <c r="D21" s="913"/>
      <c r="E21" s="913"/>
      <c r="F21" s="917"/>
      <c r="G21" s="121"/>
    </row>
    <row r="22" spans="1:7" s="111" customFormat="1" x14ac:dyDescent="0.2">
      <c r="A22" s="918" t="s">
        <v>22</v>
      </c>
      <c r="B22" s="919">
        <v>41513</v>
      </c>
      <c r="C22" s="913">
        <v>79634000</v>
      </c>
      <c r="D22" s="913">
        <v>79634000</v>
      </c>
      <c r="E22" s="913">
        <v>0</v>
      </c>
      <c r="F22" s="917">
        <v>1</v>
      </c>
      <c r="G22" s="121"/>
    </row>
    <row r="23" spans="1:7" s="111" customFormat="1" x14ac:dyDescent="0.2">
      <c r="A23" s="916" t="s">
        <v>103</v>
      </c>
      <c r="B23" s="919"/>
      <c r="C23" s="913"/>
      <c r="D23" s="913"/>
      <c r="E23" s="913"/>
      <c r="F23" s="917"/>
      <c r="G23" s="121"/>
    </row>
    <row r="24" spans="1:7" s="111" customFormat="1" x14ac:dyDescent="0.2">
      <c r="A24" s="918" t="s">
        <v>1636</v>
      </c>
      <c r="B24" s="919">
        <v>41274</v>
      </c>
      <c r="C24" s="913">
        <v>4206160</v>
      </c>
      <c r="D24" s="913">
        <v>0</v>
      </c>
      <c r="E24" s="913">
        <v>4206160</v>
      </c>
      <c r="F24" s="917">
        <v>0</v>
      </c>
      <c r="G24" s="121"/>
    </row>
    <row r="25" spans="1:7" s="111" customFormat="1" x14ac:dyDescent="0.2">
      <c r="A25" s="916" t="s">
        <v>179</v>
      </c>
      <c r="B25" s="919"/>
      <c r="C25" s="913"/>
      <c r="D25" s="913"/>
      <c r="E25" s="913"/>
      <c r="F25" s="917"/>
      <c r="G25" s="121"/>
    </row>
    <row r="26" spans="1:7" s="111" customFormat="1" x14ac:dyDescent="0.2">
      <c r="A26" s="918" t="s">
        <v>433</v>
      </c>
      <c r="B26" s="919">
        <v>41609</v>
      </c>
      <c r="C26" s="913">
        <v>726335435</v>
      </c>
      <c r="D26" s="913">
        <v>577978609</v>
      </c>
      <c r="E26" s="913">
        <v>148356826</v>
      </c>
      <c r="F26" s="917">
        <v>0.79574612658130883</v>
      </c>
      <c r="G26" s="121"/>
    </row>
    <row r="27" spans="1:7" s="111" customFormat="1" x14ac:dyDescent="0.2">
      <c r="A27" s="916" t="s">
        <v>180</v>
      </c>
      <c r="B27" s="919"/>
      <c r="C27" s="913"/>
      <c r="D27" s="913"/>
      <c r="E27" s="913"/>
      <c r="F27" s="917"/>
      <c r="G27" s="121"/>
    </row>
    <row r="28" spans="1:7" s="111" customFormat="1" x14ac:dyDescent="0.2">
      <c r="A28" s="918" t="s">
        <v>181</v>
      </c>
      <c r="B28" s="919">
        <v>41323</v>
      </c>
      <c r="C28" s="913">
        <v>234495075</v>
      </c>
      <c r="D28" s="913">
        <v>234495075</v>
      </c>
      <c r="E28" s="913">
        <v>0</v>
      </c>
      <c r="F28" s="917">
        <v>1</v>
      </c>
      <c r="G28" s="121"/>
    </row>
    <row r="29" spans="1:7" s="111" customFormat="1" x14ac:dyDescent="0.2">
      <c r="A29" s="916" t="s">
        <v>56</v>
      </c>
      <c r="B29" s="919"/>
      <c r="C29" s="913"/>
      <c r="D29" s="913"/>
      <c r="E29" s="913"/>
      <c r="F29" s="917"/>
      <c r="G29" s="121"/>
    </row>
    <row r="30" spans="1:7" s="111" customFormat="1" x14ac:dyDescent="0.2">
      <c r="A30" s="918" t="s">
        <v>57</v>
      </c>
      <c r="B30" s="919">
        <v>41623</v>
      </c>
      <c r="C30" s="913">
        <v>71096157</v>
      </c>
      <c r="D30" s="913">
        <v>71096157</v>
      </c>
      <c r="E30" s="913">
        <v>0</v>
      </c>
      <c r="F30" s="917">
        <v>1</v>
      </c>
      <c r="G30" s="121"/>
    </row>
    <row r="31" spans="1:7" s="111" customFormat="1" x14ac:dyDescent="0.2">
      <c r="A31" s="916" t="s">
        <v>19</v>
      </c>
      <c r="B31" s="919"/>
      <c r="C31" s="913"/>
      <c r="D31" s="913"/>
      <c r="E31" s="913"/>
      <c r="F31" s="917"/>
      <c r="G31" s="121"/>
    </row>
    <row r="32" spans="1:7" s="111" customFormat="1" x14ac:dyDescent="0.2">
      <c r="A32" s="918" t="s">
        <v>20</v>
      </c>
      <c r="B32" s="919">
        <v>41347</v>
      </c>
      <c r="C32" s="913">
        <v>11587500</v>
      </c>
      <c r="D32" s="913">
        <v>10316808</v>
      </c>
      <c r="E32" s="913">
        <v>1270692</v>
      </c>
      <c r="F32" s="917">
        <v>0.8903394174757282</v>
      </c>
      <c r="G32" s="121"/>
    </row>
    <row r="33" spans="1:7" s="111" customFormat="1" x14ac:dyDescent="0.2">
      <c r="A33" s="916" t="s">
        <v>23</v>
      </c>
      <c r="B33" s="919"/>
      <c r="C33" s="913"/>
      <c r="D33" s="913"/>
      <c r="E33" s="913"/>
      <c r="F33" s="917"/>
      <c r="G33" s="121"/>
    </row>
    <row r="34" spans="1:7" s="111" customFormat="1" x14ac:dyDescent="0.2">
      <c r="A34" s="918" t="s">
        <v>27</v>
      </c>
      <c r="B34" s="919">
        <v>41409</v>
      </c>
      <c r="C34" s="913">
        <v>849000</v>
      </c>
      <c r="D34" s="913">
        <v>849000</v>
      </c>
      <c r="E34" s="913">
        <v>0</v>
      </c>
      <c r="F34" s="917">
        <v>1</v>
      </c>
      <c r="G34" s="121"/>
    </row>
    <row r="35" spans="1:7" s="111" customFormat="1" x14ac:dyDescent="0.2">
      <c r="A35" s="916" t="s">
        <v>113</v>
      </c>
      <c r="B35" s="919"/>
      <c r="C35" s="913"/>
      <c r="D35" s="913"/>
      <c r="E35" s="913"/>
      <c r="F35" s="917"/>
      <c r="G35" s="121"/>
    </row>
    <row r="36" spans="1:7" s="111" customFormat="1" x14ac:dyDescent="0.2">
      <c r="A36" s="918" t="s">
        <v>434</v>
      </c>
      <c r="B36" s="919">
        <v>41333</v>
      </c>
      <c r="C36" s="913">
        <v>7192000</v>
      </c>
      <c r="D36" s="913">
        <v>7192000</v>
      </c>
      <c r="E36" s="913">
        <v>0</v>
      </c>
      <c r="F36" s="917">
        <v>1</v>
      </c>
      <c r="G36" s="121"/>
    </row>
    <row r="37" spans="1:7" s="111" customFormat="1" x14ac:dyDescent="0.2">
      <c r="A37" s="916" t="s">
        <v>101</v>
      </c>
      <c r="B37" s="919"/>
      <c r="C37" s="913"/>
      <c r="D37" s="913"/>
      <c r="E37" s="913"/>
      <c r="F37" s="917"/>
      <c r="G37" s="121"/>
    </row>
    <row r="38" spans="1:7" s="111" customFormat="1" x14ac:dyDescent="0.2">
      <c r="A38" s="918" t="s">
        <v>427</v>
      </c>
      <c r="B38" s="919">
        <v>41370</v>
      </c>
      <c r="C38" s="913">
        <v>2625000</v>
      </c>
      <c r="D38" s="913">
        <v>0</v>
      </c>
      <c r="E38" s="913">
        <v>2625000</v>
      </c>
      <c r="F38" s="917">
        <v>0</v>
      </c>
      <c r="G38" s="121"/>
    </row>
    <row r="39" spans="1:7" s="111" customFormat="1" x14ac:dyDescent="0.2">
      <c r="A39" s="916" t="s">
        <v>16</v>
      </c>
      <c r="B39" s="919"/>
      <c r="C39" s="913"/>
      <c r="D39" s="913"/>
      <c r="E39" s="913"/>
      <c r="F39" s="917"/>
      <c r="G39" s="121"/>
    </row>
    <row r="40" spans="1:7" s="111" customFormat="1" x14ac:dyDescent="0.2">
      <c r="A40" s="918" t="s">
        <v>435</v>
      </c>
      <c r="B40" s="919">
        <v>41328</v>
      </c>
      <c r="C40" s="913">
        <v>4839200</v>
      </c>
      <c r="D40" s="913">
        <v>4839200</v>
      </c>
      <c r="E40" s="913">
        <v>0</v>
      </c>
      <c r="F40" s="917">
        <v>1</v>
      </c>
      <c r="G40" s="121"/>
    </row>
    <row r="41" spans="1:7" s="111" customFormat="1" x14ac:dyDescent="0.2">
      <c r="A41" s="916" t="s">
        <v>107</v>
      </c>
      <c r="B41" s="919"/>
      <c r="C41" s="913"/>
      <c r="D41" s="913"/>
      <c r="E41" s="913"/>
      <c r="F41" s="917"/>
      <c r="G41" s="121"/>
    </row>
    <row r="42" spans="1:7" s="111" customFormat="1" x14ac:dyDescent="0.2">
      <c r="A42" s="918" t="s">
        <v>108</v>
      </c>
      <c r="B42" s="919">
        <v>41349</v>
      </c>
      <c r="C42" s="913">
        <v>13527752</v>
      </c>
      <c r="D42" s="913">
        <v>0</v>
      </c>
      <c r="E42" s="913">
        <v>13527752</v>
      </c>
      <c r="F42" s="917">
        <v>0</v>
      </c>
      <c r="G42" s="121"/>
    </row>
    <row r="43" spans="1:7" s="111" customFormat="1" x14ac:dyDescent="0.2">
      <c r="A43" s="916" t="s">
        <v>61</v>
      </c>
      <c r="B43" s="919"/>
      <c r="C43" s="913"/>
      <c r="D43" s="913"/>
      <c r="E43" s="913"/>
      <c r="F43" s="917"/>
      <c r="G43" s="121"/>
    </row>
    <row r="44" spans="1:7" s="111" customFormat="1" x14ac:dyDescent="0.2">
      <c r="A44" s="918" t="s">
        <v>436</v>
      </c>
      <c r="B44" s="919">
        <v>41531</v>
      </c>
      <c r="C44" s="913">
        <v>85219000</v>
      </c>
      <c r="D44" s="913">
        <v>95321355</v>
      </c>
      <c r="E44" s="913">
        <v>-10102355</v>
      </c>
      <c r="F44" s="917">
        <v>1.1185458055128552</v>
      </c>
      <c r="G44" s="121"/>
    </row>
    <row r="45" spans="1:7" s="111" customFormat="1" x14ac:dyDescent="0.2">
      <c r="A45" s="916" t="s">
        <v>58</v>
      </c>
      <c r="B45" s="919"/>
      <c r="C45" s="913"/>
      <c r="D45" s="913"/>
      <c r="E45" s="913"/>
      <c r="F45" s="917"/>
      <c r="G45" s="121"/>
    </row>
    <row r="46" spans="1:7" s="111" customFormat="1" x14ac:dyDescent="0.2">
      <c r="A46" s="918" t="s">
        <v>437</v>
      </c>
      <c r="B46" s="919">
        <v>41623</v>
      </c>
      <c r="C46" s="913">
        <v>99122327</v>
      </c>
      <c r="D46" s="913">
        <v>93840542</v>
      </c>
      <c r="E46" s="913">
        <v>5281785</v>
      </c>
      <c r="F46" s="917">
        <v>0.94671447735483449</v>
      </c>
      <c r="G46" s="121"/>
    </row>
    <row r="47" spans="1:7" s="111" customFormat="1" x14ac:dyDescent="0.2">
      <c r="A47" s="916" t="s">
        <v>423</v>
      </c>
      <c r="B47" s="919"/>
      <c r="C47" s="913"/>
      <c r="D47" s="913"/>
      <c r="E47" s="913"/>
      <c r="F47" s="917"/>
      <c r="G47" s="121"/>
    </row>
    <row r="48" spans="1:7" s="111" customFormat="1" x14ac:dyDescent="0.2">
      <c r="A48" s="918" t="s">
        <v>13</v>
      </c>
      <c r="B48" s="919">
        <v>41527</v>
      </c>
      <c r="C48" s="913">
        <v>900000</v>
      </c>
      <c r="D48" s="913">
        <v>900000</v>
      </c>
      <c r="E48" s="913">
        <v>0</v>
      </c>
      <c r="F48" s="917">
        <v>1</v>
      </c>
      <c r="G48" s="121"/>
    </row>
    <row r="49" spans="1:7" s="111" customFormat="1" x14ac:dyDescent="0.2">
      <c r="A49" s="916" t="s">
        <v>28</v>
      </c>
      <c r="B49" s="919"/>
      <c r="C49" s="913"/>
      <c r="D49" s="913"/>
      <c r="E49" s="913"/>
      <c r="F49" s="917"/>
      <c r="G49" s="121"/>
    </row>
    <row r="50" spans="1:7" s="111" customFormat="1" x14ac:dyDescent="0.2">
      <c r="A50" s="918" t="s">
        <v>29</v>
      </c>
      <c r="B50" s="919">
        <v>41530</v>
      </c>
      <c r="C50" s="913">
        <v>840000</v>
      </c>
      <c r="D50" s="913">
        <v>840000</v>
      </c>
      <c r="E50" s="913">
        <v>0</v>
      </c>
      <c r="F50" s="917">
        <v>1</v>
      </c>
      <c r="G50" s="121"/>
    </row>
    <row r="51" spans="1:7" s="111" customFormat="1" x14ac:dyDescent="0.2">
      <c r="A51" s="916" t="s">
        <v>32</v>
      </c>
      <c r="B51" s="919"/>
      <c r="C51" s="913"/>
      <c r="D51" s="913"/>
      <c r="E51" s="913"/>
      <c r="F51" s="917"/>
      <c r="G51" s="121"/>
    </row>
    <row r="52" spans="1:7" s="111" customFormat="1" x14ac:dyDescent="0.2">
      <c r="A52" s="918" t="s">
        <v>33</v>
      </c>
      <c r="B52" s="919">
        <v>41545</v>
      </c>
      <c r="C52" s="913">
        <v>795000</v>
      </c>
      <c r="D52" s="913">
        <v>795000</v>
      </c>
      <c r="E52" s="913">
        <v>0</v>
      </c>
      <c r="F52" s="917">
        <v>1</v>
      </c>
      <c r="G52" s="121"/>
    </row>
    <row r="53" spans="1:7" s="111" customFormat="1" x14ac:dyDescent="0.2">
      <c r="A53" s="916" t="s">
        <v>109</v>
      </c>
      <c r="B53" s="919"/>
      <c r="C53" s="913"/>
      <c r="D53" s="913"/>
      <c r="E53" s="913"/>
      <c r="F53" s="917"/>
      <c r="G53" s="121"/>
    </row>
    <row r="54" spans="1:7" s="111" customFormat="1" x14ac:dyDescent="0.2">
      <c r="A54" s="918" t="s">
        <v>420</v>
      </c>
      <c r="B54" s="919">
        <v>41346</v>
      </c>
      <c r="C54" s="913">
        <v>1818000</v>
      </c>
      <c r="D54" s="913">
        <v>0</v>
      </c>
      <c r="E54" s="913">
        <v>1818000</v>
      </c>
      <c r="F54" s="917">
        <v>0</v>
      </c>
      <c r="G54" s="121"/>
    </row>
    <row r="55" spans="1:7" s="111" customFormat="1" x14ac:dyDescent="0.2">
      <c r="A55" s="916" t="s">
        <v>34</v>
      </c>
      <c r="B55" s="919"/>
      <c r="C55" s="913"/>
      <c r="D55" s="913"/>
      <c r="E55" s="913"/>
      <c r="F55" s="917"/>
      <c r="G55" s="121"/>
    </row>
    <row r="56" spans="1:7" s="111" customFormat="1" x14ac:dyDescent="0.2">
      <c r="A56" s="918" t="s">
        <v>1009</v>
      </c>
      <c r="B56" s="919">
        <v>41333</v>
      </c>
      <c r="C56" s="913">
        <v>30000000</v>
      </c>
      <c r="D56" s="913">
        <v>30000000</v>
      </c>
      <c r="E56" s="913">
        <v>0</v>
      </c>
      <c r="F56" s="917">
        <v>1</v>
      </c>
      <c r="G56" s="121"/>
    </row>
    <row r="57" spans="1:7" s="111" customFormat="1" x14ac:dyDescent="0.2">
      <c r="A57" s="916" t="s">
        <v>10</v>
      </c>
      <c r="B57" s="919"/>
      <c r="C57" s="913"/>
      <c r="D57" s="913"/>
      <c r="E57" s="913"/>
      <c r="F57" s="917"/>
      <c r="G57" s="121"/>
    </row>
    <row r="58" spans="1:7" s="111" customFormat="1" x14ac:dyDescent="0.2">
      <c r="A58" s="918" t="s">
        <v>1010</v>
      </c>
      <c r="B58" s="919">
        <v>41367</v>
      </c>
      <c r="C58" s="913">
        <v>35000000</v>
      </c>
      <c r="D58" s="913">
        <v>34666667</v>
      </c>
      <c r="E58" s="913">
        <v>333333</v>
      </c>
      <c r="F58" s="917">
        <v>0.99047620000000003</v>
      </c>
      <c r="G58" s="121"/>
    </row>
    <row r="59" spans="1:7" s="111" customFormat="1" x14ac:dyDescent="0.2">
      <c r="A59" s="916" t="s">
        <v>114</v>
      </c>
      <c r="B59" s="919"/>
      <c r="C59" s="913"/>
      <c r="D59" s="913"/>
      <c r="E59" s="913"/>
      <c r="F59" s="917"/>
      <c r="G59" s="121"/>
    </row>
    <row r="60" spans="1:7" s="111" customFormat="1" x14ac:dyDescent="0.2">
      <c r="A60" s="918" t="s">
        <v>115</v>
      </c>
      <c r="B60" s="919">
        <v>41626</v>
      </c>
      <c r="C60" s="913">
        <v>8334226</v>
      </c>
      <c r="D60" s="913">
        <v>8334226</v>
      </c>
      <c r="E60" s="913">
        <v>0</v>
      </c>
      <c r="F60" s="917">
        <v>1</v>
      </c>
      <c r="G60" s="121"/>
    </row>
    <row r="61" spans="1:7" s="111" customFormat="1" x14ac:dyDescent="0.2">
      <c r="A61" s="916" t="s">
        <v>106</v>
      </c>
      <c r="B61" s="919"/>
      <c r="C61" s="913"/>
      <c r="D61" s="913"/>
      <c r="E61" s="913"/>
      <c r="F61" s="917"/>
      <c r="G61" s="121"/>
    </row>
    <row r="62" spans="1:7" s="111" customFormat="1" x14ac:dyDescent="0.2">
      <c r="A62" s="918" t="s">
        <v>1011</v>
      </c>
      <c r="B62" s="919">
        <v>41343</v>
      </c>
      <c r="C62" s="913">
        <v>20565000</v>
      </c>
      <c r="D62" s="913">
        <v>20565000</v>
      </c>
      <c r="E62" s="913">
        <v>0</v>
      </c>
      <c r="F62" s="917">
        <v>1</v>
      </c>
      <c r="G62" s="121"/>
    </row>
    <row r="63" spans="1:7" s="111" customFormat="1" x14ac:dyDescent="0.2">
      <c r="A63" s="916" t="s">
        <v>105</v>
      </c>
      <c r="B63" s="919"/>
      <c r="C63" s="913"/>
      <c r="D63" s="913"/>
      <c r="E63" s="913"/>
      <c r="F63" s="917"/>
      <c r="G63" s="121"/>
    </row>
    <row r="64" spans="1:7" s="111" customFormat="1" x14ac:dyDescent="0.2">
      <c r="A64" s="918" t="s">
        <v>1012</v>
      </c>
      <c r="B64" s="919">
        <v>41263</v>
      </c>
      <c r="C64" s="913">
        <v>6730000</v>
      </c>
      <c r="D64" s="913">
        <v>6395000</v>
      </c>
      <c r="E64" s="913">
        <v>335000</v>
      </c>
      <c r="F64" s="917">
        <v>0.95022288261515597</v>
      </c>
      <c r="G64" s="121"/>
    </row>
    <row r="65" spans="1:7" s="111" customFormat="1" x14ac:dyDescent="0.2">
      <c r="A65" s="916" t="s">
        <v>17</v>
      </c>
      <c r="B65" s="919"/>
      <c r="C65" s="913"/>
      <c r="D65" s="913"/>
      <c r="E65" s="913"/>
      <c r="F65" s="917"/>
      <c r="G65" s="121"/>
    </row>
    <row r="66" spans="1:7" s="111" customFormat="1" x14ac:dyDescent="0.2">
      <c r="A66" s="918" t="s">
        <v>18</v>
      </c>
      <c r="B66" s="919">
        <v>41387</v>
      </c>
      <c r="C66" s="913">
        <v>23994880</v>
      </c>
      <c r="D66" s="913">
        <v>23994876</v>
      </c>
      <c r="E66" s="913">
        <v>4</v>
      </c>
      <c r="F66" s="917">
        <v>0.9999998332977702</v>
      </c>
      <c r="G66" s="121"/>
    </row>
    <row r="67" spans="1:7" s="111" customFormat="1" x14ac:dyDescent="0.2">
      <c r="A67" s="916" t="s">
        <v>24</v>
      </c>
      <c r="B67" s="919"/>
      <c r="C67" s="913"/>
      <c r="D67" s="913"/>
      <c r="E67" s="913"/>
      <c r="F67" s="917"/>
      <c r="G67" s="121"/>
    </row>
    <row r="68" spans="1:7" s="111" customFormat="1" x14ac:dyDescent="0.2">
      <c r="A68" s="918" t="s">
        <v>1013</v>
      </c>
      <c r="B68" s="919">
        <v>41369</v>
      </c>
      <c r="C68" s="913">
        <v>38400000</v>
      </c>
      <c r="D68" s="913">
        <v>38400000</v>
      </c>
      <c r="E68" s="913">
        <v>0</v>
      </c>
      <c r="F68" s="917">
        <v>1</v>
      </c>
      <c r="G68" s="121"/>
    </row>
    <row r="69" spans="1:7" s="111" customFormat="1" x14ac:dyDescent="0.2">
      <c r="A69" s="916" t="s">
        <v>118</v>
      </c>
      <c r="B69" s="919"/>
      <c r="C69" s="913"/>
      <c r="D69" s="913"/>
      <c r="E69" s="913"/>
      <c r="F69" s="917"/>
      <c r="G69" s="121"/>
    </row>
    <row r="70" spans="1:7" s="111" customFormat="1" x14ac:dyDescent="0.2">
      <c r="A70" s="918" t="s">
        <v>1014</v>
      </c>
      <c r="B70" s="919">
        <v>41308</v>
      </c>
      <c r="C70" s="913">
        <v>3961330</v>
      </c>
      <c r="D70" s="913">
        <v>3961330</v>
      </c>
      <c r="E70" s="913">
        <v>0</v>
      </c>
      <c r="F70" s="917">
        <v>1</v>
      </c>
      <c r="G70" s="121"/>
    </row>
    <row r="71" spans="1:7" s="111" customFormat="1" x14ac:dyDescent="0.2">
      <c r="A71" s="916" t="s">
        <v>62</v>
      </c>
      <c r="B71" s="919"/>
      <c r="C71" s="913"/>
      <c r="D71" s="913"/>
      <c r="E71" s="913"/>
      <c r="F71" s="917"/>
      <c r="G71" s="121"/>
    </row>
    <row r="72" spans="1:7" s="111" customFormat="1" x14ac:dyDescent="0.2">
      <c r="A72" s="918" t="s">
        <v>1015</v>
      </c>
      <c r="B72" s="919">
        <v>41452</v>
      </c>
      <c r="C72" s="913">
        <v>24000000</v>
      </c>
      <c r="D72" s="913">
        <v>24000000</v>
      </c>
      <c r="E72" s="913">
        <v>0</v>
      </c>
      <c r="F72" s="917">
        <v>1</v>
      </c>
      <c r="G72" s="121"/>
    </row>
    <row r="73" spans="1:7" s="111" customFormat="1" x14ac:dyDescent="0.2">
      <c r="A73" s="916" t="s">
        <v>30</v>
      </c>
      <c r="B73" s="919"/>
      <c r="C73" s="913"/>
      <c r="D73" s="913"/>
      <c r="E73" s="913"/>
      <c r="F73" s="917"/>
      <c r="G73" s="121"/>
    </row>
    <row r="74" spans="1:7" s="111" customFormat="1" x14ac:dyDescent="0.2">
      <c r="A74" s="918" t="s">
        <v>31</v>
      </c>
      <c r="B74" s="919">
        <v>41350</v>
      </c>
      <c r="C74" s="913">
        <v>6000000</v>
      </c>
      <c r="D74" s="913">
        <v>6000000</v>
      </c>
      <c r="E74" s="913">
        <v>0</v>
      </c>
      <c r="F74" s="917">
        <v>1</v>
      </c>
      <c r="G74" s="121"/>
    </row>
    <row r="75" spans="1:7" s="111" customFormat="1" x14ac:dyDescent="0.2">
      <c r="A75" s="916" t="s">
        <v>14</v>
      </c>
      <c r="B75" s="919"/>
      <c r="C75" s="913"/>
      <c r="D75" s="913"/>
      <c r="E75" s="913"/>
      <c r="F75" s="917"/>
      <c r="G75" s="121"/>
    </row>
    <row r="76" spans="1:7" s="111" customFormat="1" x14ac:dyDescent="0.2">
      <c r="A76" s="918" t="s">
        <v>15</v>
      </c>
      <c r="B76" s="919">
        <v>41472</v>
      </c>
      <c r="C76" s="913">
        <v>7740000</v>
      </c>
      <c r="D76" s="913">
        <v>7740000</v>
      </c>
      <c r="E76" s="913">
        <v>0</v>
      </c>
      <c r="F76" s="917">
        <v>1</v>
      </c>
      <c r="G76" s="121"/>
    </row>
    <row r="77" spans="1:7" s="111" customFormat="1" x14ac:dyDescent="0.2">
      <c r="A77" s="916" t="s">
        <v>40</v>
      </c>
      <c r="B77" s="919"/>
      <c r="C77" s="913"/>
      <c r="D77" s="913"/>
      <c r="E77" s="913"/>
      <c r="F77" s="917"/>
      <c r="G77" s="121"/>
    </row>
    <row r="78" spans="1:7" s="111" customFormat="1" x14ac:dyDescent="0.2">
      <c r="A78" s="918" t="s">
        <v>41</v>
      </c>
      <c r="B78" s="919">
        <v>41398</v>
      </c>
      <c r="C78" s="913">
        <v>47000000</v>
      </c>
      <c r="D78" s="913">
        <v>41245000</v>
      </c>
      <c r="E78" s="913">
        <v>5755000</v>
      </c>
      <c r="F78" s="917">
        <v>0.87755319148936173</v>
      </c>
      <c r="G78" s="121"/>
    </row>
    <row r="79" spans="1:7" s="111" customFormat="1" x14ac:dyDescent="0.2">
      <c r="A79" s="916" t="s">
        <v>72</v>
      </c>
      <c r="B79" s="919"/>
      <c r="C79" s="913"/>
      <c r="D79" s="913"/>
      <c r="E79" s="913"/>
      <c r="F79" s="917"/>
      <c r="G79" s="121"/>
    </row>
    <row r="80" spans="1:7" s="111" customFormat="1" x14ac:dyDescent="0.2">
      <c r="A80" s="918" t="s">
        <v>73</v>
      </c>
      <c r="B80" s="919">
        <v>41400</v>
      </c>
      <c r="C80" s="913">
        <v>950000000</v>
      </c>
      <c r="D80" s="913">
        <v>950000000</v>
      </c>
      <c r="E80" s="913">
        <v>0</v>
      </c>
      <c r="F80" s="917">
        <v>1</v>
      </c>
      <c r="G80" s="121"/>
    </row>
    <row r="81" spans="1:7" s="111" customFormat="1" x14ac:dyDescent="0.2">
      <c r="A81" s="916" t="s">
        <v>396</v>
      </c>
      <c r="B81" s="919"/>
      <c r="C81" s="913"/>
      <c r="D81" s="913"/>
      <c r="E81" s="913"/>
      <c r="F81" s="917"/>
      <c r="G81" s="121"/>
    </row>
    <row r="82" spans="1:7" s="111" customFormat="1" x14ac:dyDescent="0.2">
      <c r="A82" s="918" t="s">
        <v>203</v>
      </c>
      <c r="B82" s="919">
        <v>41312</v>
      </c>
      <c r="C82" s="913">
        <v>10440000</v>
      </c>
      <c r="D82" s="913">
        <v>10440000</v>
      </c>
      <c r="E82" s="913">
        <v>0</v>
      </c>
      <c r="F82" s="917">
        <v>1</v>
      </c>
      <c r="G82" s="121"/>
    </row>
    <row r="83" spans="1:7" s="111" customFormat="1" x14ac:dyDescent="0.2">
      <c r="A83" s="916" t="s">
        <v>153</v>
      </c>
      <c r="B83" s="919"/>
      <c r="C83" s="913"/>
      <c r="D83" s="913"/>
      <c r="E83" s="913"/>
      <c r="F83" s="917"/>
      <c r="G83" s="121"/>
    </row>
    <row r="84" spans="1:7" s="111" customFormat="1" x14ac:dyDescent="0.2">
      <c r="A84" s="918" t="s">
        <v>154</v>
      </c>
      <c r="B84" s="919">
        <v>41213</v>
      </c>
      <c r="C84" s="913">
        <v>41705635</v>
      </c>
      <c r="D84" s="913">
        <v>41705635</v>
      </c>
      <c r="E84" s="913">
        <v>0</v>
      </c>
      <c r="F84" s="917">
        <v>1</v>
      </c>
      <c r="G84" s="121"/>
    </row>
    <row r="85" spans="1:7" s="111" customFormat="1" x14ac:dyDescent="0.2">
      <c r="A85" s="916" t="s">
        <v>170</v>
      </c>
      <c r="B85" s="919"/>
      <c r="C85" s="913"/>
      <c r="D85" s="913"/>
      <c r="E85" s="913"/>
      <c r="F85" s="917"/>
      <c r="G85" s="121"/>
    </row>
    <row r="86" spans="1:7" s="111" customFormat="1" x14ac:dyDescent="0.2">
      <c r="A86" s="918" t="s">
        <v>428</v>
      </c>
      <c r="B86" s="919">
        <v>41112</v>
      </c>
      <c r="C86" s="913">
        <v>497000000</v>
      </c>
      <c r="D86" s="913">
        <v>495932967</v>
      </c>
      <c r="E86" s="913">
        <v>1067033</v>
      </c>
      <c r="F86" s="917">
        <v>0.99785305231388333</v>
      </c>
      <c r="G86" s="121"/>
    </row>
    <row r="87" spans="1:7" s="111" customFormat="1" x14ac:dyDescent="0.2">
      <c r="A87" s="916" t="s">
        <v>594</v>
      </c>
      <c r="B87" s="919"/>
      <c r="C87" s="913"/>
      <c r="D87" s="913"/>
      <c r="E87" s="913"/>
      <c r="F87" s="917"/>
      <c r="G87" s="121"/>
    </row>
    <row r="88" spans="1:7" s="111" customFormat="1" x14ac:dyDescent="0.2">
      <c r="A88" s="918" t="s">
        <v>1006</v>
      </c>
      <c r="B88" s="919">
        <v>41356</v>
      </c>
      <c r="C88" s="913">
        <v>9425000</v>
      </c>
      <c r="D88" s="913">
        <v>9425000</v>
      </c>
      <c r="E88" s="913">
        <v>0</v>
      </c>
      <c r="F88" s="917">
        <v>1</v>
      </c>
      <c r="G88" s="121"/>
    </row>
    <row r="89" spans="1:7" s="111" customFormat="1" x14ac:dyDescent="0.2">
      <c r="A89" s="916" t="s">
        <v>127</v>
      </c>
      <c r="B89" s="919"/>
      <c r="C89" s="913"/>
      <c r="D89" s="913"/>
      <c r="E89" s="913"/>
      <c r="F89" s="917"/>
      <c r="G89" s="121"/>
    </row>
    <row r="90" spans="1:7" s="111" customFormat="1" x14ac:dyDescent="0.2">
      <c r="A90" s="918" t="s">
        <v>128</v>
      </c>
      <c r="B90" s="919">
        <v>41364</v>
      </c>
      <c r="C90" s="913">
        <v>22930000</v>
      </c>
      <c r="D90" s="913">
        <v>18432731</v>
      </c>
      <c r="E90" s="913">
        <v>4497269</v>
      </c>
      <c r="F90" s="917">
        <v>0.80386964675098127</v>
      </c>
      <c r="G90" s="121"/>
    </row>
    <row r="91" spans="1:7" s="111" customFormat="1" x14ac:dyDescent="0.2">
      <c r="A91" s="916" t="s">
        <v>59</v>
      </c>
      <c r="B91" s="919"/>
      <c r="C91" s="913"/>
      <c r="D91" s="913"/>
      <c r="E91" s="913"/>
      <c r="F91" s="917"/>
      <c r="G91" s="121"/>
    </row>
    <row r="92" spans="1:7" s="111" customFormat="1" x14ac:dyDescent="0.2">
      <c r="A92" s="918" t="s">
        <v>60</v>
      </c>
      <c r="B92" s="919">
        <v>41471</v>
      </c>
      <c r="C92" s="913">
        <v>4100000</v>
      </c>
      <c r="D92" s="913">
        <v>3389600</v>
      </c>
      <c r="E92" s="913">
        <v>710400</v>
      </c>
      <c r="F92" s="917">
        <v>0.82673170731707313</v>
      </c>
      <c r="G92" s="121"/>
    </row>
    <row r="93" spans="1:7" s="111" customFormat="1" x14ac:dyDescent="0.2">
      <c r="A93" s="916" t="s">
        <v>120</v>
      </c>
      <c r="B93" s="919"/>
      <c r="C93" s="913"/>
      <c r="D93" s="913"/>
      <c r="E93" s="913"/>
      <c r="F93" s="917"/>
      <c r="G93" s="121"/>
    </row>
    <row r="94" spans="1:7" s="111" customFormat="1" x14ac:dyDescent="0.2">
      <c r="A94" s="918" t="s">
        <v>429</v>
      </c>
      <c r="B94" s="919">
        <v>41362</v>
      </c>
      <c r="C94" s="913">
        <v>20044800</v>
      </c>
      <c r="D94" s="913">
        <v>20044800</v>
      </c>
      <c r="E94" s="913">
        <v>0</v>
      </c>
      <c r="F94" s="917">
        <v>1</v>
      </c>
      <c r="G94" s="121"/>
    </row>
    <row r="95" spans="1:7" s="111" customFormat="1" x14ac:dyDescent="0.2">
      <c r="A95" s="916" t="s">
        <v>112</v>
      </c>
      <c r="B95" s="919"/>
      <c r="C95" s="913"/>
      <c r="D95" s="913"/>
      <c r="E95" s="913"/>
      <c r="F95" s="917"/>
      <c r="G95" s="121"/>
    </row>
    <row r="96" spans="1:7" s="111" customFormat="1" x14ac:dyDescent="0.2">
      <c r="A96" s="918" t="s">
        <v>430</v>
      </c>
      <c r="B96" s="919">
        <v>41323</v>
      </c>
      <c r="C96" s="913">
        <v>9976800</v>
      </c>
      <c r="D96" s="913">
        <v>9976596</v>
      </c>
      <c r="E96" s="913">
        <v>204</v>
      </c>
      <c r="F96" s="917">
        <v>0.99997955256194371</v>
      </c>
      <c r="G96" s="121"/>
    </row>
    <row r="97" spans="1:7" s="111" customFormat="1" x14ac:dyDescent="0.2">
      <c r="A97" s="916" t="s">
        <v>44</v>
      </c>
      <c r="B97" s="919"/>
      <c r="C97" s="913"/>
      <c r="D97" s="913"/>
      <c r="E97" s="913"/>
      <c r="F97" s="917"/>
      <c r="G97" s="121"/>
    </row>
    <row r="98" spans="1:7" s="111" customFormat="1" x14ac:dyDescent="0.2">
      <c r="A98" s="918" t="s">
        <v>1017</v>
      </c>
      <c r="B98" s="919">
        <v>41547</v>
      </c>
      <c r="C98" s="913">
        <v>8932201</v>
      </c>
      <c r="D98" s="913">
        <v>8906668</v>
      </c>
      <c r="E98" s="913">
        <v>25533</v>
      </c>
      <c r="F98" s="917">
        <v>0.99714146602836184</v>
      </c>
      <c r="G98" s="121"/>
    </row>
    <row r="99" spans="1:7" s="111" customFormat="1" x14ac:dyDescent="0.2">
      <c r="A99" s="916" t="s">
        <v>7</v>
      </c>
      <c r="B99" s="919"/>
      <c r="C99" s="913"/>
      <c r="D99" s="913"/>
      <c r="E99" s="913"/>
      <c r="F99" s="917"/>
      <c r="G99" s="121"/>
    </row>
    <row r="100" spans="1:7" s="111" customFormat="1" x14ac:dyDescent="0.2">
      <c r="A100" s="918" t="s">
        <v>8</v>
      </c>
      <c r="B100" s="919">
        <v>41458</v>
      </c>
      <c r="C100" s="913">
        <v>8545000</v>
      </c>
      <c r="D100" s="913">
        <v>4336000</v>
      </c>
      <c r="E100" s="913">
        <v>4209000</v>
      </c>
      <c r="F100" s="917">
        <v>0.50743124634289061</v>
      </c>
      <c r="G100" s="121"/>
    </row>
    <row r="101" spans="1:7" s="111" customFormat="1" x14ac:dyDescent="0.2">
      <c r="A101" s="916" t="s">
        <v>161</v>
      </c>
      <c r="B101" s="919"/>
      <c r="C101" s="913"/>
      <c r="D101" s="913"/>
      <c r="E101" s="913"/>
      <c r="F101" s="917"/>
      <c r="G101" s="121"/>
    </row>
    <row r="102" spans="1:7" s="111" customFormat="1" x14ac:dyDescent="0.2">
      <c r="A102" s="918" t="s">
        <v>162</v>
      </c>
      <c r="B102" s="919">
        <v>40922</v>
      </c>
      <c r="C102" s="913">
        <v>1306508</v>
      </c>
      <c r="D102" s="913">
        <v>1306508</v>
      </c>
      <c r="E102" s="913">
        <v>0</v>
      </c>
      <c r="F102" s="917">
        <v>1</v>
      </c>
      <c r="G102" s="121"/>
    </row>
    <row r="103" spans="1:7" s="111" customFormat="1" x14ac:dyDescent="0.2">
      <c r="A103" s="916" t="s">
        <v>5</v>
      </c>
      <c r="B103" s="919"/>
      <c r="C103" s="913"/>
      <c r="D103" s="913"/>
      <c r="E103" s="913"/>
      <c r="F103" s="917"/>
      <c r="G103" s="121"/>
    </row>
    <row r="104" spans="1:7" s="111" customFormat="1" x14ac:dyDescent="0.2">
      <c r="A104" s="918" t="s">
        <v>431</v>
      </c>
      <c r="B104" s="919">
        <v>41243</v>
      </c>
      <c r="C104" s="913">
        <v>102786079</v>
      </c>
      <c r="D104" s="913">
        <v>84046373</v>
      </c>
      <c r="E104" s="913">
        <v>18739706</v>
      </c>
      <c r="F104" s="917">
        <v>0.81768245094746728</v>
      </c>
      <c r="G104" s="121"/>
    </row>
    <row r="105" spans="1:7" s="111" customFormat="1" x14ac:dyDescent="0.2">
      <c r="A105" s="916" t="s">
        <v>6</v>
      </c>
      <c r="B105" s="919"/>
      <c r="C105" s="913"/>
      <c r="D105" s="913"/>
      <c r="E105" s="913"/>
      <c r="F105" s="917"/>
      <c r="G105" s="121"/>
    </row>
    <row r="106" spans="1:7" s="111" customFormat="1" x14ac:dyDescent="0.2">
      <c r="A106" s="918" t="s">
        <v>1018</v>
      </c>
      <c r="B106" s="919">
        <v>41445</v>
      </c>
      <c r="C106" s="913">
        <v>242578353</v>
      </c>
      <c r="D106" s="913">
        <v>218264339</v>
      </c>
      <c r="E106" s="913">
        <v>24314014</v>
      </c>
      <c r="F106" s="917">
        <v>0.89976841008562702</v>
      </c>
      <c r="G106" s="121"/>
    </row>
    <row r="107" spans="1:7" s="111" customFormat="1" x14ac:dyDescent="0.2">
      <c r="A107" s="916" t="s">
        <v>35</v>
      </c>
      <c r="B107" s="919"/>
      <c r="C107" s="913"/>
      <c r="D107" s="913"/>
      <c r="E107" s="913"/>
      <c r="F107" s="917"/>
      <c r="G107" s="121"/>
    </row>
    <row r="108" spans="1:7" s="111" customFormat="1" x14ac:dyDescent="0.2">
      <c r="A108" s="918" t="s">
        <v>36</v>
      </c>
      <c r="B108" s="919">
        <v>41414</v>
      </c>
      <c r="C108" s="913">
        <v>4493000</v>
      </c>
      <c r="D108" s="913">
        <v>3309000</v>
      </c>
      <c r="E108" s="913">
        <v>1184000</v>
      </c>
      <c r="F108" s="917">
        <v>0.73647896728243933</v>
      </c>
      <c r="G108" s="121"/>
    </row>
    <row r="109" spans="1:7" s="111" customFormat="1" x14ac:dyDescent="0.2">
      <c r="A109" s="916" t="s">
        <v>37</v>
      </c>
      <c r="B109" s="919"/>
      <c r="C109" s="913"/>
      <c r="D109" s="913"/>
      <c r="E109" s="913"/>
      <c r="F109" s="917"/>
      <c r="G109" s="121"/>
    </row>
    <row r="110" spans="1:7" s="111" customFormat="1" x14ac:dyDescent="0.2">
      <c r="A110" s="918" t="s">
        <v>38</v>
      </c>
      <c r="B110" s="919">
        <v>41425</v>
      </c>
      <c r="C110" s="913">
        <v>24726000</v>
      </c>
      <c r="D110" s="913">
        <v>24725958</v>
      </c>
      <c r="E110" s="913">
        <v>42</v>
      </c>
      <c r="F110" s="917">
        <v>0.99999830138315948</v>
      </c>
      <c r="G110" s="121"/>
    </row>
    <row r="111" spans="1:7" s="111" customFormat="1" x14ac:dyDescent="0.2">
      <c r="A111" s="916" t="s">
        <v>9</v>
      </c>
      <c r="B111" s="919"/>
      <c r="C111" s="913"/>
      <c r="D111" s="913"/>
      <c r="E111" s="913"/>
      <c r="F111" s="917"/>
      <c r="G111" s="121"/>
    </row>
    <row r="112" spans="1:7" s="111" customFormat="1" x14ac:dyDescent="0.2">
      <c r="A112" s="918" t="s">
        <v>1019</v>
      </c>
      <c r="B112" s="919">
        <v>41409</v>
      </c>
      <c r="C112" s="913">
        <v>20923575</v>
      </c>
      <c r="D112" s="913">
        <v>19912200</v>
      </c>
      <c r="E112" s="913">
        <v>1011375</v>
      </c>
      <c r="F112" s="917">
        <v>0.95166337492517417</v>
      </c>
      <c r="G112" s="121"/>
    </row>
    <row r="113" spans="1:7" s="111" customFormat="1" x14ac:dyDescent="0.2">
      <c r="A113" s="916" t="s">
        <v>63</v>
      </c>
      <c r="B113" s="919"/>
      <c r="C113" s="913"/>
      <c r="D113" s="913"/>
      <c r="E113" s="913"/>
      <c r="F113" s="917"/>
      <c r="G113" s="121"/>
    </row>
    <row r="114" spans="1:7" s="111" customFormat="1" x14ac:dyDescent="0.2">
      <c r="A114" s="918" t="s">
        <v>64</v>
      </c>
      <c r="B114" s="919">
        <v>41441</v>
      </c>
      <c r="C114" s="913">
        <v>282073266</v>
      </c>
      <c r="D114" s="913">
        <v>282073266</v>
      </c>
      <c r="E114" s="913">
        <v>0</v>
      </c>
      <c r="F114" s="917">
        <v>1</v>
      </c>
      <c r="G114" s="121"/>
    </row>
    <row r="115" spans="1:7" s="111" customFormat="1" x14ac:dyDescent="0.2">
      <c r="A115" s="916" t="s">
        <v>110</v>
      </c>
      <c r="B115" s="919"/>
      <c r="C115" s="913"/>
      <c r="D115" s="913"/>
      <c r="E115" s="913"/>
      <c r="F115" s="917"/>
      <c r="G115" s="121"/>
    </row>
    <row r="116" spans="1:7" s="111" customFormat="1" x14ac:dyDescent="0.2">
      <c r="A116" s="918" t="s">
        <v>111</v>
      </c>
      <c r="B116" s="919">
        <v>41441</v>
      </c>
      <c r="C116" s="913">
        <v>50618751</v>
      </c>
      <c r="D116" s="913">
        <v>50618751</v>
      </c>
      <c r="E116" s="913">
        <v>0</v>
      </c>
      <c r="F116" s="917">
        <v>1</v>
      </c>
      <c r="G116" s="121"/>
    </row>
    <row r="117" spans="1:7" s="111" customFormat="1" x14ac:dyDescent="0.2">
      <c r="A117" s="916" t="s">
        <v>65</v>
      </c>
      <c r="B117" s="919"/>
      <c r="C117" s="913"/>
      <c r="D117" s="913"/>
      <c r="E117" s="913"/>
      <c r="F117" s="917"/>
      <c r="G117" s="121"/>
    </row>
    <row r="118" spans="1:7" s="111" customFormat="1" x14ac:dyDescent="0.2">
      <c r="A118" s="918" t="s">
        <v>66</v>
      </c>
      <c r="B118" s="919">
        <v>41486</v>
      </c>
      <c r="C118" s="913">
        <v>69900000</v>
      </c>
      <c r="D118" s="913">
        <v>69900000</v>
      </c>
      <c r="E118" s="913">
        <v>0</v>
      </c>
      <c r="F118" s="917">
        <v>1</v>
      </c>
      <c r="G118" s="121"/>
    </row>
    <row r="119" spans="1:7" s="111" customFormat="1" x14ac:dyDescent="0.2">
      <c r="A119" s="916" t="s">
        <v>69</v>
      </c>
      <c r="B119" s="919"/>
      <c r="C119" s="913"/>
      <c r="D119" s="913"/>
      <c r="E119" s="913"/>
      <c r="F119" s="917"/>
      <c r="G119" s="121"/>
    </row>
    <row r="120" spans="1:7" s="111" customFormat="1" x14ac:dyDescent="0.2">
      <c r="A120" s="918" t="s">
        <v>77</v>
      </c>
      <c r="B120" s="919">
        <v>41412</v>
      </c>
      <c r="C120" s="913">
        <v>500000000</v>
      </c>
      <c r="D120" s="913">
        <v>500000000</v>
      </c>
      <c r="E120" s="913">
        <v>0</v>
      </c>
      <c r="F120" s="917">
        <v>1</v>
      </c>
      <c r="G120" s="121"/>
    </row>
    <row r="121" spans="1:7" s="111" customFormat="1" x14ac:dyDescent="0.2">
      <c r="A121" s="916" t="s">
        <v>47</v>
      </c>
      <c r="B121" s="919"/>
      <c r="C121" s="913"/>
      <c r="D121" s="913"/>
      <c r="E121" s="913"/>
      <c r="F121" s="917"/>
      <c r="G121" s="121"/>
    </row>
    <row r="122" spans="1:7" s="111" customFormat="1" x14ac:dyDescent="0.2">
      <c r="A122" s="918" t="s">
        <v>48</v>
      </c>
      <c r="B122" s="919">
        <v>41481</v>
      </c>
      <c r="C122" s="913">
        <v>24824832</v>
      </c>
      <c r="D122" s="913">
        <v>24824832</v>
      </c>
      <c r="E122" s="913">
        <v>0</v>
      </c>
      <c r="F122" s="917">
        <v>1</v>
      </c>
      <c r="G122" s="121"/>
    </row>
    <row r="123" spans="1:7" s="111" customFormat="1" x14ac:dyDescent="0.2">
      <c r="A123" s="916" t="s">
        <v>39</v>
      </c>
      <c r="B123" s="919"/>
      <c r="C123" s="913"/>
      <c r="D123" s="913"/>
      <c r="E123" s="913"/>
      <c r="F123" s="917"/>
      <c r="G123" s="121"/>
    </row>
    <row r="124" spans="1:7" s="111" customFormat="1" x14ac:dyDescent="0.2">
      <c r="A124" s="918" t="s">
        <v>1020</v>
      </c>
      <c r="B124" s="919">
        <v>41558</v>
      </c>
      <c r="C124" s="913">
        <v>810000</v>
      </c>
      <c r="D124" s="913">
        <v>810000</v>
      </c>
      <c r="E124" s="913">
        <v>0</v>
      </c>
      <c r="F124" s="917">
        <v>1</v>
      </c>
      <c r="G124" s="121"/>
    </row>
    <row r="125" spans="1:7" s="111" customFormat="1" x14ac:dyDescent="0.2">
      <c r="A125" s="916" t="s">
        <v>49</v>
      </c>
      <c r="B125" s="919"/>
      <c r="C125" s="913"/>
      <c r="D125" s="913"/>
      <c r="E125" s="913"/>
      <c r="F125" s="917"/>
      <c r="G125" s="121"/>
    </row>
    <row r="126" spans="1:7" s="111" customFormat="1" x14ac:dyDescent="0.2">
      <c r="A126" s="918" t="s">
        <v>1021</v>
      </c>
      <c r="B126" s="919">
        <v>41451</v>
      </c>
      <c r="C126" s="913">
        <v>299287875</v>
      </c>
      <c r="D126" s="913">
        <v>160844981</v>
      </c>
      <c r="E126" s="913">
        <v>138442894</v>
      </c>
      <c r="F126" s="917">
        <v>0.53742565080526572</v>
      </c>
      <c r="G126" s="121"/>
    </row>
    <row r="127" spans="1:7" s="111" customFormat="1" x14ac:dyDescent="0.2">
      <c r="A127" s="916" t="s">
        <v>50</v>
      </c>
      <c r="B127" s="919"/>
      <c r="C127" s="913"/>
      <c r="D127" s="913"/>
      <c r="E127" s="913"/>
      <c r="F127" s="917"/>
      <c r="G127" s="121"/>
    </row>
    <row r="128" spans="1:7" s="111" customFormat="1" x14ac:dyDescent="0.2">
      <c r="A128" s="918" t="s">
        <v>1022</v>
      </c>
      <c r="B128" s="919">
        <v>41534</v>
      </c>
      <c r="C128" s="913">
        <v>1392000</v>
      </c>
      <c r="D128" s="913">
        <v>0</v>
      </c>
      <c r="E128" s="913">
        <v>1392000</v>
      </c>
      <c r="F128" s="917">
        <v>0</v>
      </c>
      <c r="G128" s="121"/>
    </row>
    <row r="129" spans="1:7" s="111" customFormat="1" x14ac:dyDescent="0.2">
      <c r="A129" s="916" t="s">
        <v>119</v>
      </c>
      <c r="B129" s="919"/>
      <c r="C129" s="913"/>
      <c r="D129" s="913"/>
      <c r="E129" s="913"/>
      <c r="F129" s="917"/>
      <c r="G129" s="121"/>
    </row>
    <row r="130" spans="1:7" s="111" customFormat="1" x14ac:dyDescent="0.2">
      <c r="A130" s="918" t="s">
        <v>398</v>
      </c>
      <c r="B130" s="919">
        <v>41390</v>
      </c>
      <c r="C130" s="913">
        <v>4056000</v>
      </c>
      <c r="D130" s="913">
        <v>4056000</v>
      </c>
      <c r="E130" s="913">
        <v>0</v>
      </c>
      <c r="F130" s="917">
        <v>1</v>
      </c>
      <c r="G130" s="121"/>
    </row>
    <row r="131" spans="1:7" s="111" customFormat="1" x14ac:dyDescent="0.2">
      <c r="A131" s="916" t="s">
        <v>589</v>
      </c>
      <c r="B131" s="919"/>
      <c r="C131" s="913"/>
      <c r="D131" s="913"/>
      <c r="E131" s="913"/>
      <c r="F131" s="917"/>
      <c r="G131" s="121"/>
    </row>
    <row r="132" spans="1:7" s="111" customFormat="1" x14ac:dyDescent="0.2">
      <c r="A132" s="918" t="s">
        <v>426</v>
      </c>
      <c r="B132" s="919">
        <v>41332</v>
      </c>
      <c r="C132" s="913">
        <v>12835200</v>
      </c>
      <c r="D132" s="913">
        <v>1092200</v>
      </c>
      <c r="E132" s="913">
        <v>11743000</v>
      </c>
      <c r="F132" s="917">
        <v>8.5094116180503609E-2</v>
      </c>
      <c r="G132" s="121"/>
    </row>
    <row r="133" spans="1:7" s="111" customFormat="1" x14ac:dyDescent="0.2">
      <c r="A133" s="916" t="s">
        <v>163</v>
      </c>
      <c r="B133" s="919"/>
      <c r="C133" s="913"/>
      <c r="D133" s="913"/>
      <c r="E133" s="913"/>
      <c r="F133" s="917"/>
      <c r="G133" s="121"/>
    </row>
    <row r="134" spans="1:7" s="111" customFormat="1" x14ac:dyDescent="0.2">
      <c r="A134" s="918" t="s">
        <v>432</v>
      </c>
      <c r="B134" s="919">
        <v>41312</v>
      </c>
      <c r="C134" s="913">
        <v>49376272</v>
      </c>
      <c r="D134" s="913">
        <v>49376272</v>
      </c>
      <c r="E134" s="913">
        <v>0</v>
      </c>
      <c r="F134" s="917">
        <v>1</v>
      </c>
      <c r="G134" s="121"/>
    </row>
    <row r="135" spans="1:7" s="111" customFormat="1" x14ac:dyDescent="0.2">
      <c r="A135" s="916" t="s">
        <v>51</v>
      </c>
      <c r="B135" s="919"/>
      <c r="C135" s="913"/>
      <c r="D135" s="913"/>
      <c r="E135" s="913"/>
      <c r="F135" s="917"/>
      <c r="G135" s="121"/>
    </row>
    <row r="136" spans="1:7" s="111" customFormat="1" x14ac:dyDescent="0.2">
      <c r="A136" s="918" t="s">
        <v>1023</v>
      </c>
      <c r="B136" s="919">
        <v>41579</v>
      </c>
      <c r="C136" s="913">
        <v>526745000</v>
      </c>
      <c r="D136" s="913">
        <v>526745000</v>
      </c>
      <c r="E136" s="913">
        <v>0</v>
      </c>
      <c r="F136" s="917">
        <v>1</v>
      </c>
      <c r="G136" s="121"/>
    </row>
    <row r="137" spans="1:7" s="111" customFormat="1" x14ac:dyDescent="0.2">
      <c r="A137" s="916" t="s">
        <v>597</v>
      </c>
      <c r="B137" s="919"/>
      <c r="C137" s="913"/>
      <c r="D137" s="913"/>
      <c r="E137" s="913"/>
      <c r="F137" s="917"/>
      <c r="G137" s="121"/>
    </row>
    <row r="138" spans="1:7" s="111" customFormat="1" x14ac:dyDescent="0.2">
      <c r="A138" s="918" t="s">
        <v>1024</v>
      </c>
      <c r="B138" s="919">
        <v>41562</v>
      </c>
      <c r="C138" s="913">
        <v>619289880</v>
      </c>
      <c r="D138" s="913">
        <v>619289880</v>
      </c>
      <c r="E138" s="913">
        <v>0</v>
      </c>
      <c r="F138" s="917">
        <v>1</v>
      </c>
      <c r="G138" s="121"/>
    </row>
    <row r="139" spans="1:7" s="111" customFormat="1" x14ac:dyDescent="0.2">
      <c r="A139" s="916" t="s">
        <v>52</v>
      </c>
      <c r="B139" s="919"/>
      <c r="C139" s="913"/>
      <c r="D139" s="913"/>
      <c r="E139" s="913"/>
      <c r="F139" s="917"/>
      <c r="G139" s="121"/>
    </row>
    <row r="140" spans="1:7" s="111" customFormat="1" x14ac:dyDescent="0.2">
      <c r="A140" s="918" t="s">
        <v>53</v>
      </c>
      <c r="B140" s="919">
        <v>41459</v>
      </c>
      <c r="C140" s="913">
        <v>13806000</v>
      </c>
      <c r="D140" s="913">
        <v>12439108</v>
      </c>
      <c r="E140" s="913">
        <v>1366892</v>
      </c>
      <c r="F140" s="917">
        <v>0.90099290163696943</v>
      </c>
      <c r="G140" s="121"/>
    </row>
    <row r="141" spans="1:7" s="111" customFormat="1" x14ac:dyDescent="0.2">
      <c r="A141" s="916" t="s">
        <v>598</v>
      </c>
      <c r="B141" s="919"/>
      <c r="C141" s="913"/>
      <c r="D141" s="913"/>
      <c r="E141" s="913"/>
      <c r="F141" s="917"/>
      <c r="G141" s="121"/>
    </row>
    <row r="142" spans="1:7" s="111" customFormat="1" x14ac:dyDescent="0.2">
      <c r="A142" s="918" t="s">
        <v>1025</v>
      </c>
      <c r="B142" s="919">
        <v>41446</v>
      </c>
      <c r="C142" s="913">
        <v>37359000</v>
      </c>
      <c r="D142" s="913">
        <v>37359000</v>
      </c>
      <c r="E142" s="913">
        <v>0</v>
      </c>
      <c r="F142" s="917">
        <v>1</v>
      </c>
      <c r="G142" s="121"/>
    </row>
    <row r="143" spans="1:7" s="111" customFormat="1" x14ac:dyDescent="0.2">
      <c r="A143" s="916" t="s">
        <v>399</v>
      </c>
      <c r="B143" s="919"/>
      <c r="C143" s="913"/>
      <c r="D143" s="913"/>
      <c r="E143" s="913"/>
      <c r="F143" s="917"/>
      <c r="G143" s="121"/>
    </row>
    <row r="144" spans="1:7" s="111" customFormat="1" x14ac:dyDescent="0.2">
      <c r="A144" s="918" t="s">
        <v>424</v>
      </c>
      <c r="B144" s="919">
        <v>41278</v>
      </c>
      <c r="C144" s="913">
        <v>4452000</v>
      </c>
      <c r="D144" s="913">
        <v>4452000</v>
      </c>
      <c r="E144" s="913">
        <v>0</v>
      </c>
      <c r="F144" s="917">
        <v>1</v>
      </c>
      <c r="G144" s="121"/>
    </row>
    <row r="145" spans="1:7" s="111" customFormat="1" x14ac:dyDescent="0.2">
      <c r="A145" s="916" t="s">
        <v>42</v>
      </c>
      <c r="B145" s="919"/>
      <c r="C145" s="913"/>
      <c r="D145" s="913"/>
      <c r="E145" s="913"/>
      <c r="F145" s="917"/>
      <c r="G145" s="121"/>
    </row>
    <row r="146" spans="1:7" s="111" customFormat="1" x14ac:dyDescent="0.2">
      <c r="A146" s="918" t="s">
        <v>43</v>
      </c>
      <c r="B146" s="919">
        <v>41452</v>
      </c>
      <c r="C146" s="913">
        <v>28420000</v>
      </c>
      <c r="D146" s="913">
        <v>28379400</v>
      </c>
      <c r="E146" s="913">
        <v>40600</v>
      </c>
      <c r="F146" s="917">
        <v>0.99857142857142855</v>
      </c>
      <c r="G146" s="121"/>
    </row>
    <row r="147" spans="1:7" s="111" customFormat="1" x14ac:dyDescent="0.2">
      <c r="A147" s="916" t="s">
        <v>67</v>
      </c>
      <c r="B147" s="919"/>
      <c r="C147" s="913"/>
      <c r="D147" s="913"/>
      <c r="E147" s="913"/>
      <c r="F147" s="917"/>
      <c r="G147" s="121"/>
    </row>
    <row r="148" spans="1:7" s="111" customFormat="1" x14ac:dyDescent="0.2">
      <c r="A148" s="918" t="s">
        <v>68</v>
      </c>
      <c r="B148" s="919">
        <v>41322</v>
      </c>
      <c r="C148" s="913">
        <v>58300000</v>
      </c>
      <c r="D148" s="913">
        <v>58300000</v>
      </c>
      <c r="E148" s="913">
        <v>0</v>
      </c>
      <c r="F148" s="917">
        <v>1</v>
      </c>
      <c r="G148" s="121"/>
    </row>
    <row r="149" spans="1:7" s="111" customFormat="1" x14ac:dyDescent="0.2">
      <c r="A149" s="916" t="s">
        <v>74</v>
      </c>
      <c r="B149" s="919"/>
      <c r="C149" s="913"/>
      <c r="D149" s="913"/>
      <c r="E149" s="913"/>
      <c r="F149" s="917"/>
      <c r="G149" s="121"/>
    </row>
    <row r="150" spans="1:7" s="111" customFormat="1" x14ac:dyDescent="0.2">
      <c r="A150" s="918" t="s">
        <v>75</v>
      </c>
      <c r="B150" s="919">
        <v>41593</v>
      </c>
      <c r="C150" s="913">
        <v>411000000</v>
      </c>
      <c r="D150" s="913">
        <v>411000000</v>
      </c>
      <c r="E150" s="913">
        <v>0</v>
      </c>
      <c r="F150" s="917">
        <v>1</v>
      </c>
      <c r="G150" s="121"/>
    </row>
    <row r="151" spans="1:7" s="111" customFormat="1" x14ac:dyDescent="0.2">
      <c r="A151" s="916" t="s">
        <v>54</v>
      </c>
      <c r="B151" s="919"/>
      <c r="C151" s="913"/>
      <c r="D151" s="913"/>
      <c r="E151" s="913"/>
      <c r="F151" s="917"/>
      <c r="G151" s="121"/>
    </row>
    <row r="152" spans="1:7" s="111" customFormat="1" x14ac:dyDescent="0.2">
      <c r="A152" s="918" t="s">
        <v>55</v>
      </c>
      <c r="B152" s="919">
        <v>41575</v>
      </c>
      <c r="C152" s="913">
        <v>10032000</v>
      </c>
      <c r="D152" s="913">
        <v>9339930</v>
      </c>
      <c r="E152" s="913">
        <v>692070</v>
      </c>
      <c r="F152" s="917">
        <v>0.93101375598086122</v>
      </c>
      <c r="G152" s="121"/>
    </row>
    <row r="153" spans="1:7" s="111" customFormat="1" x14ac:dyDescent="0.2">
      <c r="A153" s="916" t="s">
        <v>11</v>
      </c>
      <c r="B153" s="919"/>
      <c r="C153" s="913"/>
      <c r="D153" s="913"/>
      <c r="E153" s="913"/>
      <c r="F153" s="917"/>
      <c r="G153" s="121"/>
    </row>
    <row r="154" spans="1:7" s="111" customFormat="1" x14ac:dyDescent="0.2">
      <c r="A154" s="918" t="s">
        <v>12</v>
      </c>
      <c r="B154" s="919">
        <v>41711</v>
      </c>
      <c r="C154" s="913">
        <v>1918200</v>
      </c>
      <c r="D154" s="913">
        <v>1755170</v>
      </c>
      <c r="E154" s="913">
        <v>163030</v>
      </c>
      <c r="F154" s="917">
        <v>0.91500886247523716</v>
      </c>
      <c r="G154" s="121"/>
    </row>
    <row r="155" spans="1:7" s="111" customFormat="1" x14ac:dyDescent="0.2">
      <c r="A155" s="916" t="s">
        <v>4</v>
      </c>
      <c r="B155" s="919"/>
      <c r="C155" s="913"/>
      <c r="D155" s="913"/>
      <c r="E155" s="913"/>
      <c r="F155" s="917"/>
      <c r="G155" s="121"/>
    </row>
    <row r="156" spans="1:7" s="111" customFormat="1" x14ac:dyDescent="0.2">
      <c r="A156" s="918" t="s">
        <v>1028</v>
      </c>
      <c r="B156" s="919">
        <v>41608</v>
      </c>
      <c r="C156" s="913">
        <v>79213111</v>
      </c>
      <c r="D156" s="913">
        <v>65129800</v>
      </c>
      <c r="E156" s="913">
        <v>14083311</v>
      </c>
      <c r="F156" s="917">
        <v>0.82220984856913393</v>
      </c>
      <c r="G156" s="121"/>
    </row>
    <row r="157" spans="1:7" s="111" customFormat="1" x14ac:dyDescent="0.2">
      <c r="A157" s="916" t="s">
        <v>71</v>
      </c>
      <c r="B157" s="919"/>
      <c r="C157" s="913"/>
      <c r="D157" s="913"/>
      <c r="E157" s="913"/>
      <c r="F157" s="917"/>
      <c r="G157" s="121"/>
    </row>
    <row r="158" spans="1:7" s="111" customFormat="1" x14ac:dyDescent="0.2">
      <c r="A158" s="918" t="s">
        <v>1029</v>
      </c>
      <c r="B158" s="919">
        <v>41505</v>
      </c>
      <c r="C158" s="913">
        <v>75246412</v>
      </c>
      <c r="D158" s="913">
        <v>75232704</v>
      </c>
      <c r="E158" s="913">
        <v>13708</v>
      </c>
      <c r="F158" s="917">
        <v>0.99981782520075513</v>
      </c>
      <c r="G158" s="121"/>
    </row>
    <row r="159" spans="1:7" s="111" customFormat="1" x14ac:dyDescent="0.2">
      <c r="A159" s="916" t="s">
        <v>45</v>
      </c>
      <c r="B159" s="919"/>
      <c r="C159" s="913"/>
      <c r="D159" s="913"/>
      <c r="E159" s="913"/>
      <c r="F159" s="917"/>
      <c r="G159" s="121"/>
    </row>
    <row r="160" spans="1:7" s="111" customFormat="1" x14ac:dyDescent="0.2">
      <c r="A160" s="918" t="s">
        <v>46</v>
      </c>
      <c r="B160" s="919">
        <v>42052</v>
      </c>
      <c r="C160" s="913">
        <v>1062500</v>
      </c>
      <c r="D160" s="913">
        <v>1062500</v>
      </c>
      <c r="E160" s="913">
        <v>0</v>
      </c>
      <c r="F160" s="917">
        <v>1</v>
      </c>
      <c r="G160" s="121"/>
    </row>
    <row r="161" spans="1:7" s="111" customFormat="1" x14ac:dyDescent="0.2">
      <c r="A161" s="916" t="s">
        <v>25</v>
      </c>
      <c r="B161" s="919"/>
      <c r="C161" s="913"/>
      <c r="D161" s="913"/>
      <c r="E161" s="913"/>
      <c r="F161" s="917"/>
      <c r="G161" s="121"/>
    </row>
    <row r="162" spans="1:7" s="111" customFormat="1" x14ac:dyDescent="0.2">
      <c r="A162" s="918" t="s">
        <v>26</v>
      </c>
      <c r="B162" s="919">
        <v>41736</v>
      </c>
      <c r="C162" s="913">
        <v>115663600</v>
      </c>
      <c r="D162" s="913">
        <v>115663040</v>
      </c>
      <c r="E162" s="913">
        <v>560</v>
      </c>
      <c r="F162" s="917">
        <v>0.99999515837307507</v>
      </c>
      <c r="G162" s="121"/>
    </row>
    <row r="163" spans="1:7" s="111" customFormat="1" x14ac:dyDescent="0.2">
      <c r="A163" s="916" t="s">
        <v>116</v>
      </c>
      <c r="B163" s="919"/>
      <c r="C163" s="913"/>
      <c r="D163" s="913"/>
      <c r="E163" s="913"/>
      <c r="F163" s="917"/>
      <c r="G163" s="121"/>
    </row>
    <row r="164" spans="1:7" s="111" customFormat="1" x14ac:dyDescent="0.2">
      <c r="A164" s="918" t="s">
        <v>418</v>
      </c>
      <c r="B164" s="919">
        <v>41442</v>
      </c>
      <c r="C164" s="913">
        <v>36990000</v>
      </c>
      <c r="D164" s="913">
        <v>36990000</v>
      </c>
      <c r="E164" s="913">
        <v>0</v>
      </c>
      <c r="F164" s="917">
        <v>1</v>
      </c>
      <c r="G164" s="121"/>
    </row>
    <row r="165" spans="1:7" s="111" customFormat="1" x14ac:dyDescent="0.2">
      <c r="A165" s="916" t="s">
        <v>122</v>
      </c>
      <c r="B165" s="919"/>
      <c r="C165" s="913"/>
      <c r="D165" s="913"/>
      <c r="E165" s="913"/>
      <c r="F165" s="917"/>
      <c r="G165" s="121"/>
    </row>
    <row r="166" spans="1:7" s="111" customFormat="1" x14ac:dyDescent="0.2">
      <c r="A166" s="918" t="s">
        <v>244</v>
      </c>
      <c r="B166" s="919">
        <v>41680</v>
      </c>
      <c r="C166" s="913">
        <v>85314724</v>
      </c>
      <c r="D166" s="913">
        <v>85314724</v>
      </c>
      <c r="E166" s="913">
        <v>0</v>
      </c>
      <c r="F166" s="917">
        <v>1</v>
      </c>
      <c r="G166" s="121"/>
    </row>
    <row r="167" spans="1:7" s="111" customFormat="1" x14ac:dyDescent="0.2">
      <c r="A167" s="916" t="s">
        <v>182</v>
      </c>
      <c r="B167" s="919"/>
      <c r="C167" s="913"/>
      <c r="D167" s="913"/>
      <c r="E167" s="913"/>
      <c r="F167" s="917"/>
      <c r="G167" s="121"/>
    </row>
    <row r="168" spans="1:7" s="111" customFormat="1" x14ac:dyDescent="0.2">
      <c r="A168" s="918" t="s">
        <v>152</v>
      </c>
      <c r="B168" s="919">
        <v>41336</v>
      </c>
      <c r="C168" s="913">
        <v>507000000</v>
      </c>
      <c r="D168" s="913">
        <v>471070424</v>
      </c>
      <c r="E168" s="913">
        <v>35929576</v>
      </c>
      <c r="F168" s="917">
        <v>0.92913298619329387</v>
      </c>
      <c r="G168" s="121"/>
    </row>
    <row r="169" spans="1:7" s="111" customFormat="1" x14ac:dyDescent="0.2">
      <c r="A169" s="916" t="s">
        <v>78</v>
      </c>
      <c r="B169" s="919"/>
      <c r="C169" s="913"/>
      <c r="D169" s="913"/>
      <c r="E169" s="913"/>
      <c r="F169" s="917"/>
      <c r="G169" s="121"/>
    </row>
    <row r="170" spans="1:7" s="111" customFormat="1" x14ac:dyDescent="0.2">
      <c r="A170" s="918" t="s">
        <v>79</v>
      </c>
      <c r="B170" s="919">
        <v>41683</v>
      </c>
      <c r="C170" s="913">
        <v>123000000</v>
      </c>
      <c r="D170" s="913">
        <v>123000000</v>
      </c>
      <c r="E170" s="913">
        <v>0</v>
      </c>
      <c r="F170" s="917">
        <v>1</v>
      </c>
      <c r="G170" s="121"/>
    </row>
    <row r="171" spans="1:7" s="111" customFormat="1" x14ac:dyDescent="0.2">
      <c r="A171" s="916" t="s">
        <v>80</v>
      </c>
      <c r="B171" s="919"/>
      <c r="C171" s="913"/>
      <c r="D171" s="913"/>
      <c r="E171" s="913"/>
      <c r="F171" s="917"/>
      <c r="G171" s="121"/>
    </row>
    <row r="172" spans="1:7" s="111" customFormat="1" x14ac:dyDescent="0.2">
      <c r="A172" s="918" t="s">
        <v>81</v>
      </c>
      <c r="B172" s="919">
        <v>41711</v>
      </c>
      <c r="C172" s="913">
        <v>1113600</v>
      </c>
      <c r="D172" s="913">
        <v>1113600</v>
      </c>
      <c r="E172" s="913">
        <v>0</v>
      </c>
      <c r="F172" s="917">
        <v>1</v>
      </c>
      <c r="G172" s="121"/>
    </row>
    <row r="173" spans="1:7" s="111" customFormat="1" x14ac:dyDescent="0.2">
      <c r="A173" s="916" t="s">
        <v>82</v>
      </c>
      <c r="B173" s="919"/>
      <c r="C173" s="913"/>
      <c r="D173" s="913"/>
      <c r="E173" s="913"/>
      <c r="F173" s="917"/>
      <c r="G173" s="121"/>
    </row>
    <row r="174" spans="1:7" s="111" customFormat="1" x14ac:dyDescent="0.2">
      <c r="A174" s="918" t="s">
        <v>1030</v>
      </c>
      <c r="B174" s="919">
        <v>41652</v>
      </c>
      <c r="C174" s="913">
        <v>4967474</v>
      </c>
      <c r="D174" s="913">
        <v>4453683</v>
      </c>
      <c r="E174" s="913">
        <v>513791</v>
      </c>
      <c r="F174" s="917">
        <v>0.89656896040120193</v>
      </c>
      <c r="G174" s="121"/>
    </row>
    <row r="175" spans="1:7" s="111" customFormat="1" x14ac:dyDescent="0.2">
      <c r="A175" s="916" t="s">
        <v>83</v>
      </c>
      <c r="B175" s="919"/>
      <c r="C175" s="913"/>
      <c r="D175" s="913"/>
      <c r="E175" s="913"/>
      <c r="F175" s="917"/>
      <c r="G175" s="121"/>
    </row>
    <row r="176" spans="1:7" s="111" customFormat="1" x14ac:dyDescent="0.2">
      <c r="A176" s="918" t="s">
        <v>84</v>
      </c>
      <c r="B176" s="919">
        <v>41731</v>
      </c>
      <c r="C176" s="913">
        <v>15913500</v>
      </c>
      <c r="D176" s="913">
        <v>15453868</v>
      </c>
      <c r="E176" s="913">
        <v>459632</v>
      </c>
      <c r="F176" s="917">
        <v>0.971116850472869</v>
      </c>
      <c r="G176" s="121"/>
    </row>
    <row r="177" spans="1:7" s="111" customFormat="1" x14ac:dyDescent="0.2">
      <c r="A177" s="916" t="s">
        <v>85</v>
      </c>
      <c r="B177" s="919"/>
      <c r="C177" s="913"/>
      <c r="D177" s="913"/>
      <c r="E177" s="913"/>
      <c r="F177" s="917"/>
      <c r="G177" s="121"/>
    </row>
    <row r="178" spans="1:7" s="111" customFormat="1" x14ac:dyDescent="0.2">
      <c r="A178" s="918" t="s">
        <v>86</v>
      </c>
      <c r="B178" s="919">
        <v>41716</v>
      </c>
      <c r="C178" s="913">
        <v>1197000</v>
      </c>
      <c r="D178" s="913">
        <v>1197000</v>
      </c>
      <c r="E178" s="913">
        <v>0</v>
      </c>
      <c r="F178" s="917">
        <v>1</v>
      </c>
      <c r="G178" s="121"/>
    </row>
    <row r="179" spans="1:7" s="111" customFormat="1" x14ac:dyDescent="0.2">
      <c r="A179" s="916" t="s">
        <v>87</v>
      </c>
      <c r="B179" s="919"/>
      <c r="C179" s="913"/>
      <c r="D179" s="913"/>
      <c r="E179" s="913"/>
      <c r="F179" s="917"/>
      <c r="G179" s="121"/>
    </row>
    <row r="180" spans="1:7" s="111" customFormat="1" x14ac:dyDescent="0.2">
      <c r="A180" s="918" t="s">
        <v>435</v>
      </c>
      <c r="B180" s="919">
        <v>41764</v>
      </c>
      <c r="C180" s="913">
        <v>8360000</v>
      </c>
      <c r="D180" s="913">
        <v>7018000</v>
      </c>
      <c r="E180" s="913">
        <v>1342000</v>
      </c>
      <c r="F180" s="917">
        <v>0.83947368421052626</v>
      </c>
      <c r="G180" s="121"/>
    </row>
    <row r="181" spans="1:7" s="111" customFormat="1" x14ac:dyDescent="0.2">
      <c r="A181" s="916" t="s">
        <v>88</v>
      </c>
      <c r="B181" s="919"/>
      <c r="C181" s="913"/>
      <c r="D181" s="913"/>
      <c r="E181" s="913"/>
      <c r="F181" s="917"/>
      <c r="G181" s="121"/>
    </row>
    <row r="182" spans="1:7" s="111" customFormat="1" x14ac:dyDescent="0.2">
      <c r="A182" s="918" t="s">
        <v>1031</v>
      </c>
      <c r="B182" s="919">
        <v>41545</v>
      </c>
      <c r="C182" s="913">
        <v>3700000</v>
      </c>
      <c r="D182" s="913">
        <v>3700000</v>
      </c>
      <c r="E182" s="913">
        <v>0</v>
      </c>
      <c r="F182" s="917">
        <v>1</v>
      </c>
      <c r="G182" s="121"/>
    </row>
    <row r="183" spans="1:7" s="111" customFormat="1" x14ac:dyDescent="0.2">
      <c r="A183" s="916" t="s">
        <v>91</v>
      </c>
      <c r="B183" s="919"/>
      <c r="C183" s="913"/>
      <c r="D183" s="913"/>
      <c r="E183" s="913"/>
      <c r="F183" s="917"/>
      <c r="G183" s="121"/>
    </row>
    <row r="184" spans="1:7" s="111" customFormat="1" x14ac:dyDescent="0.2">
      <c r="A184" s="918" t="s">
        <v>1032</v>
      </c>
      <c r="B184" s="919">
        <v>41692</v>
      </c>
      <c r="C184" s="913">
        <v>50000000</v>
      </c>
      <c r="D184" s="913">
        <v>50000000</v>
      </c>
      <c r="E184" s="913">
        <v>0</v>
      </c>
      <c r="F184" s="917">
        <v>1</v>
      </c>
      <c r="G184" s="121"/>
    </row>
    <row r="185" spans="1:7" s="111" customFormat="1" x14ac:dyDescent="0.2">
      <c r="A185" s="916" t="s">
        <v>93</v>
      </c>
      <c r="B185" s="919"/>
      <c r="C185" s="913"/>
      <c r="D185" s="913"/>
      <c r="E185" s="913"/>
      <c r="F185" s="917"/>
      <c r="G185" s="121"/>
    </row>
    <row r="186" spans="1:7" s="111" customFormat="1" x14ac:dyDescent="0.2">
      <c r="A186" s="918" t="s">
        <v>1033</v>
      </c>
      <c r="B186" s="919">
        <v>41699</v>
      </c>
      <c r="C186" s="913">
        <v>41600000</v>
      </c>
      <c r="D186" s="913">
        <v>41600000</v>
      </c>
      <c r="E186" s="913">
        <v>0</v>
      </c>
      <c r="F186" s="917">
        <v>1</v>
      </c>
      <c r="G186" s="121"/>
    </row>
    <row r="187" spans="1:7" s="111" customFormat="1" x14ac:dyDescent="0.2">
      <c r="A187" s="916" t="s">
        <v>94</v>
      </c>
      <c r="B187" s="919"/>
      <c r="C187" s="913"/>
      <c r="D187" s="913"/>
      <c r="E187" s="913"/>
      <c r="F187" s="917"/>
      <c r="G187" s="121"/>
    </row>
    <row r="188" spans="1:7" s="111" customFormat="1" x14ac:dyDescent="0.2">
      <c r="A188" s="918" t="s">
        <v>433</v>
      </c>
      <c r="B188" s="919">
        <v>41508</v>
      </c>
      <c r="C188" s="913">
        <v>240000000</v>
      </c>
      <c r="D188" s="913">
        <v>239999964</v>
      </c>
      <c r="E188" s="913">
        <v>36</v>
      </c>
      <c r="F188" s="917">
        <v>0.99999985000000002</v>
      </c>
      <c r="G188" s="121"/>
    </row>
    <row r="189" spans="1:7" s="111" customFormat="1" x14ac:dyDescent="0.2">
      <c r="A189" s="916" t="s">
        <v>95</v>
      </c>
      <c r="B189" s="919"/>
      <c r="C189" s="913"/>
      <c r="D189" s="913"/>
      <c r="E189" s="913"/>
      <c r="F189" s="917"/>
      <c r="G189" s="121"/>
    </row>
    <row r="190" spans="1:7" s="111" customFormat="1" x14ac:dyDescent="0.2">
      <c r="A190" s="918" t="s">
        <v>41</v>
      </c>
      <c r="B190" s="919">
        <v>41890</v>
      </c>
      <c r="C190" s="913">
        <v>67179000</v>
      </c>
      <c r="D190" s="913">
        <v>67115300</v>
      </c>
      <c r="E190" s="913">
        <v>63700</v>
      </c>
      <c r="F190" s="917">
        <v>0.9990517870167761</v>
      </c>
      <c r="G190" s="121"/>
    </row>
    <row r="191" spans="1:7" s="111" customFormat="1" x14ac:dyDescent="0.2">
      <c r="A191" s="916" t="s">
        <v>96</v>
      </c>
      <c r="B191" s="919"/>
      <c r="C191" s="913"/>
      <c r="D191" s="913"/>
      <c r="E191" s="913"/>
      <c r="F191" s="917"/>
      <c r="G191" s="121"/>
    </row>
    <row r="192" spans="1:7" s="111" customFormat="1" x14ac:dyDescent="0.2">
      <c r="A192" s="918" t="s">
        <v>3</v>
      </c>
      <c r="B192" s="919">
        <v>41820</v>
      </c>
      <c r="C192" s="913">
        <v>473134060</v>
      </c>
      <c r="D192" s="913">
        <v>473133510</v>
      </c>
      <c r="E192" s="913">
        <v>550</v>
      </c>
      <c r="F192" s="917">
        <v>0.99999883753877283</v>
      </c>
      <c r="G192" s="121"/>
    </row>
    <row r="193" spans="1:7" s="111" customFormat="1" x14ac:dyDescent="0.2">
      <c r="A193" s="916" t="s">
        <v>97</v>
      </c>
      <c r="B193" s="919"/>
      <c r="C193" s="913"/>
      <c r="D193" s="913"/>
      <c r="E193" s="913"/>
      <c r="F193" s="917"/>
      <c r="G193" s="121"/>
    </row>
    <row r="194" spans="1:7" s="111" customFormat="1" x14ac:dyDescent="0.2">
      <c r="A194" s="918" t="s">
        <v>98</v>
      </c>
      <c r="B194" s="919">
        <v>41692</v>
      </c>
      <c r="C194" s="913">
        <v>2096276</v>
      </c>
      <c r="D194" s="913">
        <v>2086672</v>
      </c>
      <c r="E194" s="913">
        <v>9604</v>
      </c>
      <c r="F194" s="917">
        <v>0.99541854221486104</v>
      </c>
      <c r="G194" s="121"/>
    </row>
    <row r="195" spans="1:7" s="111" customFormat="1" x14ac:dyDescent="0.2">
      <c r="A195" s="916" t="s">
        <v>99</v>
      </c>
      <c r="B195" s="919"/>
      <c r="C195" s="913"/>
      <c r="D195" s="913"/>
      <c r="E195" s="913"/>
      <c r="F195" s="917"/>
      <c r="G195" s="121"/>
    </row>
    <row r="196" spans="1:7" s="111" customFormat="1" x14ac:dyDescent="0.2">
      <c r="A196" s="918" t="s">
        <v>100</v>
      </c>
      <c r="B196" s="919">
        <v>41660</v>
      </c>
      <c r="C196" s="913">
        <v>18744000</v>
      </c>
      <c r="D196" s="913">
        <v>18286734</v>
      </c>
      <c r="E196" s="913">
        <v>457266</v>
      </c>
      <c r="F196" s="917">
        <v>0.9756046734955186</v>
      </c>
      <c r="G196" s="121"/>
    </row>
    <row r="197" spans="1:7" s="111" customFormat="1" x14ac:dyDescent="0.2">
      <c r="A197" s="916" t="s">
        <v>121</v>
      </c>
      <c r="B197" s="919"/>
      <c r="C197" s="913"/>
      <c r="D197" s="913"/>
      <c r="E197" s="913"/>
      <c r="F197" s="917"/>
      <c r="G197" s="121"/>
    </row>
    <row r="198" spans="1:7" s="111" customFormat="1" x14ac:dyDescent="0.2">
      <c r="A198" s="918" t="s">
        <v>15</v>
      </c>
      <c r="B198" s="919">
        <v>41774</v>
      </c>
      <c r="C198" s="913">
        <v>7740000</v>
      </c>
      <c r="D198" s="913">
        <v>7740000</v>
      </c>
      <c r="E198" s="913">
        <v>0</v>
      </c>
      <c r="F198" s="917">
        <v>1</v>
      </c>
      <c r="G198" s="121"/>
    </row>
    <row r="199" spans="1:7" s="111" customFormat="1" x14ac:dyDescent="0.2">
      <c r="A199" s="916" t="s">
        <v>123</v>
      </c>
      <c r="B199" s="919"/>
      <c r="C199" s="913"/>
      <c r="D199" s="913"/>
      <c r="E199" s="913"/>
      <c r="F199" s="917"/>
      <c r="G199" s="121"/>
    </row>
    <row r="200" spans="1:7" s="111" customFormat="1" x14ac:dyDescent="0.2">
      <c r="A200" s="918" t="s">
        <v>124</v>
      </c>
      <c r="B200" s="919">
        <v>41713</v>
      </c>
      <c r="C200" s="913">
        <v>50000000</v>
      </c>
      <c r="D200" s="913">
        <v>27500000</v>
      </c>
      <c r="E200" s="913">
        <v>22500000</v>
      </c>
      <c r="F200" s="917">
        <v>0.55000000000000004</v>
      </c>
      <c r="G200" s="121"/>
    </row>
    <row r="201" spans="1:7" s="111" customFormat="1" x14ac:dyDescent="0.2">
      <c r="A201" s="916" t="s">
        <v>125</v>
      </c>
      <c r="B201" s="919"/>
      <c r="C201" s="913"/>
      <c r="D201" s="913"/>
      <c r="E201" s="913"/>
      <c r="F201" s="917"/>
      <c r="G201" s="121"/>
    </row>
    <row r="202" spans="1:7" s="111" customFormat="1" x14ac:dyDescent="0.2">
      <c r="A202" s="918" t="s">
        <v>126</v>
      </c>
      <c r="B202" s="919">
        <v>41698</v>
      </c>
      <c r="C202" s="913">
        <v>9366000</v>
      </c>
      <c r="D202" s="913">
        <v>7783682</v>
      </c>
      <c r="E202" s="913">
        <v>1582318</v>
      </c>
      <c r="F202" s="917">
        <v>0.83105722827247486</v>
      </c>
      <c r="G202" s="121"/>
    </row>
    <row r="203" spans="1:7" s="111" customFormat="1" x14ac:dyDescent="0.2">
      <c r="A203" s="916" t="s">
        <v>129</v>
      </c>
      <c r="B203" s="919"/>
      <c r="C203" s="913"/>
      <c r="D203" s="913"/>
      <c r="E203" s="913"/>
      <c r="F203" s="917"/>
      <c r="G203" s="121"/>
    </row>
    <row r="204" spans="1:7" s="111" customFormat="1" x14ac:dyDescent="0.2">
      <c r="A204" s="918" t="s">
        <v>1019</v>
      </c>
      <c r="B204" s="919">
        <v>41806</v>
      </c>
      <c r="C204" s="913">
        <v>33120000</v>
      </c>
      <c r="D204" s="913">
        <v>32832950</v>
      </c>
      <c r="E204" s="913">
        <v>287050</v>
      </c>
      <c r="F204" s="917">
        <v>0.99133303140096618</v>
      </c>
      <c r="G204" s="121"/>
    </row>
    <row r="205" spans="1:7" s="111" customFormat="1" x14ac:dyDescent="0.2">
      <c r="A205" s="916" t="s">
        <v>89</v>
      </c>
      <c r="B205" s="919"/>
      <c r="C205" s="913"/>
      <c r="D205" s="913"/>
      <c r="E205" s="913"/>
      <c r="F205" s="917"/>
      <c r="G205" s="121"/>
    </row>
    <row r="206" spans="1:7" s="111" customFormat="1" x14ac:dyDescent="0.2">
      <c r="A206" s="918" t="s">
        <v>90</v>
      </c>
      <c r="B206" s="919">
        <v>41802</v>
      </c>
      <c r="C206" s="913">
        <v>1030000</v>
      </c>
      <c r="D206" s="913">
        <v>1030000</v>
      </c>
      <c r="E206" s="913">
        <v>0</v>
      </c>
      <c r="F206" s="917">
        <v>1</v>
      </c>
      <c r="G206" s="121"/>
    </row>
    <row r="207" spans="1:7" s="111" customFormat="1" x14ac:dyDescent="0.2">
      <c r="A207" s="916" t="s">
        <v>130</v>
      </c>
      <c r="B207" s="919"/>
      <c r="C207" s="913"/>
      <c r="D207" s="913"/>
      <c r="E207" s="913"/>
      <c r="F207" s="917"/>
      <c r="G207" s="121"/>
    </row>
    <row r="208" spans="1:7" s="111" customFormat="1" x14ac:dyDescent="0.2">
      <c r="A208" s="918" t="s">
        <v>1112</v>
      </c>
      <c r="B208" s="919">
        <v>41897</v>
      </c>
      <c r="C208" s="913">
        <v>1552431776</v>
      </c>
      <c r="D208" s="913">
        <v>1552431775</v>
      </c>
      <c r="E208" s="913">
        <v>1</v>
      </c>
      <c r="F208" s="917">
        <v>0.99999999935584927</v>
      </c>
      <c r="G208" s="121"/>
    </row>
    <row r="209" spans="1:7" s="111" customFormat="1" x14ac:dyDescent="0.2">
      <c r="A209" s="916" t="s">
        <v>132</v>
      </c>
      <c r="B209" s="919"/>
      <c r="C209" s="913"/>
      <c r="D209" s="913"/>
      <c r="E209" s="913"/>
      <c r="F209" s="917"/>
      <c r="G209" s="121"/>
    </row>
    <row r="210" spans="1:7" s="111" customFormat="1" x14ac:dyDescent="0.2">
      <c r="A210" s="918" t="s">
        <v>27</v>
      </c>
      <c r="B210" s="919">
        <v>41969</v>
      </c>
      <c r="C210" s="913">
        <v>849000</v>
      </c>
      <c r="D210" s="913">
        <v>849000</v>
      </c>
      <c r="E210" s="913">
        <v>0</v>
      </c>
      <c r="F210" s="917">
        <v>1</v>
      </c>
      <c r="G210" s="121"/>
    </row>
    <row r="211" spans="1:7" s="111" customFormat="1" x14ac:dyDescent="0.2">
      <c r="A211" s="916" t="s">
        <v>133</v>
      </c>
      <c r="B211" s="919"/>
      <c r="C211" s="913"/>
      <c r="D211" s="913"/>
      <c r="E211" s="913"/>
      <c r="F211" s="917"/>
      <c r="G211" s="121"/>
    </row>
    <row r="212" spans="1:7" s="111" customFormat="1" x14ac:dyDescent="0.2">
      <c r="A212" s="918" t="s">
        <v>134</v>
      </c>
      <c r="B212" s="919">
        <v>41823</v>
      </c>
      <c r="C212" s="913">
        <v>15000000</v>
      </c>
      <c r="D212" s="913">
        <v>5368620</v>
      </c>
      <c r="E212" s="913">
        <v>9631380</v>
      </c>
      <c r="F212" s="917">
        <v>0.357908</v>
      </c>
      <c r="G212" s="121"/>
    </row>
    <row r="213" spans="1:7" s="111" customFormat="1" x14ac:dyDescent="0.2">
      <c r="A213" s="916" t="s">
        <v>135</v>
      </c>
      <c r="B213" s="919"/>
      <c r="C213" s="913"/>
      <c r="D213" s="913"/>
      <c r="E213" s="913"/>
      <c r="F213" s="917"/>
      <c r="G213" s="121"/>
    </row>
    <row r="214" spans="1:7" s="111" customFormat="1" x14ac:dyDescent="0.2">
      <c r="A214" s="918" t="s">
        <v>38</v>
      </c>
      <c r="B214" s="919">
        <v>41820</v>
      </c>
      <c r="C214" s="913">
        <v>35904847</v>
      </c>
      <c r="D214" s="913">
        <v>35904845</v>
      </c>
      <c r="E214" s="913">
        <v>2</v>
      </c>
      <c r="F214" s="917">
        <v>0.99999994429721428</v>
      </c>
      <c r="G214" s="121"/>
    </row>
    <row r="215" spans="1:7" s="111" customFormat="1" x14ac:dyDescent="0.2">
      <c r="A215" s="916" t="s">
        <v>136</v>
      </c>
      <c r="B215" s="919"/>
      <c r="C215" s="913"/>
      <c r="D215" s="913"/>
      <c r="E215" s="913"/>
      <c r="F215" s="917"/>
      <c r="G215" s="121"/>
    </row>
    <row r="216" spans="1:7" s="111" customFormat="1" x14ac:dyDescent="0.2">
      <c r="A216" s="918" t="s">
        <v>137</v>
      </c>
      <c r="B216" s="919">
        <v>41660</v>
      </c>
      <c r="C216" s="913">
        <v>40000000</v>
      </c>
      <c r="D216" s="913">
        <v>16667000</v>
      </c>
      <c r="E216" s="913">
        <v>23333000</v>
      </c>
      <c r="F216" s="917">
        <v>0.41667500000000002</v>
      </c>
      <c r="G216" s="121"/>
    </row>
    <row r="217" spans="1:7" s="111" customFormat="1" x14ac:dyDescent="0.2">
      <c r="A217" s="916" t="s">
        <v>202</v>
      </c>
      <c r="B217" s="919"/>
      <c r="C217" s="913"/>
      <c r="D217" s="913"/>
      <c r="E217" s="913"/>
      <c r="F217" s="917"/>
      <c r="G217" s="121"/>
    </row>
    <row r="218" spans="1:7" s="111" customFormat="1" x14ac:dyDescent="0.2">
      <c r="A218" s="918" t="s">
        <v>203</v>
      </c>
      <c r="B218" s="919">
        <v>41578</v>
      </c>
      <c r="C218" s="913">
        <v>4524000</v>
      </c>
      <c r="D218" s="913">
        <v>4524000</v>
      </c>
      <c r="E218" s="913">
        <v>0</v>
      </c>
      <c r="F218" s="917">
        <v>1</v>
      </c>
      <c r="G218" s="121"/>
    </row>
    <row r="219" spans="1:7" s="111" customFormat="1" x14ac:dyDescent="0.2">
      <c r="A219" s="916" t="s">
        <v>138</v>
      </c>
      <c r="B219" s="919"/>
      <c r="C219" s="913"/>
      <c r="D219" s="913"/>
      <c r="E219" s="913"/>
      <c r="F219" s="917"/>
      <c r="G219" s="121"/>
    </row>
    <row r="220" spans="1:7" s="111" customFormat="1" x14ac:dyDescent="0.2">
      <c r="A220" s="918" t="s">
        <v>1034</v>
      </c>
      <c r="B220" s="919">
        <v>41665</v>
      </c>
      <c r="C220" s="913">
        <v>20800000</v>
      </c>
      <c r="D220" s="913">
        <v>20800000</v>
      </c>
      <c r="E220" s="913">
        <v>0</v>
      </c>
      <c r="F220" s="917">
        <v>1</v>
      </c>
      <c r="G220" s="121"/>
    </row>
    <row r="221" spans="1:7" s="111" customFormat="1" x14ac:dyDescent="0.2">
      <c r="A221" s="916" t="s">
        <v>139</v>
      </c>
      <c r="B221" s="919"/>
      <c r="C221" s="913"/>
      <c r="D221" s="913"/>
      <c r="E221" s="913"/>
      <c r="F221" s="917"/>
      <c r="G221" s="121"/>
    </row>
    <row r="222" spans="1:7" s="111" customFormat="1" x14ac:dyDescent="0.2">
      <c r="A222" s="918" t="s">
        <v>140</v>
      </c>
      <c r="B222" s="919">
        <v>41667</v>
      </c>
      <c r="C222" s="913">
        <v>28000000</v>
      </c>
      <c r="D222" s="913">
        <v>28000000</v>
      </c>
      <c r="E222" s="913">
        <v>0</v>
      </c>
      <c r="F222" s="917">
        <v>1</v>
      </c>
      <c r="G222" s="121"/>
    </row>
    <row r="223" spans="1:7" s="111" customFormat="1" x14ac:dyDescent="0.2">
      <c r="A223" s="916" t="s">
        <v>141</v>
      </c>
      <c r="B223" s="919"/>
      <c r="C223" s="913"/>
      <c r="D223" s="913"/>
      <c r="E223" s="913"/>
      <c r="F223" s="917"/>
      <c r="G223" s="121"/>
    </row>
    <row r="224" spans="1:7" s="111" customFormat="1" x14ac:dyDescent="0.2">
      <c r="A224" s="918" t="s">
        <v>142</v>
      </c>
      <c r="B224" s="919">
        <v>41501</v>
      </c>
      <c r="C224" s="913">
        <v>266580829</v>
      </c>
      <c r="D224" s="913">
        <v>266580829</v>
      </c>
      <c r="E224" s="913">
        <v>0</v>
      </c>
      <c r="F224" s="917">
        <v>1</v>
      </c>
      <c r="G224" s="121"/>
    </row>
    <row r="225" spans="1:7" s="111" customFormat="1" x14ac:dyDescent="0.2">
      <c r="A225" s="916" t="s">
        <v>143</v>
      </c>
      <c r="B225" s="919"/>
      <c r="C225" s="913"/>
      <c r="D225" s="913"/>
      <c r="E225" s="913"/>
      <c r="F225" s="917"/>
      <c r="G225" s="121"/>
    </row>
    <row r="226" spans="1:7" s="111" customFormat="1" x14ac:dyDescent="0.2">
      <c r="A226" s="918" t="s">
        <v>144</v>
      </c>
      <c r="B226" s="919">
        <v>41849</v>
      </c>
      <c r="C226" s="913">
        <v>348897514</v>
      </c>
      <c r="D226" s="913">
        <v>348897514</v>
      </c>
      <c r="E226" s="913">
        <v>0</v>
      </c>
      <c r="F226" s="917">
        <v>1</v>
      </c>
      <c r="G226" s="121"/>
    </row>
    <row r="227" spans="1:7" s="111" customFormat="1" x14ac:dyDescent="0.2">
      <c r="A227" s="916" t="s">
        <v>145</v>
      </c>
      <c r="B227" s="919"/>
      <c r="C227" s="913"/>
      <c r="D227" s="913"/>
      <c r="E227" s="913"/>
      <c r="F227" s="917"/>
      <c r="G227" s="121"/>
    </row>
    <row r="228" spans="1:7" s="111" customFormat="1" x14ac:dyDescent="0.2">
      <c r="A228" s="918" t="s">
        <v>43</v>
      </c>
      <c r="B228" s="919">
        <v>41736</v>
      </c>
      <c r="C228" s="913">
        <v>23246000</v>
      </c>
      <c r="D228" s="913">
        <v>19772977</v>
      </c>
      <c r="E228" s="913">
        <v>3473023</v>
      </c>
      <c r="F228" s="917">
        <v>0.85059696291835152</v>
      </c>
      <c r="G228" s="121"/>
    </row>
    <row r="229" spans="1:7" s="111" customFormat="1" x14ac:dyDescent="0.2">
      <c r="A229" s="916" t="s">
        <v>146</v>
      </c>
      <c r="B229" s="919"/>
      <c r="C229" s="913"/>
      <c r="D229" s="913"/>
      <c r="E229" s="913"/>
      <c r="F229" s="917"/>
      <c r="G229" s="121"/>
    </row>
    <row r="230" spans="1:7" s="111" customFormat="1" x14ac:dyDescent="0.2">
      <c r="A230" s="918" t="s">
        <v>1018</v>
      </c>
      <c r="B230" s="919">
        <v>41810</v>
      </c>
      <c r="C230" s="913">
        <v>321573359</v>
      </c>
      <c r="D230" s="913">
        <v>317232018</v>
      </c>
      <c r="E230" s="913">
        <v>4341341</v>
      </c>
      <c r="F230" s="917">
        <v>0.98649968699677015</v>
      </c>
      <c r="G230" s="121"/>
    </row>
    <row r="231" spans="1:7" x14ac:dyDescent="0.2">
      <c r="A231" s="916" t="s">
        <v>147</v>
      </c>
      <c r="B231" s="919"/>
      <c r="C231" s="913"/>
      <c r="D231" s="913"/>
      <c r="E231" s="913"/>
      <c r="F231" s="917"/>
    </row>
    <row r="232" spans="1:7" x14ac:dyDescent="0.2">
      <c r="A232" s="918" t="s">
        <v>148</v>
      </c>
      <c r="B232" s="919">
        <v>41851</v>
      </c>
      <c r="C232" s="913">
        <v>22292691</v>
      </c>
      <c r="D232" s="913">
        <v>22292692</v>
      </c>
      <c r="E232" s="913">
        <v>-1</v>
      </c>
      <c r="F232" s="917">
        <v>1.0000000448577517</v>
      </c>
    </row>
    <row r="233" spans="1:7" x14ac:dyDescent="0.2">
      <c r="A233" s="916" t="s">
        <v>155</v>
      </c>
      <c r="B233" s="919"/>
      <c r="C233" s="913"/>
      <c r="D233" s="913"/>
      <c r="E233" s="913"/>
      <c r="F233" s="917"/>
    </row>
    <row r="234" spans="1:7" x14ac:dyDescent="0.2">
      <c r="A234" s="918" t="s">
        <v>1035</v>
      </c>
      <c r="B234" s="919">
        <v>41671</v>
      </c>
      <c r="C234" s="913">
        <v>23989000</v>
      </c>
      <c r="D234" s="913">
        <v>23989000</v>
      </c>
      <c r="E234" s="913">
        <v>0</v>
      </c>
      <c r="F234" s="917">
        <v>1</v>
      </c>
    </row>
    <row r="235" spans="1:7" x14ac:dyDescent="0.2">
      <c r="A235" s="916" t="s">
        <v>156</v>
      </c>
      <c r="B235" s="919"/>
      <c r="C235" s="913"/>
      <c r="D235" s="913"/>
      <c r="E235" s="913"/>
      <c r="F235" s="917"/>
    </row>
    <row r="236" spans="1:7" x14ac:dyDescent="0.2">
      <c r="A236" s="918" t="s">
        <v>53</v>
      </c>
      <c r="B236" s="919">
        <v>41712</v>
      </c>
      <c r="C236" s="913">
        <v>19576000</v>
      </c>
      <c r="D236" s="913">
        <v>19571370</v>
      </c>
      <c r="E236" s="913">
        <v>4630</v>
      </c>
      <c r="F236" s="917">
        <v>0.99976348590110342</v>
      </c>
    </row>
    <row r="237" spans="1:7" x14ac:dyDescent="0.2">
      <c r="A237" s="916" t="s">
        <v>157</v>
      </c>
      <c r="B237" s="919"/>
      <c r="C237" s="913"/>
      <c r="D237" s="913"/>
      <c r="E237" s="913"/>
      <c r="F237" s="917"/>
    </row>
    <row r="238" spans="1:7" x14ac:dyDescent="0.2">
      <c r="A238" s="918" t="s">
        <v>158</v>
      </c>
      <c r="B238" s="919">
        <v>41562</v>
      </c>
      <c r="C238" s="913">
        <v>6499930</v>
      </c>
      <c r="D238" s="913">
        <v>6499930</v>
      </c>
      <c r="E238" s="913">
        <v>0</v>
      </c>
      <c r="F238" s="917">
        <v>1</v>
      </c>
    </row>
    <row r="239" spans="1:7" x14ac:dyDescent="0.2">
      <c r="A239" s="916" t="s">
        <v>159</v>
      </c>
      <c r="B239" s="919"/>
      <c r="C239" s="913"/>
      <c r="D239" s="913"/>
      <c r="E239" s="913"/>
      <c r="F239" s="917"/>
    </row>
    <row r="240" spans="1:7" x14ac:dyDescent="0.2">
      <c r="A240" s="918" t="s">
        <v>160</v>
      </c>
      <c r="B240" s="919">
        <v>41533</v>
      </c>
      <c r="C240" s="913">
        <v>2367000</v>
      </c>
      <c r="D240" s="913">
        <v>2367000</v>
      </c>
      <c r="E240" s="913">
        <v>0</v>
      </c>
      <c r="F240" s="917">
        <v>1</v>
      </c>
    </row>
    <row r="241" spans="1:6" x14ac:dyDescent="0.2">
      <c r="A241" s="916" t="s">
        <v>164</v>
      </c>
      <c r="B241" s="919"/>
      <c r="C241" s="913"/>
      <c r="D241" s="913"/>
      <c r="E241" s="913"/>
      <c r="F241" s="917"/>
    </row>
    <row r="242" spans="1:6" x14ac:dyDescent="0.2">
      <c r="A242" s="918" t="s">
        <v>165</v>
      </c>
      <c r="B242" s="919">
        <v>41820</v>
      </c>
      <c r="C242" s="913">
        <v>269441460</v>
      </c>
      <c r="D242" s="913">
        <v>265223666</v>
      </c>
      <c r="E242" s="913">
        <v>4217794</v>
      </c>
      <c r="F242" s="917">
        <v>0.98434615815992088</v>
      </c>
    </row>
    <row r="243" spans="1:6" x14ac:dyDescent="0.2">
      <c r="A243" s="916" t="s">
        <v>190</v>
      </c>
      <c r="B243" s="919"/>
      <c r="C243" s="913"/>
      <c r="D243" s="913"/>
      <c r="E243" s="913"/>
      <c r="F243" s="917"/>
    </row>
    <row r="244" spans="1:6" x14ac:dyDescent="0.2">
      <c r="A244" s="918" t="s">
        <v>29</v>
      </c>
      <c r="B244" s="919">
        <v>41895</v>
      </c>
      <c r="C244" s="913">
        <v>840000</v>
      </c>
      <c r="D244" s="913">
        <v>840000</v>
      </c>
      <c r="E244" s="913">
        <v>0</v>
      </c>
      <c r="F244" s="917">
        <v>1</v>
      </c>
    </row>
    <row r="245" spans="1:6" x14ac:dyDescent="0.2">
      <c r="A245" s="916" t="s">
        <v>166</v>
      </c>
      <c r="B245" s="919"/>
      <c r="C245" s="913"/>
      <c r="D245" s="913"/>
      <c r="E245" s="913"/>
      <c r="F245" s="917"/>
    </row>
    <row r="246" spans="1:6" x14ac:dyDescent="0.2">
      <c r="A246" s="918" t="s">
        <v>1025</v>
      </c>
      <c r="B246" s="919">
        <v>41714</v>
      </c>
      <c r="C246" s="913">
        <v>38271000</v>
      </c>
      <c r="D246" s="913">
        <v>38271000</v>
      </c>
      <c r="E246" s="913">
        <v>0</v>
      </c>
      <c r="F246" s="917">
        <v>1</v>
      </c>
    </row>
    <row r="247" spans="1:6" x14ac:dyDescent="0.2">
      <c r="A247" s="916" t="s">
        <v>175</v>
      </c>
      <c r="B247" s="919"/>
      <c r="C247" s="913"/>
      <c r="D247" s="913"/>
      <c r="E247" s="913"/>
      <c r="F247" s="917"/>
    </row>
    <row r="248" spans="1:6" x14ac:dyDescent="0.2">
      <c r="A248" s="918" t="s">
        <v>176</v>
      </c>
      <c r="B248" s="919">
        <v>42082</v>
      </c>
      <c r="C248" s="913">
        <v>4001000</v>
      </c>
      <c r="D248" s="913">
        <v>4001000</v>
      </c>
      <c r="E248" s="913">
        <v>0</v>
      </c>
      <c r="F248" s="917">
        <v>1</v>
      </c>
    </row>
    <row r="249" spans="1:6" x14ac:dyDescent="0.2">
      <c r="A249" s="916" t="s">
        <v>197</v>
      </c>
      <c r="B249" s="919"/>
      <c r="C249" s="913"/>
      <c r="D249" s="913"/>
      <c r="E249" s="913"/>
      <c r="F249" s="917"/>
    </row>
    <row r="250" spans="1:6" x14ac:dyDescent="0.2">
      <c r="A250" s="918" t="s">
        <v>198</v>
      </c>
      <c r="B250" s="919">
        <v>41790</v>
      </c>
      <c r="C250" s="913">
        <v>10222000</v>
      </c>
      <c r="D250" s="913">
        <v>10208006</v>
      </c>
      <c r="E250" s="913">
        <v>13994</v>
      </c>
      <c r="F250" s="917">
        <v>0.99863099197808647</v>
      </c>
    </row>
    <row r="251" spans="1:6" x14ac:dyDescent="0.2">
      <c r="A251" s="916" t="s">
        <v>167</v>
      </c>
      <c r="B251" s="919"/>
      <c r="C251" s="913"/>
      <c r="D251" s="913"/>
      <c r="E251" s="913"/>
      <c r="F251" s="917"/>
    </row>
    <row r="252" spans="1:6" x14ac:dyDescent="0.2">
      <c r="A252" s="918" t="s">
        <v>1516</v>
      </c>
      <c r="B252" s="919">
        <v>41691</v>
      </c>
      <c r="C252" s="913">
        <v>23989000</v>
      </c>
      <c r="D252" s="913">
        <v>23989000</v>
      </c>
      <c r="E252" s="913">
        <v>0</v>
      </c>
      <c r="F252" s="917">
        <v>1</v>
      </c>
    </row>
    <row r="253" spans="1:6" x14ac:dyDescent="0.2">
      <c r="A253" s="916" t="s">
        <v>178</v>
      </c>
      <c r="B253" s="919"/>
      <c r="C253" s="913"/>
      <c r="D253" s="913"/>
      <c r="E253" s="913"/>
      <c r="F253" s="917"/>
    </row>
    <row r="254" spans="1:6" x14ac:dyDescent="0.2">
      <c r="A254" s="918" t="s">
        <v>33</v>
      </c>
      <c r="B254" s="919">
        <v>41911</v>
      </c>
      <c r="C254" s="913">
        <v>795000</v>
      </c>
      <c r="D254" s="913">
        <v>795000</v>
      </c>
      <c r="E254" s="913">
        <v>0</v>
      </c>
      <c r="F254" s="917">
        <v>1</v>
      </c>
    </row>
    <row r="255" spans="1:6" x14ac:dyDescent="0.2">
      <c r="A255" s="916" t="s">
        <v>189</v>
      </c>
      <c r="B255" s="919"/>
      <c r="C255" s="913"/>
      <c r="D255" s="913"/>
      <c r="E255" s="913"/>
      <c r="F255" s="917"/>
    </row>
    <row r="256" spans="1:6" x14ac:dyDescent="0.2">
      <c r="A256" s="918" t="s">
        <v>13</v>
      </c>
      <c r="B256" s="919">
        <v>41892</v>
      </c>
      <c r="C256" s="913">
        <v>936000</v>
      </c>
      <c r="D256" s="913">
        <v>936000</v>
      </c>
      <c r="E256" s="913">
        <v>0</v>
      </c>
      <c r="F256" s="917">
        <v>1</v>
      </c>
    </row>
    <row r="257" spans="1:6" x14ac:dyDescent="0.2">
      <c r="A257" s="916" t="s">
        <v>168</v>
      </c>
      <c r="B257" s="919"/>
      <c r="C257" s="913"/>
      <c r="D257" s="913"/>
      <c r="E257" s="913"/>
      <c r="F257" s="917"/>
    </row>
    <row r="258" spans="1:6" x14ac:dyDescent="0.2">
      <c r="A258" s="918" t="s">
        <v>169</v>
      </c>
      <c r="B258" s="919">
        <v>41858</v>
      </c>
      <c r="C258" s="913">
        <v>3847300</v>
      </c>
      <c r="D258" s="913">
        <v>3847300</v>
      </c>
      <c r="E258" s="913">
        <v>0</v>
      </c>
      <c r="F258" s="917">
        <v>1</v>
      </c>
    </row>
    <row r="259" spans="1:6" x14ac:dyDescent="0.2">
      <c r="A259" s="916" t="s">
        <v>172</v>
      </c>
      <c r="B259" s="919"/>
      <c r="C259" s="913"/>
      <c r="D259" s="913"/>
      <c r="E259" s="913"/>
      <c r="F259" s="917"/>
    </row>
    <row r="260" spans="1:6" x14ac:dyDescent="0.2">
      <c r="A260" s="918" t="s">
        <v>152</v>
      </c>
      <c r="B260" s="919">
        <v>41864</v>
      </c>
      <c r="C260" s="913">
        <v>60693200</v>
      </c>
      <c r="D260" s="913">
        <v>59391828</v>
      </c>
      <c r="E260" s="913">
        <v>1301372</v>
      </c>
      <c r="F260" s="917">
        <v>0.97855819103293284</v>
      </c>
    </row>
    <row r="261" spans="1:6" x14ac:dyDescent="0.2">
      <c r="A261" s="916" t="s">
        <v>173</v>
      </c>
      <c r="B261" s="919"/>
      <c r="C261" s="913"/>
      <c r="D261" s="913"/>
      <c r="E261" s="913"/>
      <c r="F261" s="917"/>
    </row>
    <row r="262" spans="1:6" x14ac:dyDescent="0.2">
      <c r="A262" s="918" t="s">
        <v>174</v>
      </c>
      <c r="B262" s="919">
        <v>41876</v>
      </c>
      <c r="C262" s="913">
        <v>4393120</v>
      </c>
      <c r="D262" s="913">
        <v>2578000</v>
      </c>
      <c r="E262" s="913">
        <v>1815120</v>
      </c>
      <c r="F262" s="917">
        <v>0.58682667443639147</v>
      </c>
    </row>
    <row r="263" spans="1:6" x14ac:dyDescent="0.2">
      <c r="A263" s="916" t="s">
        <v>187</v>
      </c>
      <c r="B263" s="919"/>
      <c r="C263" s="913"/>
      <c r="D263" s="913"/>
      <c r="E263" s="913"/>
      <c r="F263" s="917"/>
    </row>
    <row r="264" spans="1:6" x14ac:dyDescent="0.2">
      <c r="A264" s="918" t="s">
        <v>188</v>
      </c>
      <c r="B264" s="919">
        <v>42099</v>
      </c>
      <c r="C264" s="913">
        <v>25204000</v>
      </c>
      <c r="D264" s="913">
        <v>25201450</v>
      </c>
      <c r="E264" s="913">
        <v>2550</v>
      </c>
      <c r="F264" s="917">
        <v>0.99989882558324072</v>
      </c>
    </row>
    <row r="265" spans="1:6" x14ac:dyDescent="0.2">
      <c r="A265" s="916" t="s">
        <v>183</v>
      </c>
      <c r="B265" s="919"/>
      <c r="C265" s="913"/>
      <c r="D265" s="913"/>
      <c r="E265" s="913"/>
      <c r="F265" s="917"/>
    </row>
    <row r="266" spans="1:6" x14ac:dyDescent="0.2">
      <c r="A266" s="918" t="s">
        <v>184</v>
      </c>
      <c r="B266" s="919">
        <v>42055</v>
      </c>
      <c r="C266" s="913">
        <v>130384697</v>
      </c>
      <c r="D266" s="913">
        <v>96359635</v>
      </c>
      <c r="E266" s="913">
        <v>34025062</v>
      </c>
      <c r="F266" s="917">
        <v>0.7390409857684449</v>
      </c>
    </row>
    <row r="267" spans="1:6" x14ac:dyDescent="0.2">
      <c r="A267" s="916" t="s">
        <v>185</v>
      </c>
      <c r="B267" s="919"/>
      <c r="C267" s="913"/>
      <c r="D267" s="913"/>
      <c r="E267" s="913"/>
      <c r="F267" s="917"/>
    </row>
    <row r="268" spans="1:6" x14ac:dyDescent="0.2">
      <c r="A268" s="918" t="s">
        <v>186</v>
      </c>
      <c r="B268" s="919">
        <v>41897</v>
      </c>
      <c r="C268" s="913">
        <v>45056000</v>
      </c>
      <c r="D268" s="913">
        <v>25056000</v>
      </c>
      <c r="E268" s="913">
        <v>20000000</v>
      </c>
      <c r="F268" s="917">
        <v>0.55610795454545459</v>
      </c>
    </row>
    <row r="269" spans="1:6" x14ac:dyDescent="0.2">
      <c r="A269" s="916" t="s">
        <v>195</v>
      </c>
      <c r="B269" s="919"/>
      <c r="C269" s="913"/>
      <c r="D269" s="913"/>
      <c r="E269" s="913"/>
      <c r="F269" s="917"/>
    </row>
    <row r="270" spans="1:6" x14ac:dyDescent="0.2">
      <c r="A270" s="918" t="s">
        <v>1037</v>
      </c>
      <c r="B270" s="919">
        <v>41782</v>
      </c>
      <c r="C270" s="913">
        <v>114225288</v>
      </c>
      <c r="D270" s="913">
        <v>114217068</v>
      </c>
      <c r="E270" s="913">
        <v>8220</v>
      </c>
      <c r="F270" s="917">
        <v>0.99992803695097709</v>
      </c>
    </row>
    <row r="271" spans="1:6" x14ac:dyDescent="0.2">
      <c r="A271" s="916" t="s">
        <v>191</v>
      </c>
      <c r="B271" s="919"/>
      <c r="C271" s="913"/>
      <c r="D271" s="913"/>
      <c r="E271" s="913"/>
      <c r="F271" s="917"/>
    </row>
    <row r="272" spans="1:6" x14ac:dyDescent="0.2">
      <c r="A272" s="918" t="s">
        <v>192</v>
      </c>
      <c r="B272" s="919">
        <v>41615</v>
      </c>
      <c r="C272" s="913">
        <v>4715000</v>
      </c>
      <c r="D272" s="913">
        <v>4715000</v>
      </c>
      <c r="E272" s="913">
        <v>0</v>
      </c>
      <c r="F272" s="917">
        <v>1</v>
      </c>
    </row>
    <row r="273" spans="1:6" x14ac:dyDescent="0.2">
      <c r="A273" s="916" t="s">
        <v>199</v>
      </c>
      <c r="B273" s="919"/>
      <c r="C273" s="913"/>
      <c r="D273" s="913"/>
      <c r="E273" s="913"/>
      <c r="F273" s="917"/>
    </row>
    <row r="274" spans="1:6" x14ac:dyDescent="0.2">
      <c r="A274" s="918" t="s">
        <v>1038</v>
      </c>
      <c r="B274" s="919">
        <v>41890</v>
      </c>
      <c r="C274" s="913">
        <v>457000000</v>
      </c>
      <c r="D274" s="913">
        <v>416287285</v>
      </c>
      <c r="E274" s="913">
        <v>40712715</v>
      </c>
      <c r="F274" s="917">
        <v>0.91091309628008754</v>
      </c>
    </row>
    <row r="275" spans="1:6" x14ac:dyDescent="0.2">
      <c r="A275" s="916" t="s">
        <v>177</v>
      </c>
      <c r="B275" s="919"/>
      <c r="C275" s="913"/>
      <c r="D275" s="913"/>
      <c r="E275" s="913"/>
      <c r="F275" s="917"/>
    </row>
    <row r="276" spans="1:6" x14ac:dyDescent="0.2">
      <c r="A276" s="918" t="s">
        <v>1039</v>
      </c>
      <c r="B276" s="919">
        <v>41645</v>
      </c>
      <c r="C276" s="913">
        <v>3356320</v>
      </c>
      <c r="D276" s="913">
        <v>3356320</v>
      </c>
      <c r="E276" s="913">
        <v>0</v>
      </c>
      <c r="F276" s="917">
        <v>1</v>
      </c>
    </row>
    <row r="277" spans="1:6" x14ac:dyDescent="0.2">
      <c r="A277" s="916" t="s">
        <v>193</v>
      </c>
      <c r="B277" s="919"/>
      <c r="C277" s="913"/>
      <c r="D277" s="913"/>
      <c r="E277" s="913"/>
      <c r="F277" s="917"/>
    </row>
    <row r="278" spans="1:6" x14ac:dyDescent="0.2">
      <c r="A278" s="918" t="s">
        <v>194</v>
      </c>
      <c r="B278" s="919">
        <v>41935</v>
      </c>
      <c r="C278" s="913">
        <v>19965572</v>
      </c>
      <c r="D278" s="913">
        <v>19965572</v>
      </c>
      <c r="E278" s="913">
        <v>0</v>
      </c>
      <c r="F278" s="917">
        <v>1</v>
      </c>
    </row>
    <row r="279" spans="1:6" x14ac:dyDescent="0.2">
      <c r="A279" s="916" t="s">
        <v>196</v>
      </c>
      <c r="B279" s="919"/>
      <c r="C279" s="913"/>
      <c r="D279" s="913"/>
      <c r="E279" s="913"/>
      <c r="F279" s="917"/>
    </row>
    <row r="280" spans="1:6" x14ac:dyDescent="0.2">
      <c r="A280" s="918" t="s">
        <v>22</v>
      </c>
      <c r="B280" s="919">
        <v>41926</v>
      </c>
      <c r="C280" s="913">
        <v>38280000</v>
      </c>
      <c r="D280" s="913">
        <v>38280000</v>
      </c>
      <c r="E280" s="913">
        <v>0</v>
      </c>
      <c r="F280" s="917">
        <v>1</v>
      </c>
    </row>
    <row r="281" spans="1:6" x14ac:dyDescent="0.2">
      <c r="A281" s="916" t="s">
        <v>200</v>
      </c>
      <c r="B281" s="919"/>
      <c r="C281" s="913"/>
      <c r="D281" s="913"/>
      <c r="E281" s="913"/>
      <c r="F281" s="917"/>
    </row>
    <row r="282" spans="1:6" x14ac:dyDescent="0.2">
      <c r="A282" s="918" t="s">
        <v>201</v>
      </c>
      <c r="B282" s="919">
        <v>41592</v>
      </c>
      <c r="C282" s="913">
        <v>26073552</v>
      </c>
      <c r="D282" s="913">
        <v>26073552</v>
      </c>
      <c r="E282" s="913">
        <v>0</v>
      </c>
      <c r="F282" s="917">
        <v>1</v>
      </c>
    </row>
    <row r="283" spans="1:6" x14ac:dyDescent="0.2">
      <c r="A283" s="916" t="s">
        <v>204</v>
      </c>
      <c r="B283" s="919"/>
      <c r="C283" s="913"/>
      <c r="D283" s="913"/>
      <c r="E283" s="913"/>
      <c r="F283" s="917"/>
    </row>
    <row r="284" spans="1:6" x14ac:dyDescent="0.2">
      <c r="A284" s="918" t="s">
        <v>205</v>
      </c>
      <c r="B284" s="919">
        <v>41692</v>
      </c>
      <c r="C284" s="913">
        <v>17262940</v>
      </c>
      <c r="D284" s="913">
        <v>17262940</v>
      </c>
      <c r="E284" s="913">
        <v>0</v>
      </c>
      <c r="F284" s="917">
        <v>1</v>
      </c>
    </row>
    <row r="285" spans="1:6" x14ac:dyDescent="0.2">
      <c r="A285" s="916" t="s">
        <v>206</v>
      </c>
      <c r="B285" s="919"/>
      <c r="C285" s="913"/>
      <c r="D285" s="913"/>
      <c r="E285" s="913"/>
      <c r="F285" s="917"/>
    </row>
    <row r="286" spans="1:6" x14ac:dyDescent="0.2">
      <c r="A286" s="918" t="s">
        <v>1020</v>
      </c>
      <c r="B286" s="919">
        <v>41939</v>
      </c>
      <c r="C286" s="913">
        <v>810000</v>
      </c>
      <c r="D286" s="913">
        <v>810000</v>
      </c>
      <c r="E286" s="913">
        <v>0</v>
      </c>
      <c r="F286" s="917">
        <v>1</v>
      </c>
    </row>
    <row r="287" spans="1:6" x14ac:dyDescent="0.2">
      <c r="A287" s="916" t="s">
        <v>211</v>
      </c>
      <c r="B287" s="919"/>
      <c r="C287" s="913"/>
      <c r="D287" s="913"/>
      <c r="E287" s="913"/>
      <c r="F287" s="917"/>
    </row>
    <row r="288" spans="1:6" x14ac:dyDescent="0.2">
      <c r="A288" s="918" t="s">
        <v>212</v>
      </c>
      <c r="B288" s="919">
        <v>41650</v>
      </c>
      <c r="C288" s="913">
        <v>5545000</v>
      </c>
      <c r="D288" s="913">
        <v>5545000</v>
      </c>
      <c r="E288" s="913">
        <v>0</v>
      </c>
      <c r="F288" s="917">
        <v>1</v>
      </c>
    </row>
    <row r="289" spans="1:6" x14ac:dyDescent="0.2">
      <c r="A289" s="916" t="s">
        <v>209</v>
      </c>
      <c r="B289" s="919"/>
      <c r="C289" s="913"/>
      <c r="D289" s="913"/>
      <c r="E289" s="913"/>
      <c r="F289" s="917"/>
    </row>
    <row r="290" spans="1:6" x14ac:dyDescent="0.2">
      <c r="A290" s="918" t="s">
        <v>210</v>
      </c>
      <c r="B290" s="919">
        <v>41650</v>
      </c>
      <c r="C290" s="913">
        <v>19360400</v>
      </c>
      <c r="D290" s="913">
        <v>19360400</v>
      </c>
      <c r="E290" s="913">
        <v>0</v>
      </c>
      <c r="F290" s="917">
        <v>1</v>
      </c>
    </row>
    <row r="291" spans="1:6" x14ac:dyDescent="0.2">
      <c r="A291" s="916" t="s">
        <v>207</v>
      </c>
      <c r="B291" s="919"/>
      <c r="C291" s="913"/>
      <c r="D291" s="913"/>
      <c r="E291" s="913"/>
      <c r="F291" s="917"/>
    </row>
    <row r="292" spans="1:6" x14ac:dyDescent="0.2">
      <c r="A292" s="918" t="s">
        <v>208</v>
      </c>
      <c r="B292" s="919">
        <v>41814</v>
      </c>
      <c r="C292" s="913">
        <v>502280800</v>
      </c>
      <c r="D292" s="913">
        <v>502247588</v>
      </c>
      <c r="E292" s="913">
        <v>33212</v>
      </c>
      <c r="F292" s="917">
        <v>0.99993387762383112</v>
      </c>
    </row>
    <row r="293" spans="1:6" x14ac:dyDescent="0.2">
      <c r="A293" s="916" t="s">
        <v>213</v>
      </c>
      <c r="B293" s="919"/>
      <c r="C293" s="913"/>
      <c r="D293" s="913"/>
      <c r="E293" s="913"/>
      <c r="F293" s="917"/>
    </row>
    <row r="294" spans="1:6" x14ac:dyDescent="0.2">
      <c r="A294" s="918" t="s">
        <v>1040</v>
      </c>
      <c r="B294" s="919">
        <v>41975</v>
      </c>
      <c r="C294" s="913">
        <v>692839272</v>
      </c>
      <c r="D294" s="913">
        <v>678164443</v>
      </c>
      <c r="E294" s="913">
        <v>14674829</v>
      </c>
      <c r="F294" s="917">
        <v>0.97881928811910646</v>
      </c>
    </row>
    <row r="295" spans="1:6" x14ac:dyDescent="0.2">
      <c r="A295" s="916" t="s">
        <v>258</v>
      </c>
      <c r="B295" s="919"/>
      <c r="C295" s="913"/>
      <c r="D295" s="913"/>
      <c r="E295" s="913"/>
      <c r="F295" s="917"/>
    </row>
    <row r="296" spans="1:6" x14ac:dyDescent="0.2">
      <c r="A296" s="918" t="s">
        <v>259</v>
      </c>
      <c r="B296" s="919">
        <v>42425</v>
      </c>
      <c r="C296" s="913">
        <v>0</v>
      </c>
      <c r="D296" s="913">
        <v>0</v>
      </c>
      <c r="E296" s="913">
        <v>0</v>
      </c>
      <c r="F296" s="917" t="e">
        <v>#DIV/0!</v>
      </c>
    </row>
    <row r="297" spans="1:6" x14ac:dyDescent="0.2">
      <c r="A297" s="916" t="s">
        <v>309</v>
      </c>
      <c r="B297" s="919"/>
      <c r="C297" s="913"/>
      <c r="D297" s="913"/>
      <c r="E297" s="913"/>
      <c r="F297" s="917"/>
    </row>
    <row r="298" spans="1:6" x14ac:dyDescent="0.2">
      <c r="A298" s="918" t="s">
        <v>77</v>
      </c>
      <c r="B298" s="919">
        <v>42321</v>
      </c>
      <c r="C298" s="913">
        <v>398614000</v>
      </c>
      <c r="D298" s="913">
        <v>398614000</v>
      </c>
      <c r="E298" s="913">
        <v>0</v>
      </c>
      <c r="F298" s="917">
        <v>1</v>
      </c>
    </row>
    <row r="299" spans="1:6" x14ac:dyDescent="0.2">
      <c r="A299" s="916" t="s">
        <v>234</v>
      </c>
      <c r="B299" s="919"/>
      <c r="C299" s="913"/>
      <c r="D299" s="913"/>
      <c r="E299" s="913"/>
      <c r="F299" s="917"/>
    </row>
    <row r="300" spans="1:6" x14ac:dyDescent="0.2">
      <c r="A300" s="918" t="s">
        <v>235</v>
      </c>
      <c r="B300" s="919">
        <v>41748</v>
      </c>
      <c r="C300" s="913">
        <v>430036764</v>
      </c>
      <c r="D300" s="913">
        <v>430036600</v>
      </c>
      <c r="E300" s="913">
        <v>164</v>
      </c>
      <c r="F300" s="917">
        <v>0.99999961863725684</v>
      </c>
    </row>
    <row r="301" spans="1:6" x14ac:dyDescent="0.2">
      <c r="A301" s="916" t="s">
        <v>214</v>
      </c>
      <c r="B301" s="919"/>
      <c r="C301" s="913"/>
      <c r="D301" s="913"/>
      <c r="E301" s="913"/>
      <c r="F301" s="917"/>
    </row>
    <row r="302" spans="1:6" x14ac:dyDescent="0.2">
      <c r="A302" s="918" t="s">
        <v>31</v>
      </c>
      <c r="B302" s="919">
        <v>41681</v>
      </c>
      <c r="C302" s="913">
        <v>6000000</v>
      </c>
      <c r="D302" s="913">
        <v>6000000</v>
      </c>
      <c r="E302" s="913">
        <v>0</v>
      </c>
      <c r="F302" s="917">
        <v>1</v>
      </c>
    </row>
    <row r="303" spans="1:6" x14ac:dyDescent="0.2">
      <c r="A303" s="916" t="s">
        <v>232</v>
      </c>
      <c r="B303" s="919"/>
      <c r="C303" s="913"/>
      <c r="D303" s="913"/>
      <c r="E303" s="913"/>
      <c r="F303" s="917"/>
    </row>
    <row r="304" spans="1:6" x14ac:dyDescent="0.2">
      <c r="A304" s="918" t="s">
        <v>233</v>
      </c>
      <c r="B304" s="919">
        <v>42005</v>
      </c>
      <c r="C304" s="913">
        <v>7937504</v>
      </c>
      <c r="D304" s="913">
        <v>5992064</v>
      </c>
      <c r="E304" s="913">
        <v>1945440</v>
      </c>
      <c r="F304" s="917">
        <v>0.75490532036267322</v>
      </c>
    </row>
    <row r="305" spans="1:6" x14ac:dyDescent="0.2">
      <c r="A305" s="916" t="s">
        <v>215</v>
      </c>
      <c r="B305" s="919"/>
      <c r="C305" s="913"/>
      <c r="D305" s="913"/>
      <c r="E305" s="913"/>
      <c r="F305" s="917"/>
    </row>
    <row r="306" spans="1:6" x14ac:dyDescent="0.2">
      <c r="A306" s="918" t="s">
        <v>1599</v>
      </c>
      <c r="B306" s="919">
        <v>41658</v>
      </c>
      <c r="C306" s="913">
        <v>15000000</v>
      </c>
      <c r="D306" s="913">
        <v>15000000</v>
      </c>
      <c r="E306" s="913">
        <v>0</v>
      </c>
      <c r="F306" s="917">
        <v>1</v>
      </c>
    </row>
    <row r="307" spans="1:6" x14ac:dyDescent="0.2">
      <c r="A307" s="916" t="s">
        <v>216</v>
      </c>
      <c r="B307" s="919"/>
      <c r="C307" s="913"/>
      <c r="D307" s="913"/>
      <c r="E307" s="913"/>
      <c r="F307" s="917"/>
    </row>
    <row r="308" spans="1:6" x14ac:dyDescent="0.2">
      <c r="A308" s="918" t="s">
        <v>217</v>
      </c>
      <c r="B308" s="919">
        <v>41985</v>
      </c>
      <c r="C308" s="913">
        <v>452974000</v>
      </c>
      <c r="D308" s="913">
        <v>355062557</v>
      </c>
      <c r="E308" s="913">
        <v>97911443</v>
      </c>
      <c r="F308" s="917">
        <v>0.7838475431260955</v>
      </c>
    </row>
    <row r="309" spans="1:6" x14ac:dyDescent="0.2">
      <c r="A309" s="916" t="s">
        <v>218</v>
      </c>
      <c r="B309" s="919"/>
      <c r="C309" s="913"/>
      <c r="D309" s="913"/>
      <c r="E309" s="913"/>
      <c r="F309" s="917"/>
    </row>
    <row r="310" spans="1:6" x14ac:dyDescent="0.2">
      <c r="A310" s="918" t="s">
        <v>219</v>
      </c>
      <c r="B310" s="919">
        <v>41980</v>
      </c>
      <c r="C310" s="913">
        <v>95000000</v>
      </c>
      <c r="D310" s="913">
        <v>88983693</v>
      </c>
      <c r="E310" s="913">
        <v>6016307</v>
      </c>
      <c r="F310" s="917">
        <v>0.936670452631579</v>
      </c>
    </row>
    <row r="311" spans="1:6" x14ac:dyDescent="0.2">
      <c r="A311" s="916" t="s">
        <v>220</v>
      </c>
      <c r="B311" s="919"/>
      <c r="C311" s="913"/>
      <c r="D311" s="913"/>
      <c r="E311" s="913"/>
      <c r="F311" s="917"/>
    </row>
    <row r="312" spans="1:6" x14ac:dyDescent="0.2">
      <c r="A312" s="918" t="s">
        <v>1150</v>
      </c>
      <c r="B312" s="919">
        <v>41641</v>
      </c>
      <c r="C312" s="913">
        <v>63128000</v>
      </c>
      <c r="D312" s="913">
        <v>63128000</v>
      </c>
      <c r="E312" s="913">
        <v>0</v>
      </c>
      <c r="F312" s="917">
        <v>1</v>
      </c>
    </row>
    <row r="313" spans="1:6" x14ac:dyDescent="0.2">
      <c r="A313" s="916" t="s">
        <v>227</v>
      </c>
      <c r="B313" s="919"/>
      <c r="C313" s="913"/>
      <c r="D313" s="913"/>
      <c r="E313" s="913"/>
      <c r="F313" s="917"/>
    </row>
    <row r="314" spans="1:6" x14ac:dyDescent="0.2">
      <c r="A314" s="918" t="s">
        <v>228</v>
      </c>
      <c r="B314" s="919">
        <v>41658</v>
      </c>
      <c r="C314" s="913">
        <v>5000000</v>
      </c>
      <c r="D314" s="913">
        <v>5000000</v>
      </c>
      <c r="E314" s="913">
        <v>0</v>
      </c>
      <c r="F314" s="917">
        <v>1</v>
      </c>
    </row>
    <row r="315" spans="1:6" x14ac:dyDescent="0.2">
      <c r="A315" s="916" t="s">
        <v>223</v>
      </c>
      <c r="B315" s="919"/>
      <c r="C315" s="913"/>
      <c r="D315" s="913"/>
      <c r="E315" s="913"/>
      <c r="F315" s="917"/>
    </row>
    <row r="316" spans="1:6" x14ac:dyDescent="0.2">
      <c r="A316" s="918" t="s">
        <v>224</v>
      </c>
      <c r="B316" s="919">
        <v>41658</v>
      </c>
      <c r="C316" s="913">
        <v>5000000</v>
      </c>
      <c r="D316" s="913">
        <v>5000000</v>
      </c>
      <c r="E316" s="913">
        <v>0</v>
      </c>
      <c r="F316" s="917">
        <v>1</v>
      </c>
    </row>
    <row r="317" spans="1:6" x14ac:dyDescent="0.2">
      <c r="A317" s="916" t="s">
        <v>231</v>
      </c>
      <c r="B317" s="919"/>
      <c r="C317" s="913"/>
      <c r="D317" s="913"/>
      <c r="E317" s="913"/>
      <c r="F317" s="917"/>
    </row>
    <row r="318" spans="1:6" x14ac:dyDescent="0.2">
      <c r="A318" s="918" t="s">
        <v>1042</v>
      </c>
      <c r="B318" s="919">
        <v>41797</v>
      </c>
      <c r="C318" s="913">
        <v>70000000</v>
      </c>
      <c r="D318" s="913">
        <v>69658711</v>
      </c>
      <c r="E318" s="913">
        <v>341289</v>
      </c>
      <c r="F318" s="917">
        <v>0.99512444285714285</v>
      </c>
    </row>
    <row r="319" spans="1:6" x14ac:dyDescent="0.2">
      <c r="A319" s="916" t="s">
        <v>225</v>
      </c>
      <c r="B319" s="919"/>
      <c r="C319" s="913"/>
      <c r="D319" s="913"/>
      <c r="E319" s="913"/>
      <c r="F319" s="917"/>
    </row>
    <row r="320" spans="1:6" x14ac:dyDescent="0.2">
      <c r="A320" s="918" t="s">
        <v>226</v>
      </c>
      <c r="B320" s="919">
        <v>41658</v>
      </c>
      <c r="C320" s="913">
        <v>5000000</v>
      </c>
      <c r="D320" s="913">
        <v>5000000</v>
      </c>
      <c r="E320" s="913">
        <v>0</v>
      </c>
      <c r="F320" s="917">
        <v>1</v>
      </c>
    </row>
    <row r="321" spans="1:6" x14ac:dyDescent="0.2">
      <c r="A321" s="916" t="s">
        <v>221</v>
      </c>
      <c r="B321" s="919"/>
      <c r="C321" s="913"/>
      <c r="D321" s="913"/>
      <c r="E321" s="913"/>
      <c r="F321" s="917"/>
    </row>
    <row r="322" spans="1:6" x14ac:dyDescent="0.2">
      <c r="A322" s="918" t="s">
        <v>222</v>
      </c>
      <c r="B322" s="919">
        <v>41658</v>
      </c>
      <c r="C322" s="913">
        <v>5000000</v>
      </c>
      <c r="D322" s="913">
        <v>5000000</v>
      </c>
      <c r="E322" s="913">
        <v>0</v>
      </c>
      <c r="F322" s="917">
        <v>1</v>
      </c>
    </row>
    <row r="323" spans="1:6" x14ac:dyDescent="0.2">
      <c r="A323" s="916" t="s">
        <v>242</v>
      </c>
      <c r="B323" s="919"/>
      <c r="C323" s="913"/>
      <c r="D323" s="913"/>
      <c r="E323" s="913"/>
      <c r="F323" s="917"/>
    </row>
    <row r="324" spans="1:6" x14ac:dyDescent="0.2">
      <c r="A324" s="918" t="s">
        <v>235</v>
      </c>
      <c r="B324" s="919">
        <v>41751</v>
      </c>
      <c r="C324" s="913">
        <v>3017160</v>
      </c>
      <c r="D324" s="913">
        <v>3017160</v>
      </c>
      <c r="E324" s="913">
        <v>0</v>
      </c>
      <c r="F324" s="917">
        <v>1</v>
      </c>
    </row>
    <row r="325" spans="1:6" x14ac:dyDescent="0.2">
      <c r="A325" s="916" t="s">
        <v>240</v>
      </c>
      <c r="B325" s="919"/>
      <c r="C325" s="913"/>
      <c r="D325" s="913"/>
      <c r="E325" s="913"/>
      <c r="F325" s="917"/>
    </row>
    <row r="326" spans="1:6" x14ac:dyDescent="0.2">
      <c r="A326" s="918" t="s">
        <v>290</v>
      </c>
      <c r="B326" s="919">
        <v>42019</v>
      </c>
      <c r="C326" s="913">
        <v>90000000</v>
      </c>
      <c r="D326" s="913">
        <v>42574877.200000003</v>
      </c>
      <c r="E326" s="913">
        <v>47425122.799999997</v>
      </c>
      <c r="F326" s="917">
        <v>0.47305419111111113</v>
      </c>
    </row>
    <row r="327" spans="1:6" x14ac:dyDescent="0.2">
      <c r="A327" s="916" t="s">
        <v>229</v>
      </c>
      <c r="B327" s="919"/>
      <c r="C327" s="913"/>
      <c r="D327" s="913"/>
      <c r="E327" s="913"/>
      <c r="F327" s="917"/>
    </row>
    <row r="328" spans="1:6" x14ac:dyDescent="0.2">
      <c r="A328" s="918" t="s">
        <v>1043</v>
      </c>
      <c r="B328" s="919">
        <v>41664</v>
      </c>
      <c r="C328" s="913">
        <v>5000000</v>
      </c>
      <c r="D328" s="913">
        <v>5000000</v>
      </c>
      <c r="E328" s="913">
        <v>0</v>
      </c>
      <c r="F328" s="917">
        <v>1</v>
      </c>
    </row>
    <row r="329" spans="1:6" x14ac:dyDescent="0.2">
      <c r="A329" s="916" t="s">
        <v>239</v>
      </c>
      <c r="B329" s="919"/>
      <c r="C329" s="913"/>
      <c r="D329" s="913"/>
      <c r="E329" s="913"/>
      <c r="F329" s="917"/>
    </row>
    <row r="330" spans="1:6" x14ac:dyDescent="0.2">
      <c r="A330" s="918" t="s">
        <v>152</v>
      </c>
      <c r="B330" s="919">
        <v>41754</v>
      </c>
      <c r="C330" s="913">
        <v>3743343</v>
      </c>
      <c r="D330" s="913">
        <v>3743343</v>
      </c>
      <c r="E330" s="913">
        <v>0</v>
      </c>
      <c r="F330" s="917">
        <v>1</v>
      </c>
    </row>
    <row r="331" spans="1:6" x14ac:dyDescent="0.2">
      <c r="A331" s="916" t="s">
        <v>405</v>
      </c>
      <c r="B331" s="919"/>
      <c r="C331" s="913"/>
      <c r="D331" s="913"/>
      <c r="E331" s="913"/>
      <c r="F331" s="917"/>
    </row>
    <row r="332" spans="1:6" x14ac:dyDescent="0.2">
      <c r="A332" s="918" t="s">
        <v>238</v>
      </c>
      <c r="B332" s="919">
        <v>42026</v>
      </c>
      <c r="C332" s="913">
        <v>1620000</v>
      </c>
      <c r="D332" s="913">
        <v>354000</v>
      </c>
      <c r="E332" s="913">
        <v>1266000</v>
      </c>
      <c r="F332" s="917">
        <v>0.21851851851851853</v>
      </c>
    </row>
    <row r="333" spans="1:6" x14ac:dyDescent="0.2">
      <c r="A333" s="916" t="s">
        <v>236</v>
      </c>
      <c r="B333" s="919"/>
      <c r="C333" s="913"/>
      <c r="D333" s="913"/>
      <c r="E333" s="913"/>
      <c r="F333" s="917"/>
    </row>
    <row r="334" spans="1:6" x14ac:dyDescent="0.2">
      <c r="A334" s="918" t="s">
        <v>186</v>
      </c>
      <c r="B334" s="919">
        <v>41713</v>
      </c>
      <c r="C334" s="913">
        <v>32048480</v>
      </c>
      <c r="D334" s="913">
        <v>32048480</v>
      </c>
      <c r="E334" s="913">
        <v>0</v>
      </c>
      <c r="F334" s="917">
        <v>1</v>
      </c>
    </row>
    <row r="335" spans="1:6" x14ac:dyDescent="0.2">
      <c r="A335" s="916" t="s">
        <v>241</v>
      </c>
      <c r="B335" s="919"/>
      <c r="C335" s="913"/>
      <c r="D335" s="913"/>
      <c r="E335" s="913"/>
      <c r="F335" s="917"/>
    </row>
    <row r="336" spans="1:6" x14ac:dyDescent="0.2">
      <c r="A336" s="918" t="s">
        <v>1044</v>
      </c>
      <c r="B336" s="919">
        <v>41720</v>
      </c>
      <c r="C336" s="913">
        <v>3480000</v>
      </c>
      <c r="D336" s="913">
        <v>3480000</v>
      </c>
      <c r="E336" s="913">
        <v>0</v>
      </c>
      <c r="F336" s="917">
        <v>1</v>
      </c>
    </row>
    <row r="337" spans="1:6" x14ac:dyDescent="0.2">
      <c r="A337" s="916" t="s">
        <v>237</v>
      </c>
      <c r="B337" s="919"/>
      <c r="C337" s="913"/>
      <c r="D337" s="913"/>
      <c r="E337" s="913"/>
      <c r="F337" s="917"/>
    </row>
    <row r="338" spans="1:6" x14ac:dyDescent="0.2">
      <c r="A338" s="918" t="s">
        <v>186</v>
      </c>
      <c r="B338" s="919">
        <v>41736</v>
      </c>
      <c r="C338" s="913">
        <v>126308000</v>
      </c>
      <c r="D338" s="913">
        <v>126308000</v>
      </c>
      <c r="E338" s="913">
        <v>0</v>
      </c>
      <c r="F338" s="917">
        <v>1</v>
      </c>
    </row>
    <row r="339" spans="1:6" x14ac:dyDescent="0.2">
      <c r="A339" s="916" t="s">
        <v>230</v>
      </c>
      <c r="B339" s="919"/>
      <c r="C339" s="913"/>
      <c r="D339" s="913"/>
      <c r="E339" s="913"/>
      <c r="F339" s="917"/>
    </row>
    <row r="340" spans="1:6" x14ac:dyDescent="0.2">
      <c r="A340" s="918" t="s">
        <v>1045</v>
      </c>
      <c r="B340" s="919">
        <v>41668</v>
      </c>
      <c r="C340" s="913">
        <v>3500000</v>
      </c>
      <c r="D340" s="913">
        <v>3500000</v>
      </c>
      <c r="E340" s="913">
        <v>0</v>
      </c>
      <c r="F340" s="917">
        <v>1</v>
      </c>
    </row>
    <row r="341" spans="1:6" x14ac:dyDescent="0.2">
      <c r="A341" s="916" t="s">
        <v>243</v>
      </c>
      <c r="B341" s="919"/>
      <c r="C341" s="913"/>
      <c r="D341" s="913"/>
      <c r="E341" s="913"/>
      <c r="F341" s="917"/>
    </row>
    <row r="342" spans="1:6" x14ac:dyDescent="0.2">
      <c r="A342" s="918" t="s">
        <v>244</v>
      </c>
      <c r="B342" s="919">
        <v>41789</v>
      </c>
      <c r="C342" s="913">
        <v>803432165</v>
      </c>
      <c r="D342" s="913">
        <v>741115935</v>
      </c>
      <c r="E342" s="913">
        <v>62316230</v>
      </c>
      <c r="F342" s="917">
        <v>0.92243747174349189</v>
      </c>
    </row>
    <row r="343" spans="1:6" x14ac:dyDescent="0.2">
      <c r="A343" s="916" t="s">
        <v>278</v>
      </c>
      <c r="B343" s="919"/>
      <c r="C343" s="913"/>
      <c r="D343" s="913"/>
      <c r="E343" s="913"/>
      <c r="F343" s="917"/>
    </row>
    <row r="344" spans="1:6" x14ac:dyDescent="0.2">
      <c r="A344" s="918" t="s">
        <v>15</v>
      </c>
      <c r="B344" s="919">
        <v>42139</v>
      </c>
      <c r="C344" s="913">
        <v>7740000</v>
      </c>
      <c r="D344" s="913">
        <v>7740000</v>
      </c>
      <c r="E344" s="913">
        <v>0</v>
      </c>
      <c r="F344" s="917">
        <v>1</v>
      </c>
    </row>
    <row r="345" spans="1:6" x14ac:dyDescent="0.2">
      <c r="A345" s="916" t="s">
        <v>171</v>
      </c>
      <c r="B345" s="919"/>
      <c r="C345" s="913"/>
      <c r="D345" s="913"/>
      <c r="E345" s="913"/>
      <c r="F345" s="917"/>
    </row>
    <row r="346" spans="1:6" x14ac:dyDescent="0.2">
      <c r="A346" s="918" t="s">
        <v>1034</v>
      </c>
      <c r="B346" s="919">
        <v>42008</v>
      </c>
      <c r="C346" s="913">
        <v>29819999</v>
      </c>
      <c r="D346" s="913">
        <v>29819999</v>
      </c>
      <c r="E346" s="913">
        <v>0</v>
      </c>
      <c r="F346" s="917">
        <v>1</v>
      </c>
    </row>
    <row r="347" spans="1:6" x14ac:dyDescent="0.2">
      <c r="A347" s="916" t="s">
        <v>252</v>
      </c>
      <c r="B347" s="919"/>
      <c r="C347" s="913"/>
      <c r="D347" s="913"/>
      <c r="E347" s="913"/>
      <c r="F347" s="917"/>
    </row>
    <row r="348" spans="1:6" x14ac:dyDescent="0.2">
      <c r="A348" s="918" t="s">
        <v>86</v>
      </c>
      <c r="B348" s="919">
        <v>42081</v>
      </c>
      <c r="C348" s="913">
        <v>1197000</v>
      </c>
      <c r="D348" s="913">
        <v>1197000</v>
      </c>
      <c r="E348" s="913">
        <v>0</v>
      </c>
      <c r="F348" s="917">
        <v>1</v>
      </c>
    </row>
    <row r="349" spans="1:6" x14ac:dyDescent="0.2">
      <c r="A349" s="916" t="s">
        <v>270</v>
      </c>
      <c r="B349" s="919"/>
      <c r="C349" s="913"/>
      <c r="D349" s="913"/>
      <c r="E349" s="913"/>
      <c r="F349" s="917"/>
    </row>
    <row r="350" spans="1:6" x14ac:dyDescent="0.2">
      <c r="A350" s="918" t="s">
        <v>1031</v>
      </c>
      <c r="B350" s="919">
        <v>41891</v>
      </c>
      <c r="C350" s="913">
        <v>4000000</v>
      </c>
      <c r="D350" s="913">
        <v>4000000</v>
      </c>
      <c r="E350" s="913">
        <v>0</v>
      </c>
      <c r="F350" s="917">
        <v>1</v>
      </c>
    </row>
    <row r="351" spans="1:6" x14ac:dyDescent="0.2">
      <c r="A351" s="916" t="s">
        <v>254</v>
      </c>
      <c r="B351" s="919"/>
      <c r="C351" s="913"/>
      <c r="D351" s="913"/>
      <c r="E351" s="913"/>
      <c r="F351" s="917"/>
    </row>
    <row r="352" spans="1:6" x14ac:dyDescent="0.2">
      <c r="A352" s="918" t="s">
        <v>1033</v>
      </c>
      <c r="B352" s="919">
        <v>42006</v>
      </c>
      <c r="C352" s="913">
        <v>42800000</v>
      </c>
      <c r="D352" s="913">
        <v>42800000</v>
      </c>
      <c r="E352" s="913">
        <v>0</v>
      </c>
      <c r="F352" s="917">
        <v>1</v>
      </c>
    </row>
    <row r="353" spans="1:6" x14ac:dyDescent="0.2">
      <c r="A353" s="916" t="s">
        <v>267</v>
      </c>
      <c r="B353" s="919"/>
      <c r="C353" s="913"/>
      <c r="D353" s="913"/>
      <c r="E353" s="913"/>
      <c r="F353" s="917"/>
    </row>
    <row r="354" spans="1:6" x14ac:dyDescent="0.2">
      <c r="A354" s="918" t="s">
        <v>1516</v>
      </c>
      <c r="B354" s="919">
        <v>42013</v>
      </c>
      <c r="C354" s="913">
        <v>38830000</v>
      </c>
      <c r="D354" s="913">
        <v>38830000</v>
      </c>
      <c r="E354" s="913">
        <v>0</v>
      </c>
      <c r="F354" s="917">
        <v>1</v>
      </c>
    </row>
    <row r="355" spans="1:6" x14ac:dyDescent="0.2">
      <c r="A355" s="916" t="s">
        <v>257</v>
      </c>
      <c r="B355" s="919"/>
      <c r="C355" s="913"/>
      <c r="D355" s="913"/>
      <c r="E355" s="913"/>
      <c r="F355" s="917"/>
    </row>
    <row r="356" spans="1:6" x14ac:dyDescent="0.2">
      <c r="A356" s="918" t="s">
        <v>1035</v>
      </c>
      <c r="B356" s="919">
        <v>42008</v>
      </c>
      <c r="C356" s="913">
        <v>40997000</v>
      </c>
      <c r="D356" s="913">
        <v>40997000</v>
      </c>
      <c r="E356" s="913">
        <v>0</v>
      </c>
      <c r="F356" s="917">
        <v>1</v>
      </c>
    </row>
    <row r="357" spans="1:6" x14ac:dyDescent="0.2">
      <c r="A357" s="916" t="s">
        <v>245</v>
      </c>
      <c r="B357" s="919"/>
      <c r="C357" s="913"/>
      <c r="D357" s="913"/>
      <c r="E357" s="913"/>
      <c r="F357" s="917"/>
    </row>
    <row r="358" spans="1:6" x14ac:dyDescent="0.2">
      <c r="A358" s="918" t="s">
        <v>226</v>
      </c>
      <c r="B358" s="919">
        <v>42008</v>
      </c>
      <c r="C358" s="913">
        <v>55000000</v>
      </c>
      <c r="D358" s="913">
        <v>54333333</v>
      </c>
      <c r="E358" s="913">
        <v>666667</v>
      </c>
      <c r="F358" s="917">
        <v>0.98787878181818178</v>
      </c>
    </row>
    <row r="359" spans="1:6" x14ac:dyDescent="0.2">
      <c r="A359" s="916" t="s">
        <v>247</v>
      </c>
      <c r="B359" s="919"/>
      <c r="C359" s="913"/>
      <c r="D359" s="913"/>
      <c r="E359" s="913"/>
      <c r="F359" s="917"/>
    </row>
    <row r="360" spans="1:6" x14ac:dyDescent="0.2">
      <c r="A360" s="918" t="s">
        <v>1515</v>
      </c>
      <c r="B360" s="919">
        <v>42008</v>
      </c>
      <c r="C360" s="913">
        <v>55000000</v>
      </c>
      <c r="D360" s="913">
        <v>54666666</v>
      </c>
      <c r="E360" s="913">
        <v>333334</v>
      </c>
      <c r="F360" s="917">
        <v>0.99393938181818187</v>
      </c>
    </row>
    <row r="361" spans="1:6" x14ac:dyDescent="0.2">
      <c r="A361" s="916" t="s">
        <v>249</v>
      </c>
      <c r="B361" s="919"/>
      <c r="C361" s="913"/>
      <c r="D361" s="913"/>
      <c r="E361" s="913"/>
      <c r="F361" s="917"/>
    </row>
    <row r="362" spans="1:6" x14ac:dyDescent="0.2">
      <c r="A362" s="918" t="s">
        <v>1045</v>
      </c>
      <c r="B362" s="919">
        <v>42008</v>
      </c>
      <c r="C362" s="913">
        <v>38500000</v>
      </c>
      <c r="D362" s="913">
        <v>38500000</v>
      </c>
      <c r="E362" s="913">
        <v>0</v>
      </c>
      <c r="F362" s="917">
        <v>1</v>
      </c>
    </row>
    <row r="363" spans="1:6" x14ac:dyDescent="0.2">
      <c r="A363" s="916" t="s">
        <v>246</v>
      </c>
      <c r="B363" s="919"/>
      <c r="C363" s="913"/>
      <c r="D363" s="913"/>
      <c r="E363" s="913"/>
      <c r="F363" s="917"/>
    </row>
    <row r="364" spans="1:6" x14ac:dyDescent="0.2">
      <c r="A364" s="918" t="s">
        <v>228</v>
      </c>
      <c r="B364" s="919">
        <v>42008</v>
      </c>
      <c r="C364" s="913">
        <v>55000000</v>
      </c>
      <c r="D364" s="913">
        <v>55000000</v>
      </c>
      <c r="E364" s="913">
        <v>0</v>
      </c>
      <c r="F364" s="917">
        <v>1</v>
      </c>
    </row>
    <row r="365" spans="1:6" x14ac:dyDescent="0.2">
      <c r="A365" s="916" t="s">
        <v>248</v>
      </c>
      <c r="B365" s="919"/>
      <c r="C365" s="913"/>
      <c r="D365" s="913"/>
      <c r="E365" s="913"/>
      <c r="F365" s="917"/>
    </row>
    <row r="366" spans="1:6" x14ac:dyDescent="0.2">
      <c r="A366" s="918" t="s">
        <v>224</v>
      </c>
      <c r="B366" s="919">
        <v>42008</v>
      </c>
      <c r="C366" s="913">
        <v>55000000</v>
      </c>
      <c r="D366" s="913">
        <v>55000000</v>
      </c>
      <c r="E366" s="913">
        <v>0</v>
      </c>
      <c r="F366" s="917">
        <v>1</v>
      </c>
    </row>
    <row r="367" spans="1:6" x14ac:dyDescent="0.2">
      <c r="A367" s="916" t="s">
        <v>268</v>
      </c>
      <c r="B367" s="919"/>
      <c r="C367" s="913"/>
      <c r="D367" s="913"/>
      <c r="E367" s="913"/>
      <c r="F367" s="917"/>
    </row>
    <row r="368" spans="1:6" x14ac:dyDescent="0.2">
      <c r="A368" s="918" t="s">
        <v>269</v>
      </c>
      <c r="B368" s="919">
        <v>42096</v>
      </c>
      <c r="C368" s="913">
        <v>16555000</v>
      </c>
      <c r="D368" s="913">
        <v>15762669</v>
      </c>
      <c r="E368" s="913">
        <v>792331</v>
      </c>
      <c r="F368" s="917">
        <v>0.95213947447900937</v>
      </c>
    </row>
    <row r="369" spans="1:6" x14ac:dyDescent="0.2">
      <c r="A369" s="916" t="s">
        <v>253</v>
      </c>
      <c r="B369" s="919"/>
      <c r="C369" s="913"/>
      <c r="D369" s="913"/>
      <c r="E369" s="913"/>
      <c r="F369" s="917"/>
    </row>
    <row r="370" spans="1:6" x14ac:dyDescent="0.2">
      <c r="A370" s="918" t="s">
        <v>140</v>
      </c>
      <c r="B370" s="919">
        <v>42008</v>
      </c>
      <c r="C370" s="913">
        <v>39600000</v>
      </c>
      <c r="D370" s="913">
        <v>24720000</v>
      </c>
      <c r="E370" s="913">
        <v>14880000</v>
      </c>
      <c r="F370" s="917">
        <v>0.62424242424242427</v>
      </c>
    </row>
    <row r="371" spans="1:6" x14ac:dyDescent="0.2">
      <c r="A371" s="916" t="s">
        <v>255</v>
      </c>
      <c r="B371" s="919"/>
      <c r="C371" s="913"/>
      <c r="D371" s="913"/>
      <c r="E371" s="913"/>
      <c r="F371" s="917"/>
    </row>
    <row r="372" spans="1:6" x14ac:dyDescent="0.2">
      <c r="A372" s="918" t="s">
        <v>1032</v>
      </c>
      <c r="B372" s="919">
        <v>41887</v>
      </c>
      <c r="C372" s="913">
        <v>51500000</v>
      </c>
      <c r="D372" s="913">
        <v>32788333</v>
      </c>
      <c r="E372" s="913">
        <v>18711667</v>
      </c>
      <c r="F372" s="917">
        <v>0.63666666019417473</v>
      </c>
    </row>
    <row r="373" spans="1:6" x14ac:dyDescent="0.2">
      <c r="A373" s="916" t="s">
        <v>250</v>
      </c>
      <c r="B373" s="919"/>
      <c r="C373" s="913"/>
      <c r="D373" s="913"/>
      <c r="E373" s="913"/>
      <c r="F373" s="917"/>
    </row>
    <row r="374" spans="1:6" x14ac:dyDescent="0.2">
      <c r="A374" s="918" t="s">
        <v>251</v>
      </c>
      <c r="B374" s="919">
        <v>42008</v>
      </c>
      <c r="C374" s="913">
        <v>16500000</v>
      </c>
      <c r="D374" s="913">
        <v>10300000</v>
      </c>
      <c r="E374" s="913">
        <v>6200000</v>
      </c>
      <c r="F374" s="917">
        <v>0.62424242424242427</v>
      </c>
    </row>
    <row r="375" spans="1:6" x14ac:dyDescent="0.2">
      <c r="A375" s="916" t="s">
        <v>256</v>
      </c>
      <c r="B375" s="919"/>
      <c r="C375" s="913"/>
      <c r="D375" s="913"/>
      <c r="E375" s="913"/>
      <c r="F375" s="917"/>
    </row>
    <row r="376" spans="1:6" x14ac:dyDescent="0.2">
      <c r="A376" s="918" t="s">
        <v>1395</v>
      </c>
      <c r="B376" s="919">
        <v>42006</v>
      </c>
      <c r="C376" s="913">
        <v>61800000</v>
      </c>
      <c r="D376" s="913">
        <v>54933333</v>
      </c>
      <c r="E376" s="913">
        <v>6866667</v>
      </c>
      <c r="F376" s="917">
        <v>0.88888888349514561</v>
      </c>
    </row>
    <row r="377" spans="1:6" x14ac:dyDescent="0.2">
      <c r="A377" s="916" t="s">
        <v>264</v>
      </c>
      <c r="B377" s="919"/>
      <c r="C377" s="913"/>
      <c r="D377" s="913"/>
      <c r="E377" s="913"/>
      <c r="F377" s="917"/>
    </row>
    <row r="378" spans="1:6" x14ac:dyDescent="0.2">
      <c r="A378" s="918" t="s">
        <v>186</v>
      </c>
      <c r="B378" s="919">
        <v>41748</v>
      </c>
      <c r="C378" s="913">
        <v>340808000</v>
      </c>
      <c r="D378" s="913">
        <v>340808000</v>
      </c>
      <c r="E378" s="913">
        <v>0</v>
      </c>
      <c r="F378" s="917">
        <v>1</v>
      </c>
    </row>
    <row r="379" spans="1:6" x14ac:dyDescent="0.2">
      <c r="A379" s="916" t="s">
        <v>262</v>
      </c>
      <c r="B379" s="919"/>
      <c r="C379" s="913"/>
      <c r="D379" s="913"/>
      <c r="E379" s="913"/>
      <c r="F379" s="917"/>
    </row>
    <row r="380" spans="1:6" x14ac:dyDescent="0.2">
      <c r="A380" s="918" t="s">
        <v>263</v>
      </c>
      <c r="B380" s="919">
        <v>41748</v>
      </c>
      <c r="C380" s="913">
        <v>28900000</v>
      </c>
      <c r="D380" s="913">
        <v>28900000</v>
      </c>
      <c r="E380" s="913">
        <v>0</v>
      </c>
      <c r="F380" s="917">
        <v>1</v>
      </c>
    </row>
    <row r="381" spans="1:6" x14ac:dyDescent="0.2">
      <c r="A381" s="916" t="s">
        <v>260</v>
      </c>
      <c r="B381" s="919"/>
      <c r="C381" s="913"/>
      <c r="D381" s="913"/>
      <c r="E381" s="913"/>
      <c r="F381" s="917"/>
    </row>
    <row r="382" spans="1:6" x14ac:dyDescent="0.2">
      <c r="A382" s="918" t="s">
        <v>261</v>
      </c>
      <c r="B382" s="919">
        <v>41738</v>
      </c>
      <c r="C382" s="913">
        <v>325128875</v>
      </c>
      <c r="D382" s="913">
        <v>325028452</v>
      </c>
      <c r="E382" s="913">
        <v>100423</v>
      </c>
      <c r="F382" s="917">
        <v>0.99969112863322274</v>
      </c>
    </row>
    <row r="383" spans="1:6" x14ac:dyDescent="0.2">
      <c r="A383" s="916" t="s">
        <v>273</v>
      </c>
      <c r="B383" s="919"/>
      <c r="C383" s="913"/>
      <c r="D383" s="913"/>
      <c r="E383" s="913"/>
      <c r="F383" s="917"/>
    </row>
    <row r="384" spans="1:6" x14ac:dyDescent="0.2">
      <c r="A384" s="918" t="s">
        <v>126</v>
      </c>
      <c r="B384" s="919">
        <v>42012</v>
      </c>
      <c r="C384" s="913">
        <v>11000000</v>
      </c>
      <c r="D384" s="913">
        <v>2672466</v>
      </c>
      <c r="E384" s="913">
        <v>8327534</v>
      </c>
      <c r="F384" s="917">
        <v>0.24295145454545455</v>
      </c>
    </row>
    <row r="385" spans="1:6" x14ac:dyDescent="0.2">
      <c r="A385" s="916" t="s">
        <v>288</v>
      </c>
      <c r="B385" s="919"/>
      <c r="C385" s="913"/>
      <c r="D385" s="913"/>
      <c r="E385" s="913"/>
      <c r="F385" s="917"/>
    </row>
    <row r="386" spans="1:6" x14ac:dyDescent="0.2">
      <c r="A386" s="918" t="s">
        <v>12</v>
      </c>
      <c r="B386" s="919">
        <v>42102</v>
      </c>
      <c r="C386" s="913">
        <v>1607400</v>
      </c>
      <c r="D386" s="913">
        <v>0</v>
      </c>
      <c r="E386" s="913">
        <v>1607400</v>
      </c>
      <c r="F386" s="917">
        <v>0</v>
      </c>
    </row>
    <row r="387" spans="1:6" x14ac:dyDescent="0.2">
      <c r="A387" s="916" t="s">
        <v>266</v>
      </c>
      <c r="B387" s="919"/>
      <c r="C387" s="913"/>
      <c r="D387" s="913"/>
      <c r="E387" s="913"/>
      <c r="F387" s="917"/>
    </row>
    <row r="388" spans="1:6" x14ac:dyDescent="0.2">
      <c r="A388" s="918" t="s">
        <v>1030</v>
      </c>
      <c r="B388" s="919">
        <v>41969</v>
      </c>
      <c r="C388" s="913">
        <v>4982000</v>
      </c>
      <c r="D388" s="913">
        <v>2832000</v>
      </c>
      <c r="E388" s="913">
        <v>2150000</v>
      </c>
      <c r="F388" s="917">
        <v>0.56844640706543559</v>
      </c>
    </row>
    <row r="389" spans="1:6" x14ac:dyDescent="0.2">
      <c r="A389" s="916" t="s">
        <v>271</v>
      </c>
      <c r="B389" s="919"/>
      <c r="C389" s="913"/>
      <c r="D389" s="913"/>
      <c r="E389" s="913"/>
      <c r="F389" s="917"/>
    </row>
    <row r="390" spans="1:6" x14ac:dyDescent="0.2">
      <c r="A390" s="918" t="s">
        <v>272</v>
      </c>
      <c r="B390" s="919">
        <v>41951</v>
      </c>
      <c r="C390" s="913">
        <v>28000000</v>
      </c>
      <c r="D390" s="913">
        <v>10978240</v>
      </c>
      <c r="E390" s="913">
        <v>17021760</v>
      </c>
      <c r="F390" s="917">
        <v>0.39207999999999998</v>
      </c>
    </row>
    <row r="391" spans="1:6" x14ac:dyDescent="0.2">
      <c r="A391" s="916" t="s">
        <v>400</v>
      </c>
      <c r="B391" s="919"/>
      <c r="C391" s="913"/>
      <c r="D391" s="913"/>
      <c r="E391" s="913"/>
      <c r="F391" s="917"/>
    </row>
    <row r="392" spans="1:6" x14ac:dyDescent="0.2">
      <c r="A392" s="918" t="s">
        <v>198</v>
      </c>
      <c r="B392" s="919">
        <v>42096</v>
      </c>
      <c r="C392" s="913">
        <v>10564000</v>
      </c>
      <c r="D392" s="913">
        <v>10055157</v>
      </c>
      <c r="E392" s="913">
        <v>508843</v>
      </c>
      <c r="F392" s="917">
        <v>0.95183235516849674</v>
      </c>
    </row>
    <row r="393" spans="1:6" x14ac:dyDescent="0.2">
      <c r="A393" s="916" t="s">
        <v>274</v>
      </c>
      <c r="B393" s="919"/>
      <c r="C393" s="913"/>
      <c r="D393" s="913"/>
      <c r="E393" s="913"/>
      <c r="F393" s="917"/>
    </row>
    <row r="394" spans="1:6" x14ac:dyDescent="0.2">
      <c r="A394" s="918" t="s">
        <v>275</v>
      </c>
      <c r="B394" s="919">
        <v>42116</v>
      </c>
      <c r="C394" s="913">
        <v>2122000</v>
      </c>
      <c r="D394" s="913">
        <v>2122000</v>
      </c>
      <c r="E394" s="913">
        <v>0</v>
      </c>
      <c r="F394" s="917">
        <v>1</v>
      </c>
    </row>
    <row r="395" spans="1:6" x14ac:dyDescent="0.2">
      <c r="A395" s="916" t="s">
        <v>279</v>
      </c>
      <c r="B395" s="919"/>
      <c r="C395" s="913"/>
      <c r="D395" s="913"/>
      <c r="E395" s="913"/>
      <c r="F395" s="917"/>
    </row>
    <row r="396" spans="1:6" x14ac:dyDescent="0.2">
      <c r="A396" s="918" t="s">
        <v>53</v>
      </c>
      <c r="B396" s="919">
        <v>42091</v>
      </c>
      <c r="C396" s="913">
        <v>31218000</v>
      </c>
      <c r="D396" s="913">
        <v>29571427</v>
      </c>
      <c r="E396" s="913">
        <v>1646573</v>
      </c>
      <c r="F396" s="917">
        <v>0.9472556537894804</v>
      </c>
    </row>
    <row r="397" spans="1:6" x14ac:dyDescent="0.2">
      <c r="A397" s="916" t="s">
        <v>282</v>
      </c>
      <c r="B397" s="919"/>
      <c r="C397" s="913"/>
      <c r="D397" s="913"/>
      <c r="E397" s="913"/>
      <c r="F397" s="917"/>
    </row>
    <row r="398" spans="1:6" x14ac:dyDescent="0.2">
      <c r="A398" s="918" t="s">
        <v>418</v>
      </c>
      <c r="B398" s="919">
        <v>41901</v>
      </c>
      <c r="C398" s="913">
        <v>18217800</v>
      </c>
      <c r="D398" s="913">
        <v>18217800</v>
      </c>
      <c r="E398" s="913">
        <v>0</v>
      </c>
      <c r="F398" s="917">
        <v>1</v>
      </c>
    </row>
    <row r="399" spans="1:6" x14ac:dyDescent="0.2">
      <c r="A399" s="916" t="s">
        <v>280</v>
      </c>
      <c r="B399" s="919"/>
      <c r="C399" s="913"/>
      <c r="D399" s="913"/>
      <c r="E399" s="913"/>
      <c r="F399" s="917"/>
    </row>
    <row r="400" spans="1:6" x14ac:dyDescent="0.2">
      <c r="A400" s="918" t="s">
        <v>281</v>
      </c>
      <c r="B400" s="919">
        <v>41817</v>
      </c>
      <c r="C400" s="913">
        <v>1700007</v>
      </c>
      <c r="D400" s="913">
        <v>1700000</v>
      </c>
      <c r="E400" s="913">
        <v>7</v>
      </c>
      <c r="F400" s="917">
        <v>0.99999588236989612</v>
      </c>
    </row>
    <row r="401" spans="1:6" x14ac:dyDescent="0.2">
      <c r="A401" s="916" t="s">
        <v>276</v>
      </c>
      <c r="B401" s="919"/>
      <c r="C401" s="913"/>
      <c r="D401" s="913"/>
      <c r="E401" s="913"/>
      <c r="F401" s="917"/>
    </row>
    <row r="402" spans="1:6" x14ac:dyDescent="0.2">
      <c r="A402" s="918" t="s">
        <v>277</v>
      </c>
      <c r="B402" s="919">
        <v>42117</v>
      </c>
      <c r="C402" s="913">
        <v>32631000</v>
      </c>
      <c r="D402" s="913">
        <v>32594631</v>
      </c>
      <c r="E402" s="913">
        <v>36369</v>
      </c>
      <c r="F402" s="917">
        <v>0.99888544635469334</v>
      </c>
    </row>
    <row r="403" spans="1:6" x14ac:dyDescent="0.2">
      <c r="A403" s="916" t="s">
        <v>283</v>
      </c>
      <c r="B403" s="919"/>
      <c r="C403" s="913"/>
      <c r="D403" s="913"/>
      <c r="E403" s="913"/>
      <c r="F403" s="917"/>
    </row>
    <row r="404" spans="1:6" x14ac:dyDescent="0.2">
      <c r="A404" s="918" t="s">
        <v>284</v>
      </c>
      <c r="B404" s="919">
        <v>42128</v>
      </c>
      <c r="C404" s="913">
        <v>45100746</v>
      </c>
      <c r="D404" s="913">
        <v>45045000</v>
      </c>
      <c r="E404" s="913">
        <v>55746</v>
      </c>
      <c r="F404" s="917">
        <v>0.99876396723016514</v>
      </c>
    </row>
    <row r="405" spans="1:6" x14ac:dyDescent="0.2">
      <c r="A405" s="916" t="s">
        <v>289</v>
      </c>
      <c r="B405" s="919"/>
      <c r="C405" s="913"/>
      <c r="D405" s="913"/>
      <c r="E405" s="913"/>
      <c r="F405" s="917"/>
    </row>
    <row r="406" spans="1:6" x14ac:dyDescent="0.2">
      <c r="A406" s="918" t="s">
        <v>290</v>
      </c>
      <c r="B406" s="919">
        <v>41855</v>
      </c>
      <c r="C406" s="913">
        <v>9998117</v>
      </c>
      <c r="D406" s="913">
        <v>9998097</v>
      </c>
      <c r="E406" s="913">
        <v>20</v>
      </c>
      <c r="F406" s="917">
        <v>0.99999799962332903</v>
      </c>
    </row>
    <row r="407" spans="1:6" x14ac:dyDescent="0.2">
      <c r="A407" s="916" t="s">
        <v>300</v>
      </c>
      <c r="B407" s="919"/>
      <c r="C407" s="913"/>
      <c r="D407" s="913"/>
      <c r="E407" s="913"/>
      <c r="F407" s="917"/>
    </row>
    <row r="408" spans="1:6" x14ac:dyDescent="0.2">
      <c r="A408" s="918" t="s">
        <v>1571</v>
      </c>
      <c r="B408" s="919">
        <v>42312</v>
      </c>
      <c r="C408" s="913">
        <v>12000000</v>
      </c>
      <c r="D408" s="913">
        <v>10800000</v>
      </c>
      <c r="E408" s="913">
        <v>1200000</v>
      </c>
      <c r="F408" s="917">
        <v>0.9</v>
      </c>
    </row>
    <row r="409" spans="1:6" x14ac:dyDescent="0.2">
      <c r="A409" s="916" t="s">
        <v>401</v>
      </c>
      <c r="B409" s="919"/>
      <c r="C409" s="913"/>
      <c r="D409" s="913"/>
      <c r="E409" s="913"/>
      <c r="F409" s="917"/>
    </row>
    <row r="410" spans="1:6" x14ac:dyDescent="0.2">
      <c r="A410" s="918" t="s">
        <v>547</v>
      </c>
      <c r="B410" s="919">
        <v>42216</v>
      </c>
      <c r="C410" s="913">
        <v>249991314</v>
      </c>
      <c r="D410" s="913">
        <v>248275406</v>
      </c>
      <c r="E410" s="913">
        <v>1715908</v>
      </c>
      <c r="F410" s="917">
        <v>0.99313612952168406</v>
      </c>
    </row>
    <row r="411" spans="1:6" x14ac:dyDescent="0.2">
      <c r="A411" s="916" t="s">
        <v>296</v>
      </c>
      <c r="B411" s="919"/>
      <c r="C411" s="913"/>
      <c r="D411" s="913"/>
      <c r="E411" s="913"/>
      <c r="F411" s="917"/>
    </row>
    <row r="412" spans="1:6" x14ac:dyDescent="0.2">
      <c r="A412" s="918" t="s">
        <v>1039</v>
      </c>
      <c r="B412" s="919">
        <v>41867</v>
      </c>
      <c r="C412" s="913">
        <v>5719790</v>
      </c>
      <c r="D412" s="913">
        <v>5719790</v>
      </c>
      <c r="E412" s="913">
        <v>0</v>
      </c>
      <c r="F412" s="917">
        <v>1</v>
      </c>
    </row>
    <row r="413" spans="1:6" x14ac:dyDescent="0.2">
      <c r="A413" s="916" t="s">
        <v>287</v>
      </c>
      <c r="B413" s="919"/>
      <c r="C413" s="913"/>
      <c r="D413" s="913"/>
      <c r="E413" s="913"/>
      <c r="F413" s="917"/>
    </row>
    <row r="414" spans="1:6" x14ac:dyDescent="0.2">
      <c r="A414" s="918" t="s">
        <v>1018</v>
      </c>
      <c r="B414" s="919">
        <v>42186</v>
      </c>
      <c r="C414" s="913">
        <v>337487000</v>
      </c>
      <c r="D414" s="913">
        <v>306295677</v>
      </c>
      <c r="E414" s="913">
        <v>31191323</v>
      </c>
      <c r="F414" s="917">
        <v>0.907577705215312</v>
      </c>
    </row>
    <row r="415" spans="1:6" x14ac:dyDescent="0.2">
      <c r="A415" s="916" t="s">
        <v>291</v>
      </c>
      <c r="B415" s="919"/>
      <c r="C415" s="913"/>
      <c r="D415" s="913"/>
      <c r="E415" s="913"/>
      <c r="F415" s="917"/>
    </row>
    <row r="416" spans="1:6" x14ac:dyDescent="0.2">
      <c r="A416" s="918" t="s">
        <v>1048</v>
      </c>
      <c r="B416" s="919">
        <v>42116</v>
      </c>
      <c r="C416" s="913">
        <v>3463454100</v>
      </c>
      <c r="D416" s="913">
        <v>3320263630</v>
      </c>
      <c r="E416" s="913">
        <v>143190470</v>
      </c>
      <c r="F416" s="917">
        <v>0.95865674385579414</v>
      </c>
    </row>
    <row r="417" spans="1:6" x14ac:dyDescent="0.2">
      <c r="A417" s="916" t="s">
        <v>305</v>
      </c>
      <c r="B417" s="919"/>
      <c r="C417" s="913"/>
      <c r="D417" s="913"/>
      <c r="E417" s="913"/>
      <c r="F417" s="917"/>
    </row>
    <row r="418" spans="1:6" x14ac:dyDescent="0.2">
      <c r="A418" s="918" t="s">
        <v>306</v>
      </c>
      <c r="B418" s="919">
        <v>41872</v>
      </c>
      <c r="C418" s="913">
        <v>330000</v>
      </c>
      <c r="D418" s="913">
        <v>330000</v>
      </c>
      <c r="E418" s="913">
        <v>0</v>
      </c>
      <c r="F418" s="917">
        <v>1</v>
      </c>
    </row>
    <row r="419" spans="1:6" x14ac:dyDescent="0.2">
      <c r="A419" s="916" t="s">
        <v>285</v>
      </c>
      <c r="B419" s="919"/>
      <c r="C419" s="913"/>
      <c r="D419" s="913"/>
      <c r="E419" s="913"/>
      <c r="F419" s="917"/>
    </row>
    <row r="420" spans="1:6" x14ac:dyDescent="0.2">
      <c r="A420" s="918" t="s">
        <v>3</v>
      </c>
      <c r="B420" s="919">
        <v>41959</v>
      </c>
      <c r="C420" s="913">
        <v>251750000</v>
      </c>
      <c r="D420" s="913">
        <v>180186681</v>
      </c>
      <c r="E420" s="913">
        <v>71563319</v>
      </c>
      <c r="F420" s="917">
        <v>0.71573656802383312</v>
      </c>
    </row>
    <row r="421" spans="1:6" x14ac:dyDescent="0.2">
      <c r="A421" s="916" t="s">
        <v>299</v>
      </c>
      <c r="B421" s="919"/>
      <c r="C421" s="913"/>
      <c r="D421" s="913"/>
      <c r="E421" s="913"/>
      <c r="F421" s="917"/>
    </row>
    <row r="422" spans="1:6" x14ac:dyDescent="0.2">
      <c r="A422" s="918" t="s">
        <v>1049</v>
      </c>
      <c r="B422" s="919">
        <v>41852</v>
      </c>
      <c r="C422" s="913">
        <v>2962640</v>
      </c>
      <c r="D422" s="913">
        <v>2962640</v>
      </c>
      <c r="E422" s="913">
        <v>0</v>
      </c>
      <c r="F422" s="917">
        <v>1</v>
      </c>
    </row>
    <row r="423" spans="1:6" x14ac:dyDescent="0.2">
      <c r="A423" s="916" t="s">
        <v>294</v>
      </c>
      <c r="B423" s="919"/>
      <c r="C423" s="913"/>
      <c r="D423" s="913"/>
      <c r="E423" s="913"/>
      <c r="F423" s="917"/>
    </row>
    <row r="424" spans="1:6" x14ac:dyDescent="0.2">
      <c r="A424" s="918" t="s">
        <v>295</v>
      </c>
      <c r="B424" s="919">
        <v>42186</v>
      </c>
      <c r="C424" s="913">
        <v>36581760</v>
      </c>
      <c r="D424" s="913">
        <v>34363318</v>
      </c>
      <c r="E424" s="913">
        <v>2218442</v>
      </c>
      <c r="F424" s="917">
        <v>0.93935660832064938</v>
      </c>
    </row>
    <row r="425" spans="1:6" x14ac:dyDescent="0.2">
      <c r="A425" s="916" t="s">
        <v>292</v>
      </c>
      <c r="B425" s="919"/>
      <c r="C425" s="913"/>
      <c r="D425" s="913"/>
      <c r="E425" s="913"/>
      <c r="F425" s="917"/>
    </row>
    <row r="426" spans="1:6" x14ac:dyDescent="0.2">
      <c r="A426" s="918" t="s">
        <v>293</v>
      </c>
      <c r="B426" s="919">
        <v>42247</v>
      </c>
      <c r="C426" s="913">
        <v>18714400</v>
      </c>
      <c r="D426" s="913">
        <v>17075400</v>
      </c>
      <c r="E426" s="913">
        <v>1639000</v>
      </c>
      <c r="F426" s="917">
        <v>0.91242038216560506</v>
      </c>
    </row>
    <row r="427" spans="1:6" x14ac:dyDescent="0.2">
      <c r="A427" s="916" t="s">
        <v>298</v>
      </c>
      <c r="B427" s="919"/>
      <c r="C427" s="913"/>
      <c r="D427" s="913"/>
      <c r="E427" s="913"/>
      <c r="F427" s="917"/>
    </row>
    <row r="428" spans="1:6" x14ac:dyDescent="0.2">
      <c r="A428" s="918" t="s">
        <v>90</v>
      </c>
      <c r="B428" s="919">
        <v>42203</v>
      </c>
      <c r="C428" s="913">
        <v>683000</v>
      </c>
      <c r="D428" s="913">
        <v>683000</v>
      </c>
      <c r="E428" s="913">
        <v>0</v>
      </c>
      <c r="F428" s="917">
        <v>1</v>
      </c>
    </row>
    <row r="429" spans="1:6" x14ac:dyDescent="0.2">
      <c r="A429" s="916" t="s">
        <v>302</v>
      </c>
      <c r="B429" s="919"/>
      <c r="C429" s="913"/>
      <c r="D429" s="913"/>
      <c r="E429" s="913"/>
      <c r="F429" s="917"/>
    </row>
    <row r="430" spans="1:6" x14ac:dyDescent="0.2">
      <c r="A430" s="918" t="s">
        <v>303</v>
      </c>
      <c r="B430" s="919">
        <v>42050</v>
      </c>
      <c r="C430" s="913">
        <v>4672000</v>
      </c>
      <c r="D430" s="913">
        <v>1806200</v>
      </c>
      <c r="E430" s="913">
        <v>2865800</v>
      </c>
      <c r="F430" s="917">
        <v>0.38660102739726027</v>
      </c>
    </row>
    <row r="431" spans="1:6" x14ac:dyDescent="0.2">
      <c r="A431" s="916" t="s">
        <v>297</v>
      </c>
      <c r="B431" s="919"/>
      <c r="C431" s="913"/>
      <c r="D431" s="913"/>
      <c r="E431" s="913"/>
      <c r="F431" s="917"/>
    </row>
    <row r="432" spans="1:6" x14ac:dyDescent="0.2">
      <c r="A432" s="918" t="s">
        <v>999</v>
      </c>
      <c r="B432" s="919">
        <v>42139</v>
      </c>
      <c r="C432" s="913">
        <v>97800000</v>
      </c>
      <c r="D432" s="913">
        <v>97794518</v>
      </c>
      <c r="E432" s="913">
        <v>5482</v>
      </c>
      <c r="F432" s="917">
        <v>0.99994394683026588</v>
      </c>
    </row>
    <row r="433" spans="1:6" x14ac:dyDescent="0.2">
      <c r="A433" s="916" t="s">
        <v>304</v>
      </c>
      <c r="B433" s="919"/>
      <c r="C433" s="913"/>
      <c r="D433" s="913"/>
      <c r="E433" s="913"/>
      <c r="F433" s="917"/>
    </row>
    <row r="434" spans="1:6" x14ac:dyDescent="0.2">
      <c r="A434" s="918" t="s">
        <v>1006</v>
      </c>
      <c r="B434" s="919">
        <v>41965</v>
      </c>
      <c r="C434" s="913">
        <v>2228070</v>
      </c>
      <c r="D434" s="913">
        <v>2228070</v>
      </c>
      <c r="E434" s="913">
        <v>0</v>
      </c>
      <c r="F434" s="917">
        <v>1</v>
      </c>
    </row>
    <row r="435" spans="1:6" x14ac:dyDescent="0.2">
      <c r="A435" s="916" t="s">
        <v>308</v>
      </c>
      <c r="B435" s="919"/>
      <c r="C435" s="913"/>
      <c r="D435" s="913"/>
      <c r="E435" s="913"/>
      <c r="F435" s="917"/>
    </row>
    <row r="436" spans="1:6" x14ac:dyDescent="0.2">
      <c r="A436" s="918" t="s">
        <v>1050</v>
      </c>
      <c r="B436" s="919">
        <v>41923</v>
      </c>
      <c r="C436" s="913">
        <v>2260000</v>
      </c>
      <c r="D436" s="913">
        <v>1595000</v>
      </c>
      <c r="E436" s="913">
        <v>665000</v>
      </c>
      <c r="F436" s="917">
        <v>0.70575221238938057</v>
      </c>
    </row>
    <row r="437" spans="1:6" x14ac:dyDescent="0.2">
      <c r="A437" s="916" t="s">
        <v>307</v>
      </c>
      <c r="B437" s="919"/>
      <c r="C437" s="913"/>
      <c r="D437" s="913"/>
      <c r="E437" s="913"/>
      <c r="F437" s="917"/>
    </row>
    <row r="438" spans="1:6" x14ac:dyDescent="0.2">
      <c r="A438" s="918" t="s">
        <v>144</v>
      </c>
      <c r="B438" s="919">
        <v>42108</v>
      </c>
      <c r="C438" s="913">
        <v>290648563</v>
      </c>
      <c r="D438" s="913">
        <v>290648563</v>
      </c>
      <c r="E438" s="913">
        <v>0</v>
      </c>
      <c r="F438" s="917">
        <v>1</v>
      </c>
    </row>
    <row r="439" spans="1:6" x14ac:dyDescent="0.2">
      <c r="A439" s="916" t="s">
        <v>546</v>
      </c>
      <c r="B439" s="919"/>
      <c r="C439" s="913"/>
      <c r="D439" s="913"/>
      <c r="E439" s="913"/>
      <c r="F439" s="917"/>
    </row>
    <row r="440" spans="1:6" x14ac:dyDescent="0.2">
      <c r="A440" s="918" t="s">
        <v>310</v>
      </c>
      <c r="B440" s="919">
        <v>41932</v>
      </c>
      <c r="C440" s="913">
        <v>14975600</v>
      </c>
      <c r="D440" s="913">
        <v>14975600</v>
      </c>
      <c r="E440" s="913">
        <v>0</v>
      </c>
      <c r="F440" s="917">
        <v>1</v>
      </c>
    </row>
    <row r="441" spans="1:6" x14ac:dyDescent="0.2">
      <c r="A441" s="916" t="s">
        <v>548</v>
      </c>
      <c r="B441" s="919"/>
      <c r="C441" s="913"/>
      <c r="D441" s="913"/>
      <c r="E441" s="913"/>
      <c r="F441" s="917"/>
    </row>
    <row r="442" spans="1:6" x14ac:dyDescent="0.2">
      <c r="A442" s="918" t="s">
        <v>13</v>
      </c>
      <c r="B442" s="919">
        <v>42258</v>
      </c>
      <c r="C442" s="913">
        <v>936000</v>
      </c>
      <c r="D442" s="913">
        <v>936000</v>
      </c>
      <c r="E442" s="913">
        <v>0</v>
      </c>
      <c r="F442" s="917">
        <v>1</v>
      </c>
    </row>
    <row r="443" spans="1:6" x14ac:dyDescent="0.2">
      <c r="A443" s="916" t="s">
        <v>551</v>
      </c>
      <c r="B443" s="919"/>
      <c r="C443" s="913"/>
      <c r="D443" s="913"/>
      <c r="E443" s="913"/>
      <c r="F443" s="917"/>
    </row>
    <row r="444" spans="1:6" x14ac:dyDescent="0.2">
      <c r="A444" s="918" t="s">
        <v>29</v>
      </c>
      <c r="B444" s="919">
        <v>42261</v>
      </c>
      <c r="C444" s="913">
        <v>855000</v>
      </c>
      <c r="D444" s="913">
        <v>855000</v>
      </c>
      <c r="E444" s="913">
        <v>0</v>
      </c>
      <c r="F444" s="917">
        <v>1</v>
      </c>
    </row>
    <row r="445" spans="1:6" x14ac:dyDescent="0.2">
      <c r="A445" s="916" t="s">
        <v>553</v>
      </c>
      <c r="B445" s="919"/>
      <c r="C445" s="913"/>
      <c r="D445" s="913"/>
      <c r="E445" s="913"/>
      <c r="F445" s="917"/>
    </row>
    <row r="446" spans="1:6" x14ac:dyDescent="0.2">
      <c r="A446" s="918" t="s">
        <v>554</v>
      </c>
      <c r="B446" s="919">
        <v>42009</v>
      </c>
      <c r="C446" s="913">
        <v>19356282</v>
      </c>
      <c r="D446" s="913">
        <v>19356282</v>
      </c>
      <c r="E446" s="913">
        <v>0</v>
      </c>
      <c r="F446" s="917">
        <v>1</v>
      </c>
    </row>
    <row r="447" spans="1:6" x14ac:dyDescent="0.2">
      <c r="A447" s="916" t="s">
        <v>555</v>
      </c>
      <c r="B447" s="919"/>
      <c r="C447" s="913"/>
      <c r="D447" s="913"/>
      <c r="E447" s="913"/>
      <c r="F447" s="917"/>
    </row>
    <row r="448" spans="1:6" x14ac:dyDescent="0.2">
      <c r="A448" s="918" t="s">
        <v>1067</v>
      </c>
      <c r="B448" s="919">
        <v>42013</v>
      </c>
      <c r="C448" s="913">
        <v>25000000</v>
      </c>
      <c r="D448" s="913">
        <v>25000000</v>
      </c>
      <c r="E448" s="913">
        <v>0</v>
      </c>
      <c r="F448" s="917">
        <v>1</v>
      </c>
    </row>
    <row r="449" spans="1:6" x14ac:dyDescent="0.2">
      <c r="A449" s="916" t="s">
        <v>556</v>
      </c>
      <c r="B449" s="919"/>
      <c r="C449" s="913"/>
      <c r="D449" s="913"/>
      <c r="E449" s="913"/>
      <c r="F449" s="917"/>
    </row>
    <row r="450" spans="1:6" x14ac:dyDescent="0.2">
      <c r="A450" s="918" t="s">
        <v>1004</v>
      </c>
      <c r="B450" s="919">
        <v>42046</v>
      </c>
      <c r="C450" s="913">
        <v>25000000</v>
      </c>
      <c r="D450" s="913">
        <v>25000000</v>
      </c>
      <c r="E450" s="913">
        <v>0</v>
      </c>
      <c r="F450" s="917">
        <v>1</v>
      </c>
    </row>
    <row r="451" spans="1:6" x14ac:dyDescent="0.2">
      <c r="A451" s="916" t="s">
        <v>1069</v>
      </c>
      <c r="B451" s="919"/>
      <c r="C451" s="913"/>
      <c r="D451" s="913"/>
      <c r="E451" s="913"/>
      <c r="F451" s="917"/>
    </row>
    <row r="452" spans="1:6" x14ac:dyDescent="0.2">
      <c r="A452" s="918" t="s">
        <v>1070</v>
      </c>
      <c r="B452" s="919">
        <v>42053</v>
      </c>
      <c r="C452" s="913">
        <v>17500000</v>
      </c>
      <c r="D452" s="913">
        <v>17500000</v>
      </c>
      <c r="E452" s="913">
        <v>0</v>
      </c>
      <c r="F452" s="917">
        <v>1</v>
      </c>
    </row>
    <row r="453" spans="1:6" x14ac:dyDescent="0.2">
      <c r="A453" s="916" t="s">
        <v>1071</v>
      </c>
      <c r="B453" s="919"/>
      <c r="C453" s="913"/>
      <c r="D453" s="913"/>
      <c r="E453" s="913"/>
      <c r="F453" s="917"/>
    </row>
    <row r="454" spans="1:6" x14ac:dyDescent="0.2">
      <c r="A454" s="918" t="s">
        <v>1072</v>
      </c>
      <c r="B454" s="919">
        <v>42033</v>
      </c>
      <c r="C454" s="913">
        <v>10000000</v>
      </c>
      <c r="D454" s="913">
        <v>10000000</v>
      </c>
      <c r="E454" s="913">
        <v>0</v>
      </c>
      <c r="F454" s="917">
        <v>1</v>
      </c>
    </row>
    <row r="455" spans="1:6" x14ac:dyDescent="0.2">
      <c r="A455" s="916" t="s">
        <v>1101</v>
      </c>
      <c r="B455" s="919"/>
      <c r="C455" s="913"/>
      <c r="D455" s="913"/>
      <c r="E455" s="913"/>
      <c r="F455" s="917"/>
    </row>
    <row r="456" spans="1:6" x14ac:dyDescent="0.2">
      <c r="A456" s="918" t="s">
        <v>435</v>
      </c>
      <c r="B456" s="919">
        <v>42207</v>
      </c>
      <c r="C456" s="913">
        <v>6252000</v>
      </c>
      <c r="D456" s="913">
        <v>5665189</v>
      </c>
      <c r="E456" s="913">
        <v>586811</v>
      </c>
      <c r="F456" s="917">
        <v>0.90614027511196416</v>
      </c>
    </row>
    <row r="457" spans="1:6" x14ac:dyDescent="0.2">
      <c r="A457" s="916" t="s">
        <v>1334</v>
      </c>
      <c r="B457" s="919"/>
      <c r="C457" s="913"/>
      <c r="D457" s="913"/>
      <c r="E457" s="913"/>
      <c r="F457" s="917"/>
    </row>
    <row r="458" spans="1:6" x14ac:dyDescent="0.2">
      <c r="A458" s="918" t="s">
        <v>1335</v>
      </c>
      <c r="B458" s="919">
        <v>42027</v>
      </c>
      <c r="C458" s="913">
        <v>4136000</v>
      </c>
      <c r="D458" s="913">
        <v>2251047</v>
      </c>
      <c r="E458" s="913">
        <v>1884953</v>
      </c>
      <c r="F458" s="917">
        <v>0.54425701160541584</v>
      </c>
    </row>
    <row r="459" spans="1:6" x14ac:dyDescent="0.2">
      <c r="A459" s="916" t="s">
        <v>919</v>
      </c>
      <c r="B459" s="919"/>
      <c r="C459" s="913"/>
      <c r="D459" s="913"/>
      <c r="E459" s="913"/>
      <c r="F459" s="917"/>
    </row>
    <row r="460" spans="1:6" x14ac:dyDescent="0.2">
      <c r="A460" s="918" t="s">
        <v>1104</v>
      </c>
      <c r="B460" s="919">
        <v>42202</v>
      </c>
      <c r="C460" s="913">
        <v>3846133</v>
      </c>
      <c r="D460" s="913">
        <v>0</v>
      </c>
      <c r="E460" s="913">
        <v>3846133</v>
      </c>
      <c r="F460" s="917">
        <v>0</v>
      </c>
    </row>
    <row r="461" spans="1:6" x14ac:dyDescent="0.2">
      <c r="A461" s="916" t="s">
        <v>1106</v>
      </c>
      <c r="B461" s="919"/>
      <c r="C461" s="913"/>
      <c r="D461" s="913"/>
      <c r="E461" s="913"/>
      <c r="F461" s="917"/>
    </row>
    <row r="462" spans="1:6" x14ac:dyDescent="0.2">
      <c r="A462" s="918" t="s">
        <v>100</v>
      </c>
      <c r="B462" s="919">
        <v>42129</v>
      </c>
      <c r="C462" s="913">
        <v>30000000</v>
      </c>
      <c r="D462" s="913">
        <v>28330110</v>
      </c>
      <c r="E462" s="913">
        <v>1669890</v>
      </c>
      <c r="F462" s="917">
        <v>0.94433699999999998</v>
      </c>
    </row>
    <row r="463" spans="1:6" x14ac:dyDescent="0.2">
      <c r="A463" s="916" t="s">
        <v>1109</v>
      </c>
      <c r="B463" s="919"/>
      <c r="C463" s="913"/>
      <c r="D463" s="913"/>
      <c r="E463" s="913"/>
      <c r="F463" s="917"/>
    </row>
    <row r="464" spans="1:6" x14ac:dyDescent="0.2">
      <c r="A464" s="918" t="s">
        <v>222</v>
      </c>
      <c r="B464" s="919">
        <v>42008</v>
      </c>
      <c r="C464" s="913">
        <v>55000000</v>
      </c>
      <c r="D464" s="913">
        <v>55000000</v>
      </c>
      <c r="E464" s="913">
        <v>0</v>
      </c>
      <c r="F464" s="917">
        <v>1</v>
      </c>
    </row>
    <row r="465" spans="1:6" x14ac:dyDescent="0.2">
      <c r="A465" s="916" t="s">
        <v>1114</v>
      </c>
      <c r="B465" s="919"/>
      <c r="C465" s="913"/>
      <c r="D465" s="913"/>
      <c r="E465" s="913"/>
      <c r="F465" s="917"/>
    </row>
    <row r="466" spans="1:6" x14ac:dyDescent="0.2">
      <c r="A466" s="918" t="s">
        <v>1115</v>
      </c>
      <c r="B466" s="919">
        <v>42021</v>
      </c>
      <c r="C466" s="913">
        <v>14153603</v>
      </c>
      <c r="D466" s="913">
        <v>14153603</v>
      </c>
      <c r="E466" s="913">
        <v>0</v>
      </c>
      <c r="F466" s="917">
        <v>1</v>
      </c>
    </row>
    <row r="467" spans="1:6" x14ac:dyDescent="0.2">
      <c r="A467" s="916" t="s">
        <v>1120</v>
      </c>
      <c r="B467" s="919"/>
      <c r="C467" s="913"/>
      <c r="D467" s="913"/>
      <c r="E467" s="913"/>
      <c r="F467" s="917"/>
    </row>
    <row r="468" spans="1:6" x14ac:dyDescent="0.2">
      <c r="A468" s="918" t="s">
        <v>1121</v>
      </c>
      <c r="B468" s="919">
        <v>42004</v>
      </c>
      <c r="C468" s="913">
        <v>812500</v>
      </c>
      <c r="D468" s="913">
        <v>812500</v>
      </c>
      <c r="E468" s="913">
        <v>0</v>
      </c>
      <c r="F468" s="917">
        <v>1</v>
      </c>
    </row>
    <row r="469" spans="1:6" x14ac:dyDescent="0.2">
      <c r="A469" s="916" t="s">
        <v>1111</v>
      </c>
      <c r="B469" s="919"/>
      <c r="C469" s="913"/>
      <c r="D469" s="913"/>
      <c r="E469" s="913"/>
      <c r="F469" s="917"/>
    </row>
    <row r="470" spans="1:6" x14ac:dyDescent="0.2">
      <c r="A470" s="918" t="s">
        <v>1112</v>
      </c>
      <c r="B470" s="919">
        <v>42116</v>
      </c>
      <c r="C470" s="913">
        <v>818527824</v>
      </c>
      <c r="D470" s="913">
        <v>800790708</v>
      </c>
      <c r="E470" s="913">
        <v>17737116</v>
      </c>
      <c r="F470" s="917">
        <v>0.97833046662565259</v>
      </c>
    </row>
    <row r="471" spans="1:6" x14ac:dyDescent="0.2">
      <c r="A471" s="916" t="s">
        <v>1117</v>
      </c>
      <c r="B471" s="919"/>
      <c r="C471" s="913"/>
      <c r="D471" s="913"/>
      <c r="E471" s="913"/>
      <c r="F471" s="917"/>
    </row>
    <row r="472" spans="1:6" x14ac:dyDescent="0.2">
      <c r="A472" s="918" t="s">
        <v>1118</v>
      </c>
      <c r="B472" s="919">
        <v>42369</v>
      </c>
      <c r="C472" s="913">
        <v>75520000</v>
      </c>
      <c r="D472" s="913">
        <v>75519999</v>
      </c>
      <c r="E472" s="913">
        <v>1</v>
      </c>
      <c r="F472" s="917">
        <v>0.99999998675847457</v>
      </c>
    </row>
    <row r="473" spans="1:6" x14ac:dyDescent="0.2">
      <c r="A473" s="916" t="s">
        <v>1163</v>
      </c>
      <c r="B473" s="919"/>
      <c r="C473" s="913"/>
      <c r="D473" s="913"/>
      <c r="E473" s="913"/>
      <c r="F473" s="917"/>
    </row>
    <row r="474" spans="1:6" x14ac:dyDescent="0.2">
      <c r="A474" s="918" t="s">
        <v>1164</v>
      </c>
      <c r="B474" s="919">
        <v>42301</v>
      </c>
      <c r="C474" s="913">
        <v>16592327</v>
      </c>
      <c r="D474" s="913">
        <v>14933095</v>
      </c>
      <c r="E474" s="913">
        <v>1659232</v>
      </c>
      <c r="F474" s="917">
        <v>0.90000004218817531</v>
      </c>
    </row>
    <row r="475" spans="1:6" x14ac:dyDescent="0.2">
      <c r="A475" s="916" t="s">
        <v>1156</v>
      </c>
      <c r="B475" s="919"/>
      <c r="C475" s="913"/>
      <c r="D475" s="913"/>
      <c r="E475" s="913"/>
      <c r="F475" s="917"/>
    </row>
    <row r="476" spans="1:6" x14ac:dyDescent="0.2">
      <c r="A476" s="918" t="s">
        <v>33</v>
      </c>
      <c r="B476" s="919">
        <v>42277</v>
      </c>
      <c r="C476" s="913">
        <v>807000</v>
      </c>
      <c r="D476" s="913">
        <v>807000</v>
      </c>
      <c r="E476" s="913">
        <v>0</v>
      </c>
      <c r="F476" s="917">
        <v>1</v>
      </c>
    </row>
    <row r="477" spans="1:6" x14ac:dyDescent="0.2">
      <c r="A477" s="916" t="s">
        <v>1161</v>
      </c>
      <c r="B477" s="919"/>
      <c r="C477" s="913"/>
      <c r="D477" s="913"/>
      <c r="E477" s="913"/>
      <c r="F477" s="917"/>
    </row>
    <row r="478" spans="1:6" x14ac:dyDescent="0.2">
      <c r="A478" s="918" t="s">
        <v>1162</v>
      </c>
      <c r="B478" s="919">
        <v>42138</v>
      </c>
      <c r="C478" s="913">
        <v>41850000</v>
      </c>
      <c r="D478" s="913">
        <v>26363000</v>
      </c>
      <c r="E478" s="913">
        <v>15487000</v>
      </c>
      <c r="F478" s="917">
        <v>0.6299402628434887</v>
      </c>
    </row>
    <row r="479" spans="1:6" x14ac:dyDescent="0.2">
      <c r="A479" s="916" t="s">
        <v>1158</v>
      </c>
      <c r="B479" s="919"/>
      <c r="C479" s="913"/>
      <c r="D479" s="913"/>
      <c r="E479" s="913"/>
      <c r="F479" s="917"/>
    </row>
    <row r="480" spans="1:6" x14ac:dyDescent="0.2">
      <c r="A480" s="918" t="s">
        <v>186</v>
      </c>
      <c r="B480" s="919">
        <v>41996</v>
      </c>
      <c r="C480" s="913">
        <v>311460000</v>
      </c>
      <c r="D480" s="913">
        <v>93438000</v>
      </c>
      <c r="E480" s="913">
        <v>218022000</v>
      </c>
      <c r="F480" s="917">
        <v>0.3</v>
      </c>
    </row>
    <row r="481" spans="1:6" x14ac:dyDescent="0.2">
      <c r="A481" s="916" t="s">
        <v>1159</v>
      </c>
      <c r="B481" s="919"/>
      <c r="C481" s="913"/>
      <c r="D481" s="913"/>
      <c r="E481" s="913"/>
      <c r="F481" s="917"/>
    </row>
    <row r="482" spans="1:6" x14ac:dyDescent="0.2">
      <c r="A482" s="918" t="s">
        <v>22</v>
      </c>
      <c r="B482" s="919">
        <v>42477</v>
      </c>
      <c r="C482" s="913">
        <v>66816000</v>
      </c>
      <c r="D482" s="913">
        <v>66816000</v>
      </c>
      <c r="E482" s="913">
        <v>0</v>
      </c>
      <c r="F482" s="917">
        <v>1</v>
      </c>
    </row>
    <row r="483" spans="1:6" x14ac:dyDescent="0.2">
      <c r="A483" s="916" t="s">
        <v>599</v>
      </c>
      <c r="B483" s="919"/>
      <c r="C483" s="913"/>
      <c r="D483" s="913"/>
      <c r="E483" s="913"/>
      <c r="F483" s="917"/>
    </row>
    <row r="484" spans="1:6" x14ac:dyDescent="0.2">
      <c r="A484" s="918" t="s">
        <v>1026</v>
      </c>
      <c r="B484" s="919">
        <v>41580</v>
      </c>
      <c r="C484" s="913">
        <v>9037264</v>
      </c>
      <c r="D484" s="913">
        <v>7492420</v>
      </c>
      <c r="E484" s="913">
        <v>1544844</v>
      </c>
      <c r="F484" s="917">
        <v>0.82905844069621071</v>
      </c>
    </row>
    <row r="485" spans="1:6" x14ac:dyDescent="0.2">
      <c r="A485" s="916" t="s">
        <v>857</v>
      </c>
      <c r="B485" s="919"/>
      <c r="C485" s="913"/>
      <c r="D485" s="913"/>
      <c r="E485" s="913"/>
      <c r="F485" s="917"/>
    </row>
    <row r="486" spans="1:6" x14ac:dyDescent="0.2">
      <c r="A486" s="918" t="s">
        <v>1339</v>
      </c>
      <c r="B486" s="919">
        <v>41975</v>
      </c>
      <c r="C486" s="913">
        <v>150000000</v>
      </c>
      <c r="D486" s="913">
        <v>0</v>
      </c>
      <c r="E486" s="913">
        <v>150000000</v>
      </c>
      <c r="F486" s="917">
        <v>0</v>
      </c>
    </row>
    <row r="487" spans="1:6" x14ac:dyDescent="0.2">
      <c r="A487" s="916" t="s">
        <v>1330</v>
      </c>
      <c r="B487" s="919"/>
      <c r="C487" s="913"/>
      <c r="D487" s="913"/>
      <c r="E487" s="913"/>
      <c r="F487" s="917"/>
    </row>
    <row r="488" spans="1:6" x14ac:dyDescent="0.2">
      <c r="A488" s="918" t="s">
        <v>1020</v>
      </c>
      <c r="B488" s="919">
        <v>42305</v>
      </c>
      <c r="C488" s="913">
        <v>810000</v>
      </c>
      <c r="D488" s="913">
        <v>810000</v>
      </c>
      <c r="E488" s="913">
        <v>0</v>
      </c>
      <c r="F488" s="917">
        <v>1</v>
      </c>
    </row>
    <row r="489" spans="1:6" x14ac:dyDescent="0.2">
      <c r="A489" s="916" t="s">
        <v>1337</v>
      </c>
      <c r="B489" s="919"/>
      <c r="C489" s="913"/>
      <c r="D489" s="913"/>
      <c r="E489" s="913"/>
      <c r="F489" s="917"/>
    </row>
    <row r="490" spans="1:6" x14ac:dyDescent="0.2">
      <c r="A490" s="918" t="s">
        <v>203</v>
      </c>
      <c r="B490" s="919">
        <v>42085</v>
      </c>
      <c r="C490" s="913">
        <v>4621440</v>
      </c>
      <c r="D490" s="913">
        <v>4621440</v>
      </c>
      <c r="E490" s="913">
        <v>0</v>
      </c>
      <c r="F490" s="917">
        <v>1</v>
      </c>
    </row>
    <row r="491" spans="1:6" x14ac:dyDescent="0.2">
      <c r="A491" s="916" t="s">
        <v>1332</v>
      </c>
      <c r="B491" s="919"/>
      <c r="C491" s="913"/>
      <c r="D491" s="913"/>
      <c r="E491" s="913"/>
      <c r="F491" s="917"/>
    </row>
    <row r="492" spans="1:6" x14ac:dyDescent="0.2">
      <c r="A492" s="918" t="s">
        <v>212</v>
      </c>
      <c r="B492" s="919">
        <v>41970</v>
      </c>
      <c r="C492" s="913">
        <v>324800</v>
      </c>
      <c r="D492" s="913">
        <v>324800</v>
      </c>
      <c r="E492" s="913">
        <v>0</v>
      </c>
      <c r="F492" s="917">
        <v>1</v>
      </c>
    </row>
    <row r="493" spans="1:6" x14ac:dyDescent="0.2">
      <c r="A493" s="916" t="s">
        <v>1345</v>
      </c>
      <c r="B493" s="919"/>
      <c r="C493" s="913"/>
      <c r="D493" s="913"/>
      <c r="E493" s="913"/>
      <c r="F493" s="917"/>
    </row>
    <row r="494" spans="1:6" x14ac:dyDescent="0.2">
      <c r="A494" s="918" t="s">
        <v>1346</v>
      </c>
      <c r="B494" s="919">
        <v>42241</v>
      </c>
      <c r="C494" s="913">
        <v>2459960</v>
      </c>
      <c r="D494" s="913">
        <v>2457884</v>
      </c>
      <c r="E494" s="913">
        <v>2076</v>
      </c>
      <c r="F494" s="917">
        <v>0.99915608383876164</v>
      </c>
    </row>
    <row r="495" spans="1:6" x14ac:dyDescent="0.2">
      <c r="A495" s="916" t="s">
        <v>1348</v>
      </c>
      <c r="B495" s="919"/>
      <c r="C495" s="913"/>
      <c r="D495" s="913"/>
      <c r="E495" s="913"/>
      <c r="F495" s="917"/>
    </row>
    <row r="496" spans="1:6" x14ac:dyDescent="0.2">
      <c r="A496" s="918" t="s">
        <v>1349</v>
      </c>
      <c r="B496" s="919">
        <v>42077</v>
      </c>
      <c r="C496" s="913">
        <v>20188000</v>
      </c>
      <c r="D496" s="913">
        <v>20188000</v>
      </c>
      <c r="E496" s="913">
        <v>0</v>
      </c>
      <c r="F496" s="917">
        <v>1</v>
      </c>
    </row>
    <row r="497" spans="1:6" x14ac:dyDescent="0.2">
      <c r="A497" s="916" t="s">
        <v>2258</v>
      </c>
      <c r="B497" s="919"/>
      <c r="C497" s="913"/>
      <c r="D497" s="913"/>
      <c r="E497" s="913"/>
      <c r="F497" s="917"/>
    </row>
    <row r="498" spans="1:6" x14ac:dyDescent="0.2">
      <c r="A498" s="918" t="s">
        <v>3</v>
      </c>
      <c r="B498" s="919">
        <v>41452</v>
      </c>
      <c r="C498" s="913">
        <v>315000000</v>
      </c>
      <c r="D498" s="913">
        <v>314473887</v>
      </c>
      <c r="E498" s="913">
        <v>526113</v>
      </c>
      <c r="F498" s="917">
        <v>0.99832980000000004</v>
      </c>
    </row>
    <row r="499" spans="1:6" x14ac:dyDescent="0.2">
      <c r="A499" s="916" t="s">
        <v>1352</v>
      </c>
      <c r="B499" s="919"/>
      <c r="C499" s="913"/>
      <c r="D499" s="913"/>
      <c r="E499" s="913"/>
      <c r="F499" s="917"/>
    </row>
    <row r="500" spans="1:6" x14ac:dyDescent="0.2">
      <c r="A500" s="918" t="s">
        <v>1353</v>
      </c>
      <c r="B500" s="919">
        <v>42184</v>
      </c>
      <c r="C500" s="913">
        <v>59383678</v>
      </c>
      <c r="D500" s="913">
        <v>27770152</v>
      </c>
      <c r="E500" s="913">
        <v>31613526</v>
      </c>
      <c r="F500" s="917">
        <v>0.46763947494124564</v>
      </c>
    </row>
    <row r="501" spans="1:6" x14ac:dyDescent="0.2">
      <c r="A501" s="916" t="s">
        <v>1355</v>
      </c>
      <c r="B501" s="919"/>
      <c r="C501" s="913"/>
      <c r="D501" s="913"/>
      <c r="E501" s="913"/>
      <c r="F501" s="917"/>
    </row>
    <row r="502" spans="1:6" x14ac:dyDescent="0.2">
      <c r="A502" s="918" t="s">
        <v>27</v>
      </c>
      <c r="B502" s="919">
        <v>42335</v>
      </c>
      <c r="C502" s="913">
        <v>764100</v>
      </c>
      <c r="D502" s="913">
        <v>764100</v>
      </c>
      <c r="E502" s="913">
        <v>0</v>
      </c>
      <c r="F502" s="917">
        <v>1</v>
      </c>
    </row>
    <row r="503" spans="1:6" x14ac:dyDescent="0.2">
      <c r="A503" s="916" t="s">
        <v>1357</v>
      </c>
      <c r="B503" s="919"/>
      <c r="C503" s="913"/>
      <c r="D503" s="913"/>
      <c r="E503" s="913"/>
      <c r="F503" s="917"/>
    </row>
    <row r="504" spans="1:6" x14ac:dyDescent="0.2">
      <c r="A504" s="918" t="s">
        <v>1358</v>
      </c>
      <c r="B504" s="919">
        <v>42208</v>
      </c>
      <c r="C504" s="913">
        <v>162856033</v>
      </c>
      <c r="D504" s="913">
        <v>20799042</v>
      </c>
      <c r="E504" s="913">
        <v>142056991</v>
      </c>
      <c r="F504" s="917">
        <v>0.12771428615113078</v>
      </c>
    </row>
    <row r="505" spans="1:6" x14ac:dyDescent="0.2">
      <c r="A505" s="916" t="s">
        <v>1360</v>
      </c>
      <c r="B505" s="919"/>
      <c r="C505" s="913"/>
      <c r="D505" s="913"/>
      <c r="E505" s="913"/>
      <c r="F505" s="917"/>
    </row>
    <row r="506" spans="1:6" x14ac:dyDescent="0.2">
      <c r="A506" s="918" t="s">
        <v>1361</v>
      </c>
      <c r="B506" s="919">
        <v>42334</v>
      </c>
      <c r="C506" s="913">
        <v>27235640</v>
      </c>
      <c r="D506" s="913">
        <v>17369840</v>
      </c>
      <c r="E506" s="913">
        <v>9865800</v>
      </c>
      <c r="F506" s="917">
        <v>0.63776140380765789</v>
      </c>
    </row>
    <row r="507" spans="1:6" x14ac:dyDescent="0.2">
      <c r="A507" s="916" t="s">
        <v>1367</v>
      </c>
      <c r="B507" s="919"/>
      <c r="C507" s="913"/>
      <c r="D507" s="913"/>
      <c r="E507" s="913"/>
      <c r="F507" s="917"/>
    </row>
    <row r="508" spans="1:6" x14ac:dyDescent="0.2">
      <c r="A508" s="918" t="s">
        <v>1368</v>
      </c>
      <c r="B508" s="919">
        <v>42504</v>
      </c>
      <c r="C508" s="913">
        <v>39999999</v>
      </c>
      <c r="D508" s="913">
        <v>39999998</v>
      </c>
      <c r="E508" s="913">
        <v>1</v>
      </c>
      <c r="F508" s="917">
        <v>0.99999997499999937</v>
      </c>
    </row>
    <row r="509" spans="1:6" x14ac:dyDescent="0.2">
      <c r="A509" s="916" t="s">
        <v>1365</v>
      </c>
      <c r="B509" s="919"/>
      <c r="C509" s="913"/>
      <c r="D509" s="913"/>
      <c r="E509" s="913"/>
      <c r="F509" s="917"/>
    </row>
    <row r="510" spans="1:6" x14ac:dyDescent="0.2">
      <c r="A510" s="918" t="s">
        <v>1537</v>
      </c>
      <c r="B510" s="919">
        <v>42063</v>
      </c>
      <c r="C510" s="913">
        <v>17664500</v>
      </c>
      <c r="D510" s="913">
        <v>17664500</v>
      </c>
      <c r="E510" s="913">
        <v>0</v>
      </c>
      <c r="F510" s="917">
        <v>1</v>
      </c>
    </row>
    <row r="511" spans="1:6" x14ac:dyDescent="0.2">
      <c r="A511" s="916" t="s">
        <v>1420</v>
      </c>
      <c r="B511" s="919"/>
      <c r="C511" s="913"/>
      <c r="D511" s="913"/>
      <c r="E511" s="913"/>
      <c r="F511" s="917"/>
    </row>
    <row r="512" spans="1:6" x14ac:dyDescent="0.2">
      <c r="A512" s="918" t="s">
        <v>1421</v>
      </c>
      <c r="B512" s="919">
        <v>42060</v>
      </c>
      <c r="C512" s="913">
        <v>4750000</v>
      </c>
      <c r="D512" s="913">
        <v>3978684</v>
      </c>
      <c r="E512" s="913">
        <v>771316</v>
      </c>
      <c r="F512" s="917">
        <v>0.83761768421052629</v>
      </c>
    </row>
    <row r="513" spans="1:6" x14ac:dyDescent="0.2">
      <c r="A513" s="916" t="s">
        <v>1425</v>
      </c>
      <c r="B513" s="919"/>
      <c r="C513" s="913"/>
      <c r="D513" s="913"/>
      <c r="E513" s="913"/>
      <c r="F513" s="917"/>
    </row>
    <row r="514" spans="1:6" x14ac:dyDescent="0.2">
      <c r="A514" s="918" t="s">
        <v>428</v>
      </c>
      <c r="B514" s="919">
        <v>42205</v>
      </c>
      <c r="C514" s="913">
        <v>668707669</v>
      </c>
      <c r="D514" s="913">
        <v>665337830</v>
      </c>
      <c r="E514" s="913">
        <v>3369839</v>
      </c>
      <c r="F514" s="917">
        <v>0.99496066942818329</v>
      </c>
    </row>
    <row r="515" spans="1:6" x14ac:dyDescent="0.2">
      <c r="A515" s="916" t="s">
        <v>1475</v>
      </c>
      <c r="B515" s="919"/>
      <c r="C515" s="913"/>
      <c r="D515" s="913"/>
      <c r="E515" s="913"/>
      <c r="F515" s="917"/>
    </row>
    <row r="516" spans="1:6" x14ac:dyDescent="0.2">
      <c r="A516" s="918" t="s">
        <v>64</v>
      </c>
      <c r="B516" s="919">
        <v>42335</v>
      </c>
      <c r="C516" s="913">
        <v>401058400</v>
      </c>
      <c r="D516" s="913">
        <v>401058400</v>
      </c>
      <c r="E516" s="913">
        <v>0</v>
      </c>
      <c r="F516" s="917">
        <v>1</v>
      </c>
    </row>
    <row r="517" spans="1:6" x14ac:dyDescent="0.2">
      <c r="A517" s="916" t="s">
        <v>1478</v>
      </c>
      <c r="B517" s="919"/>
      <c r="C517" s="913"/>
      <c r="D517" s="913"/>
      <c r="E517" s="913"/>
      <c r="F517" s="917"/>
    </row>
    <row r="518" spans="1:6" x14ac:dyDescent="0.2">
      <c r="A518" s="918" t="s">
        <v>3</v>
      </c>
      <c r="B518" s="919">
        <v>42063</v>
      </c>
      <c r="C518" s="913">
        <v>171253333</v>
      </c>
      <c r="D518" s="913">
        <v>123537109</v>
      </c>
      <c r="E518" s="913">
        <v>47716224</v>
      </c>
      <c r="F518" s="917">
        <v>0.72137053823063402</v>
      </c>
    </row>
    <row r="519" spans="1:6" x14ac:dyDescent="0.2">
      <c r="A519" s="916" t="s">
        <v>1486</v>
      </c>
      <c r="B519" s="919"/>
      <c r="C519" s="913"/>
      <c r="D519" s="913"/>
      <c r="E519" s="913"/>
      <c r="F519" s="917"/>
    </row>
    <row r="520" spans="1:6" x14ac:dyDescent="0.2">
      <c r="A520" s="918" t="s">
        <v>1599</v>
      </c>
      <c r="B520" s="919">
        <v>42044</v>
      </c>
      <c r="C520" s="913">
        <v>12700000</v>
      </c>
      <c r="D520" s="913">
        <v>12458400</v>
      </c>
      <c r="E520" s="913">
        <v>241600</v>
      </c>
      <c r="F520" s="917">
        <v>0.98097637795275594</v>
      </c>
    </row>
    <row r="521" spans="1:6" x14ac:dyDescent="0.2">
      <c r="A521" s="916" t="s">
        <v>1482</v>
      </c>
      <c r="B521" s="919"/>
      <c r="C521" s="913"/>
      <c r="D521" s="913"/>
      <c r="E521" s="913"/>
      <c r="F521" s="917"/>
    </row>
    <row r="522" spans="1:6" x14ac:dyDescent="0.2">
      <c r="A522" s="918" t="s">
        <v>1483</v>
      </c>
      <c r="B522" s="919">
        <v>42013</v>
      </c>
      <c r="C522" s="913">
        <v>39424000</v>
      </c>
      <c r="D522" s="913">
        <v>39424000</v>
      </c>
      <c r="E522" s="913">
        <v>0</v>
      </c>
      <c r="F522" s="917">
        <v>1</v>
      </c>
    </row>
    <row r="523" spans="1:6" x14ac:dyDescent="0.2">
      <c r="A523" s="916" t="s">
        <v>1498</v>
      </c>
      <c r="B523" s="919"/>
      <c r="C523" s="913"/>
      <c r="D523" s="913"/>
      <c r="E523" s="913"/>
      <c r="F523" s="917"/>
    </row>
    <row r="524" spans="1:6" x14ac:dyDescent="0.2">
      <c r="A524" s="918" t="s">
        <v>418</v>
      </c>
      <c r="B524" s="919">
        <v>42102</v>
      </c>
      <c r="C524" s="913">
        <v>187940000</v>
      </c>
      <c r="D524" s="913">
        <v>187940000</v>
      </c>
      <c r="E524" s="913">
        <v>0</v>
      </c>
      <c r="F524" s="917">
        <v>1</v>
      </c>
    </row>
    <row r="525" spans="1:6" x14ac:dyDescent="0.2">
      <c r="A525" s="916" t="s">
        <v>1492</v>
      </c>
      <c r="B525" s="919"/>
      <c r="C525" s="913"/>
      <c r="D525" s="913"/>
      <c r="E525" s="913"/>
      <c r="F525" s="917"/>
    </row>
    <row r="526" spans="1:6" x14ac:dyDescent="0.2">
      <c r="A526" s="918" t="s">
        <v>1493</v>
      </c>
      <c r="B526" s="919">
        <v>42140</v>
      </c>
      <c r="C526" s="913">
        <v>300000000</v>
      </c>
      <c r="D526" s="913">
        <v>238626484</v>
      </c>
      <c r="E526" s="913">
        <v>61373516</v>
      </c>
      <c r="F526" s="917">
        <v>0.79542161333333339</v>
      </c>
    </row>
    <row r="527" spans="1:6" x14ac:dyDescent="0.2">
      <c r="A527" s="916" t="s">
        <v>1495</v>
      </c>
      <c r="B527" s="919"/>
      <c r="C527" s="913"/>
      <c r="D527" s="913"/>
      <c r="E527" s="913"/>
      <c r="F527" s="917"/>
    </row>
    <row r="528" spans="1:6" x14ac:dyDescent="0.2">
      <c r="A528" s="918" t="s">
        <v>1421</v>
      </c>
      <c r="B528" s="919">
        <v>42109</v>
      </c>
      <c r="C528" s="913">
        <v>29997466</v>
      </c>
      <c r="D528" s="913">
        <v>29997466</v>
      </c>
      <c r="E528" s="913">
        <v>0</v>
      </c>
      <c r="F528" s="917">
        <v>1</v>
      </c>
    </row>
    <row r="529" spans="1:6" x14ac:dyDescent="0.2">
      <c r="A529" s="916" t="s">
        <v>1502</v>
      </c>
      <c r="B529" s="919"/>
      <c r="C529" s="913"/>
      <c r="D529" s="913"/>
      <c r="E529" s="913"/>
      <c r="F529" s="917"/>
    </row>
    <row r="530" spans="1:6" x14ac:dyDescent="0.2">
      <c r="A530" s="918" t="s">
        <v>1503</v>
      </c>
      <c r="B530" s="919">
        <v>42279</v>
      </c>
      <c r="C530" s="913">
        <v>1624000</v>
      </c>
      <c r="D530" s="913">
        <v>0</v>
      </c>
      <c r="E530" s="913">
        <v>1624000</v>
      </c>
      <c r="F530" s="917">
        <v>0</v>
      </c>
    </row>
    <row r="531" spans="1:6" x14ac:dyDescent="0.2">
      <c r="A531" s="916" t="s">
        <v>1517</v>
      </c>
      <c r="B531" s="919"/>
      <c r="C531" s="913"/>
      <c r="D531" s="913"/>
      <c r="E531" s="913"/>
      <c r="F531" s="917"/>
    </row>
    <row r="532" spans="1:6" x14ac:dyDescent="0.2">
      <c r="A532" s="918" t="s">
        <v>1518</v>
      </c>
      <c r="B532" s="919">
        <v>42348</v>
      </c>
      <c r="C532" s="913">
        <v>64621280</v>
      </c>
      <c r="D532" s="913">
        <v>64621280</v>
      </c>
      <c r="E532" s="913">
        <v>0</v>
      </c>
      <c r="F532" s="917">
        <v>1</v>
      </c>
    </row>
    <row r="533" spans="1:6" x14ac:dyDescent="0.2">
      <c r="A533" s="916" t="s">
        <v>1526</v>
      </c>
      <c r="B533" s="919"/>
      <c r="C533" s="913"/>
      <c r="D533" s="913"/>
      <c r="E533" s="913"/>
      <c r="F533" s="917"/>
    </row>
    <row r="534" spans="1:6" x14ac:dyDescent="0.2">
      <c r="A534" s="918" t="s">
        <v>1361</v>
      </c>
      <c r="B534" s="919">
        <v>42383</v>
      </c>
      <c r="C534" s="913">
        <v>137450000</v>
      </c>
      <c r="D534" s="913">
        <v>137449999</v>
      </c>
      <c r="E534" s="913">
        <v>1</v>
      </c>
      <c r="F534" s="917">
        <v>0.99999999272462714</v>
      </c>
    </row>
    <row r="535" spans="1:6" x14ac:dyDescent="0.2">
      <c r="A535" s="916" t="s">
        <v>1530</v>
      </c>
      <c r="B535" s="919"/>
      <c r="C535" s="913"/>
      <c r="D535" s="913"/>
      <c r="E535" s="913"/>
      <c r="F535" s="917"/>
    </row>
    <row r="536" spans="1:6" x14ac:dyDescent="0.2">
      <c r="A536" s="918" t="s">
        <v>1531</v>
      </c>
      <c r="B536" s="919">
        <v>42338</v>
      </c>
      <c r="C536" s="913">
        <v>309210000</v>
      </c>
      <c r="D536" s="913">
        <v>309210000</v>
      </c>
      <c r="E536" s="913">
        <v>0</v>
      </c>
      <c r="F536" s="917">
        <v>1</v>
      </c>
    </row>
    <row r="537" spans="1:6" x14ac:dyDescent="0.2">
      <c r="A537" s="916" t="s">
        <v>1538</v>
      </c>
      <c r="B537" s="919"/>
      <c r="C537" s="913"/>
      <c r="D537" s="913"/>
      <c r="E537" s="913"/>
      <c r="F537" s="917"/>
    </row>
    <row r="538" spans="1:6" x14ac:dyDescent="0.2">
      <c r="A538" s="918" t="s">
        <v>2025</v>
      </c>
      <c r="B538" s="919">
        <v>42396</v>
      </c>
      <c r="C538" s="913">
        <v>84000000</v>
      </c>
      <c r="D538" s="913">
        <v>84000000</v>
      </c>
      <c r="E538" s="913">
        <v>0</v>
      </c>
      <c r="F538" s="917">
        <v>1</v>
      </c>
    </row>
    <row r="539" spans="1:6" x14ac:dyDescent="0.2">
      <c r="A539" s="916" t="s">
        <v>1539</v>
      </c>
      <c r="B539" s="919"/>
      <c r="C539" s="913"/>
      <c r="D539" s="913"/>
      <c r="E539" s="913"/>
      <c r="F539" s="917"/>
    </row>
    <row r="540" spans="1:6" x14ac:dyDescent="0.2">
      <c r="A540" s="918" t="s">
        <v>1540</v>
      </c>
      <c r="B540" s="919">
        <v>42423</v>
      </c>
      <c r="C540" s="913">
        <v>4961088</v>
      </c>
      <c r="D540" s="913">
        <v>0</v>
      </c>
      <c r="E540" s="913">
        <v>4961088</v>
      </c>
      <c r="F540" s="917">
        <v>0</v>
      </c>
    </row>
    <row r="541" spans="1:6" x14ac:dyDescent="0.2">
      <c r="A541" s="916" t="s">
        <v>1542</v>
      </c>
      <c r="B541" s="919"/>
      <c r="C541" s="913"/>
      <c r="D541" s="913"/>
      <c r="E541" s="913"/>
      <c r="F541" s="917"/>
    </row>
    <row r="542" spans="1:6" x14ac:dyDescent="0.2">
      <c r="A542" s="918" t="s">
        <v>1543</v>
      </c>
      <c r="B542" s="919">
        <v>42079</v>
      </c>
      <c r="C542" s="913">
        <v>10075000</v>
      </c>
      <c r="D542" s="913">
        <v>10075000</v>
      </c>
      <c r="E542" s="913">
        <v>0</v>
      </c>
      <c r="F542" s="917">
        <v>1</v>
      </c>
    </row>
    <row r="543" spans="1:6" x14ac:dyDescent="0.2">
      <c r="A543" s="916" t="s">
        <v>1545</v>
      </c>
      <c r="B543" s="919"/>
      <c r="C543" s="913"/>
      <c r="D543" s="913"/>
      <c r="E543" s="913"/>
      <c r="F543" s="917"/>
    </row>
    <row r="544" spans="1:6" x14ac:dyDescent="0.2">
      <c r="A544" s="918" t="s">
        <v>1035</v>
      </c>
      <c r="B544" s="919">
        <v>42402</v>
      </c>
      <c r="C544" s="913">
        <v>46068000</v>
      </c>
      <c r="D544" s="913">
        <v>46068000</v>
      </c>
      <c r="E544" s="913">
        <v>0</v>
      </c>
      <c r="F544" s="917">
        <v>1</v>
      </c>
    </row>
    <row r="545" spans="1:6" x14ac:dyDescent="0.2">
      <c r="A545" s="916" t="s">
        <v>1549</v>
      </c>
      <c r="B545" s="919"/>
      <c r="C545" s="913"/>
      <c r="D545" s="913"/>
      <c r="E545" s="913"/>
      <c r="F545" s="917"/>
    </row>
    <row r="546" spans="1:6" x14ac:dyDescent="0.2">
      <c r="A546" s="918" t="s">
        <v>77</v>
      </c>
      <c r="B546" s="919">
        <v>42046</v>
      </c>
      <c r="C546" s="913">
        <v>0</v>
      </c>
      <c r="D546" s="913">
        <v>0</v>
      </c>
      <c r="E546" s="913">
        <v>0</v>
      </c>
      <c r="F546" s="917" t="e">
        <v>#DIV/0!</v>
      </c>
    </row>
    <row r="547" spans="1:6" x14ac:dyDescent="0.2">
      <c r="A547" s="916" t="s">
        <v>1553</v>
      </c>
      <c r="B547" s="919"/>
      <c r="C547" s="913"/>
      <c r="D547" s="913"/>
      <c r="E547" s="913"/>
      <c r="F547" s="917"/>
    </row>
    <row r="548" spans="1:6" x14ac:dyDescent="0.2">
      <c r="A548" s="918" t="s">
        <v>1033</v>
      </c>
      <c r="B548" s="919">
        <v>42410</v>
      </c>
      <c r="C548" s="913">
        <v>60000000</v>
      </c>
      <c r="D548" s="913">
        <v>60000000</v>
      </c>
      <c r="E548" s="913">
        <v>0</v>
      </c>
      <c r="F548" s="917">
        <v>1</v>
      </c>
    </row>
    <row r="549" spans="1:6" x14ac:dyDescent="0.2">
      <c r="A549" s="916" t="s">
        <v>1555</v>
      </c>
      <c r="B549" s="919"/>
      <c r="C549" s="913"/>
      <c r="D549" s="913"/>
      <c r="E549" s="913"/>
      <c r="F549" s="917"/>
    </row>
    <row r="550" spans="1:6" x14ac:dyDescent="0.2">
      <c r="A550" s="918" t="s">
        <v>2018</v>
      </c>
      <c r="B550" s="919">
        <v>42410</v>
      </c>
      <c r="C550" s="913">
        <v>63654000</v>
      </c>
      <c r="D550" s="913">
        <v>30235636</v>
      </c>
      <c r="E550" s="913">
        <v>33418364</v>
      </c>
      <c r="F550" s="917">
        <v>0.47499978006095456</v>
      </c>
    </row>
    <row r="551" spans="1:6" x14ac:dyDescent="0.2">
      <c r="A551" s="916" t="s">
        <v>1557</v>
      </c>
      <c r="B551" s="919"/>
      <c r="C551" s="913"/>
      <c r="D551" s="913"/>
      <c r="E551" s="913"/>
      <c r="F551" s="917"/>
    </row>
    <row r="552" spans="1:6" x14ac:dyDescent="0.2">
      <c r="A552" s="918" t="s">
        <v>1516</v>
      </c>
      <c r="B552" s="919">
        <v>42418</v>
      </c>
      <c r="C552" s="913">
        <v>48000000</v>
      </c>
      <c r="D552" s="913">
        <v>48000000</v>
      </c>
      <c r="E552" s="913">
        <v>0</v>
      </c>
      <c r="F552" s="917">
        <v>1</v>
      </c>
    </row>
    <row r="553" spans="1:6" x14ac:dyDescent="0.2">
      <c r="A553" s="916" t="s">
        <v>1570</v>
      </c>
      <c r="B553" s="919"/>
      <c r="C553" s="913"/>
      <c r="D553" s="913"/>
      <c r="E553" s="913"/>
      <c r="F553" s="917"/>
    </row>
    <row r="554" spans="1:6" x14ac:dyDescent="0.2">
      <c r="A554" s="918" t="s">
        <v>1569</v>
      </c>
      <c r="B554" s="919">
        <v>42419</v>
      </c>
      <c r="C554" s="913">
        <v>63654000</v>
      </c>
      <c r="D554" s="913">
        <v>63654000</v>
      </c>
      <c r="E554" s="913">
        <v>0</v>
      </c>
      <c r="F554" s="917">
        <v>1</v>
      </c>
    </row>
    <row r="555" spans="1:6" x14ac:dyDescent="0.2">
      <c r="A555" s="916" t="s">
        <v>1611</v>
      </c>
      <c r="B555" s="919"/>
      <c r="C555" s="913"/>
      <c r="D555" s="913"/>
      <c r="E555" s="913"/>
      <c r="F555" s="917"/>
    </row>
    <row r="556" spans="1:6" x14ac:dyDescent="0.2">
      <c r="A556" s="918" t="s">
        <v>2393</v>
      </c>
      <c r="B556" s="919">
        <v>42419</v>
      </c>
      <c r="C556" s="913">
        <v>60000000</v>
      </c>
      <c r="D556" s="913">
        <v>60000000</v>
      </c>
      <c r="E556" s="913">
        <v>0</v>
      </c>
      <c r="F556" s="917">
        <v>1</v>
      </c>
    </row>
    <row r="557" spans="1:6" x14ac:dyDescent="0.2">
      <c r="A557" s="916" t="s">
        <v>1560</v>
      </c>
      <c r="B557" s="919"/>
      <c r="C557" s="913"/>
      <c r="D557" s="913"/>
      <c r="E557" s="913"/>
      <c r="F557" s="917"/>
    </row>
    <row r="558" spans="1:6" x14ac:dyDescent="0.2">
      <c r="A558" s="918" t="s">
        <v>1070</v>
      </c>
      <c r="B558" s="919">
        <v>42425</v>
      </c>
      <c r="C558" s="913">
        <v>43260000</v>
      </c>
      <c r="D558" s="913">
        <v>43260000</v>
      </c>
      <c r="E558" s="913">
        <v>0</v>
      </c>
      <c r="F558" s="917">
        <v>1</v>
      </c>
    </row>
    <row r="559" spans="1:6" x14ac:dyDescent="0.2">
      <c r="A559" s="916" t="s">
        <v>1561</v>
      </c>
      <c r="B559" s="919"/>
      <c r="C559" s="913"/>
      <c r="D559" s="913"/>
      <c r="E559" s="913"/>
      <c r="F559" s="917"/>
    </row>
    <row r="560" spans="1:6" x14ac:dyDescent="0.2">
      <c r="A560" s="918" t="s">
        <v>2443</v>
      </c>
      <c r="B560" s="919">
        <v>42530</v>
      </c>
      <c r="C560" s="913">
        <v>63654000</v>
      </c>
      <c r="D560" s="913">
        <v>62769917</v>
      </c>
      <c r="E560" s="913">
        <v>884083</v>
      </c>
      <c r="F560" s="917">
        <v>0.98611111634775506</v>
      </c>
    </row>
    <row r="561" spans="1:6" x14ac:dyDescent="0.2">
      <c r="A561" s="916" t="s">
        <v>1579</v>
      </c>
      <c r="B561" s="919"/>
      <c r="C561" s="913"/>
      <c r="D561" s="913"/>
      <c r="E561" s="913"/>
      <c r="F561" s="917"/>
    </row>
    <row r="562" spans="1:6" x14ac:dyDescent="0.2">
      <c r="A562" s="918" t="s">
        <v>1580</v>
      </c>
      <c r="B562" s="919">
        <v>42431</v>
      </c>
      <c r="C562" s="913">
        <v>30900000</v>
      </c>
      <c r="D562" s="913">
        <v>30814167</v>
      </c>
      <c r="E562" s="913">
        <v>85833</v>
      </c>
      <c r="F562" s="917">
        <v>0.99722223300970869</v>
      </c>
    </row>
    <row r="563" spans="1:6" x14ac:dyDescent="0.2">
      <c r="A563" s="916" t="s">
        <v>1582</v>
      </c>
      <c r="B563" s="919"/>
      <c r="C563" s="913"/>
      <c r="D563" s="913"/>
      <c r="E563" s="913"/>
      <c r="F563" s="917"/>
    </row>
    <row r="564" spans="1:6" x14ac:dyDescent="0.2">
      <c r="A564" s="918" t="s">
        <v>3</v>
      </c>
      <c r="B564" s="919">
        <v>42339</v>
      </c>
      <c r="C564" s="913">
        <v>444600000</v>
      </c>
      <c r="D564" s="913">
        <v>365337152</v>
      </c>
      <c r="E564" s="913">
        <v>79262848</v>
      </c>
      <c r="F564" s="917">
        <v>0.82172098965362128</v>
      </c>
    </row>
    <row r="565" spans="1:6" x14ac:dyDescent="0.2">
      <c r="A565" s="916" t="s">
        <v>1583</v>
      </c>
      <c r="B565" s="919"/>
      <c r="C565" s="913"/>
      <c r="D565" s="913"/>
      <c r="E565" s="913"/>
      <c r="F565" s="917"/>
    </row>
    <row r="566" spans="1:6" x14ac:dyDescent="0.2">
      <c r="A566" s="918" t="s">
        <v>1034</v>
      </c>
      <c r="B566" s="919">
        <v>42439</v>
      </c>
      <c r="C566" s="913">
        <v>38400000</v>
      </c>
      <c r="D566" s="913">
        <v>38400000</v>
      </c>
      <c r="E566" s="913">
        <v>0</v>
      </c>
      <c r="F566" s="917">
        <v>1</v>
      </c>
    </row>
    <row r="567" spans="1:6" x14ac:dyDescent="0.2">
      <c r="A567" s="916" t="s">
        <v>1584</v>
      </c>
      <c r="B567" s="919"/>
      <c r="C567" s="913"/>
      <c r="D567" s="913"/>
      <c r="E567" s="913"/>
      <c r="F567" s="917"/>
    </row>
    <row r="568" spans="1:6" x14ac:dyDescent="0.2">
      <c r="A568" s="918" t="s">
        <v>1585</v>
      </c>
      <c r="B568" s="919">
        <v>42432</v>
      </c>
      <c r="C568" s="913">
        <v>78000000</v>
      </c>
      <c r="D568" s="913">
        <v>78000000</v>
      </c>
      <c r="E568" s="913">
        <v>0</v>
      </c>
      <c r="F568" s="917">
        <v>1</v>
      </c>
    </row>
    <row r="569" spans="1:6" x14ac:dyDescent="0.2">
      <c r="A569" s="916" t="s">
        <v>1587</v>
      </c>
      <c r="B569" s="919"/>
      <c r="C569" s="913"/>
      <c r="D569" s="913"/>
      <c r="E569" s="913"/>
      <c r="F569" s="917"/>
    </row>
    <row r="570" spans="1:6" x14ac:dyDescent="0.2">
      <c r="A570" s="918" t="s">
        <v>1588</v>
      </c>
      <c r="B570" s="919">
        <v>42439</v>
      </c>
      <c r="C570" s="913">
        <v>30900000</v>
      </c>
      <c r="D570" s="913">
        <v>30900000</v>
      </c>
      <c r="E570" s="913">
        <v>0</v>
      </c>
      <c r="F570" s="917">
        <v>1</v>
      </c>
    </row>
    <row r="571" spans="1:6" x14ac:dyDescent="0.2">
      <c r="A571" s="916" t="s">
        <v>1606</v>
      </c>
      <c r="B571" s="919"/>
      <c r="C571" s="913"/>
      <c r="D571" s="913"/>
      <c r="E571" s="913"/>
      <c r="F571" s="917"/>
    </row>
    <row r="572" spans="1:6" x14ac:dyDescent="0.2">
      <c r="A572" s="918" t="s">
        <v>1339</v>
      </c>
      <c r="B572" s="919">
        <v>42456</v>
      </c>
      <c r="C572" s="913">
        <v>150000000</v>
      </c>
      <c r="D572" s="913">
        <v>150000000</v>
      </c>
      <c r="E572" s="913">
        <v>0</v>
      </c>
      <c r="F572" s="917">
        <v>1</v>
      </c>
    </row>
    <row r="573" spans="1:6" x14ac:dyDescent="0.2">
      <c r="A573" s="916" t="s">
        <v>1595</v>
      </c>
      <c r="B573" s="919"/>
      <c r="C573" s="913"/>
      <c r="D573" s="913"/>
      <c r="E573" s="913"/>
      <c r="F573" s="917"/>
    </row>
    <row r="574" spans="1:6" x14ac:dyDescent="0.2">
      <c r="A574" s="918" t="s">
        <v>1031</v>
      </c>
      <c r="B574" s="919">
        <v>42241</v>
      </c>
      <c r="C574" s="913">
        <v>4100000</v>
      </c>
      <c r="D574" s="913">
        <v>4100000</v>
      </c>
      <c r="E574" s="913">
        <v>0</v>
      </c>
      <c r="F574" s="917">
        <v>1</v>
      </c>
    </row>
    <row r="575" spans="1:6" x14ac:dyDescent="0.2">
      <c r="A575" s="916" t="s">
        <v>1597</v>
      </c>
      <c r="B575" s="919"/>
      <c r="C575" s="913"/>
      <c r="D575" s="913"/>
      <c r="E575" s="913"/>
      <c r="F575" s="917"/>
    </row>
    <row r="576" spans="1:6" x14ac:dyDescent="0.2">
      <c r="A576" s="918" t="s">
        <v>86</v>
      </c>
      <c r="B576" s="919">
        <v>42447</v>
      </c>
      <c r="C576" s="913">
        <v>1226994</v>
      </c>
      <c r="D576" s="913">
        <v>1226994</v>
      </c>
      <c r="E576" s="913">
        <v>0</v>
      </c>
      <c r="F576" s="917">
        <v>1</v>
      </c>
    </row>
    <row r="577" spans="1:6" x14ac:dyDescent="0.2">
      <c r="A577" s="916" t="s">
        <v>1601</v>
      </c>
      <c r="B577" s="919"/>
      <c r="C577" s="913"/>
      <c r="D577" s="913"/>
      <c r="E577" s="913"/>
      <c r="F577" s="917"/>
    </row>
    <row r="578" spans="1:6" x14ac:dyDescent="0.2">
      <c r="A578" s="918" t="s">
        <v>1602</v>
      </c>
      <c r="B578" s="919">
        <v>42348</v>
      </c>
      <c r="C578" s="913">
        <v>334080000</v>
      </c>
      <c r="D578" s="913">
        <v>334080000</v>
      </c>
      <c r="E578" s="913">
        <v>0</v>
      </c>
      <c r="F578" s="917">
        <v>1</v>
      </c>
    </row>
    <row r="579" spans="1:6" x14ac:dyDescent="0.2">
      <c r="A579" s="916" t="s">
        <v>1613</v>
      </c>
      <c r="B579" s="919"/>
      <c r="C579" s="913"/>
      <c r="D579" s="913"/>
      <c r="E579" s="913"/>
      <c r="F579" s="917"/>
    </row>
    <row r="580" spans="1:6" x14ac:dyDescent="0.2">
      <c r="A580" s="918" t="s">
        <v>1614</v>
      </c>
      <c r="B580" s="919">
        <v>42477</v>
      </c>
      <c r="C580" s="913">
        <v>7442000</v>
      </c>
      <c r="D580" s="913">
        <v>2788000</v>
      </c>
      <c r="E580" s="913">
        <v>4654000</v>
      </c>
      <c r="F580" s="917">
        <v>0.37463047567858104</v>
      </c>
    </row>
    <row r="581" spans="1:6" x14ac:dyDescent="0.2">
      <c r="A581" s="916" t="s">
        <v>1618</v>
      </c>
      <c r="B581" s="919"/>
      <c r="C581" s="913"/>
      <c r="D581" s="913"/>
      <c r="E581" s="913"/>
      <c r="F581" s="917"/>
    </row>
    <row r="582" spans="1:6" x14ac:dyDescent="0.2">
      <c r="A582" s="918" t="s">
        <v>144</v>
      </c>
      <c r="B582" s="919">
        <v>42582</v>
      </c>
      <c r="C582" s="913">
        <v>559200000</v>
      </c>
      <c r="D582" s="913">
        <v>559200000</v>
      </c>
      <c r="E582" s="913">
        <v>0</v>
      </c>
      <c r="F582" s="917">
        <v>1</v>
      </c>
    </row>
    <row r="583" spans="1:6" x14ac:dyDescent="0.2">
      <c r="A583" s="916" t="s">
        <v>1623</v>
      </c>
      <c r="B583" s="919"/>
      <c r="C583" s="913"/>
      <c r="D583" s="913"/>
      <c r="E583" s="913"/>
      <c r="F583" s="917"/>
    </row>
    <row r="584" spans="1:6" x14ac:dyDescent="0.2">
      <c r="A584" s="918" t="s">
        <v>1624</v>
      </c>
      <c r="B584" s="919">
        <v>42487</v>
      </c>
      <c r="C584" s="913">
        <v>3035520</v>
      </c>
      <c r="D584" s="913">
        <v>2009011</v>
      </c>
      <c r="E584" s="913">
        <v>1026509</v>
      </c>
      <c r="F584" s="917">
        <v>0.66183421621336702</v>
      </c>
    </row>
    <row r="585" spans="1:6" x14ac:dyDescent="0.2">
      <c r="A585" s="916" t="s">
        <v>1628</v>
      </c>
      <c r="B585" s="919"/>
      <c r="C585" s="913"/>
      <c r="D585" s="913"/>
      <c r="E585" s="913"/>
      <c r="F585" s="917"/>
    </row>
    <row r="586" spans="1:6" x14ac:dyDescent="0.2">
      <c r="A586" s="918" t="s">
        <v>1629</v>
      </c>
      <c r="B586" s="919">
        <v>42451</v>
      </c>
      <c r="C586" s="913">
        <v>4721200</v>
      </c>
      <c r="D586" s="913">
        <v>4721200</v>
      </c>
      <c r="E586" s="913">
        <v>0</v>
      </c>
      <c r="F586" s="917">
        <v>1</v>
      </c>
    </row>
    <row r="587" spans="1:6" x14ac:dyDescent="0.2">
      <c r="A587" s="916" t="s">
        <v>1633</v>
      </c>
      <c r="B587" s="919"/>
      <c r="C587" s="913"/>
      <c r="D587" s="913"/>
      <c r="E587" s="913"/>
      <c r="F587" s="917"/>
    </row>
    <row r="588" spans="1:6" x14ac:dyDescent="0.2">
      <c r="A588" s="918" t="s">
        <v>1025</v>
      </c>
      <c r="B588" s="919">
        <v>42482</v>
      </c>
      <c r="C588" s="913">
        <v>28000000</v>
      </c>
      <c r="D588" s="913">
        <v>27999337</v>
      </c>
      <c r="E588" s="913">
        <v>663</v>
      </c>
      <c r="F588" s="917">
        <v>0.9999763214285714</v>
      </c>
    </row>
    <row r="589" spans="1:6" x14ac:dyDescent="0.2">
      <c r="A589" s="916" t="s">
        <v>1639</v>
      </c>
      <c r="B589" s="919"/>
      <c r="C589" s="913"/>
      <c r="D589" s="913"/>
      <c r="E589" s="913"/>
      <c r="F589" s="917"/>
    </row>
    <row r="590" spans="1:6" x14ac:dyDescent="0.2">
      <c r="A590" s="918" t="s">
        <v>1640</v>
      </c>
      <c r="B590" s="919">
        <v>42468</v>
      </c>
      <c r="C590" s="913">
        <v>4174276985</v>
      </c>
      <c r="D590" s="913">
        <v>3756849288</v>
      </c>
      <c r="E590" s="913">
        <v>417427697</v>
      </c>
      <c r="F590" s="917">
        <v>0.90000000035934369</v>
      </c>
    </row>
    <row r="591" spans="1:6" x14ac:dyDescent="0.2">
      <c r="A591" s="916" t="s">
        <v>1642</v>
      </c>
      <c r="B591" s="919"/>
      <c r="C591" s="913"/>
      <c r="D591" s="913"/>
      <c r="E591" s="913"/>
      <c r="F591" s="917"/>
    </row>
    <row r="592" spans="1:6" x14ac:dyDescent="0.2">
      <c r="A592" s="918" t="s">
        <v>53</v>
      </c>
      <c r="B592" s="919">
        <v>42531</v>
      </c>
      <c r="C592" s="913">
        <v>41620000</v>
      </c>
      <c r="D592" s="913">
        <v>35165145</v>
      </c>
      <c r="E592" s="913">
        <v>6454855</v>
      </c>
      <c r="F592" s="917">
        <v>0.84490977895242669</v>
      </c>
    </row>
    <row r="593" spans="1:6" x14ac:dyDescent="0.2">
      <c r="A593" s="916" t="s">
        <v>1746</v>
      </c>
      <c r="B593" s="919"/>
      <c r="C593" s="913"/>
      <c r="D593" s="913"/>
      <c r="E593" s="913"/>
      <c r="F593" s="917"/>
    </row>
    <row r="594" spans="1:6" x14ac:dyDescent="0.2">
      <c r="A594" s="918" t="s">
        <v>284</v>
      </c>
      <c r="B594" s="919">
        <v>42510</v>
      </c>
      <c r="C594" s="913">
        <v>33500000</v>
      </c>
      <c r="D594" s="913">
        <v>28680629</v>
      </c>
      <c r="E594" s="913">
        <v>4819371</v>
      </c>
      <c r="F594" s="917">
        <v>0.85613817910447765</v>
      </c>
    </row>
    <row r="595" spans="1:6" x14ac:dyDescent="0.2">
      <c r="A595" s="916" t="s">
        <v>1751</v>
      </c>
      <c r="B595" s="919"/>
      <c r="C595" s="913"/>
      <c r="D595" s="913"/>
      <c r="E595" s="913"/>
      <c r="F595" s="917"/>
    </row>
    <row r="596" spans="1:6" x14ac:dyDescent="0.2">
      <c r="A596" s="918" t="s">
        <v>1752</v>
      </c>
      <c r="B596" s="919">
        <v>42258</v>
      </c>
      <c r="C596" s="913">
        <v>12975945</v>
      </c>
      <c r="D596" s="913">
        <v>12975945</v>
      </c>
      <c r="E596" s="913">
        <v>0</v>
      </c>
      <c r="F596" s="917">
        <v>1</v>
      </c>
    </row>
    <row r="597" spans="1:6" x14ac:dyDescent="0.2">
      <c r="A597" s="916" t="s">
        <v>1758</v>
      </c>
      <c r="B597" s="919"/>
      <c r="C597" s="913"/>
      <c r="D597" s="913"/>
      <c r="E597" s="913"/>
      <c r="F597" s="917"/>
    </row>
    <row r="598" spans="1:6" x14ac:dyDescent="0.2">
      <c r="A598" s="918" t="s">
        <v>1759</v>
      </c>
      <c r="B598" s="919">
        <v>42532</v>
      </c>
      <c r="C598" s="913">
        <v>11000000</v>
      </c>
      <c r="D598" s="913">
        <v>4179537</v>
      </c>
      <c r="E598" s="913">
        <v>6820463</v>
      </c>
      <c r="F598" s="917">
        <v>0.3799579090909091</v>
      </c>
    </row>
    <row r="599" spans="1:6" x14ac:dyDescent="0.2">
      <c r="A599" s="916" t="s">
        <v>1764</v>
      </c>
      <c r="B599" s="919"/>
      <c r="C599" s="913"/>
      <c r="D599" s="913"/>
      <c r="E599" s="913"/>
      <c r="F599" s="917"/>
    </row>
    <row r="600" spans="1:6" x14ac:dyDescent="0.2">
      <c r="A600" s="918" t="s">
        <v>290</v>
      </c>
      <c r="B600" s="919">
        <v>42147</v>
      </c>
      <c r="C600" s="913">
        <v>10514762</v>
      </c>
      <c r="D600" s="913">
        <v>10514762</v>
      </c>
      <c r="E600" s="913">
        <v>0</v>
      </c>
      <c r="F600" s="917">
        <v>1</v>
      </c>
    </row>
    <row r="601" spans="1:6" x14ac:dyDescent="0.2">
      <c r="A601" s="916" t="s">
        <v>1979</v>
      </c>
      <c r="B601" s="919"/>
      <c r="C601" s="913"/>
      <c r="D601" s="913"/>
      <c r="E601" s="913"/>
      <c r="F601" s="917"/>
    </row>
    <row r="602" spans="1:6" x14ac:dyDescent="0.2">
      <c r="A602" s="918" t="s">
        <v>272</v>
      </c>
      <c r="B602" s="919">
        <v>42515</v>
      </c>
      <c r="C602" s="913">
        <v>5874000</v>
      </c>
      <c r="D602" s="913">
        <v>4940614</v>
      </c>
      <c r="E602" s="913">
        <v>933386</v>
      </c>
      <c r="F602" s="917">
        <v>0.84109874021109976</v>
      </c>
    </row>
    <row r="603" spans="1:6" x14ac:dyDescent="0.2">
      <c r="A603" s="916" t="s">
        <v>1859</v>
      </c>
      <c r="B603" s="919"/>
      <c r="C603" s="913"/>
      <c r="D603" s="913"/>
      <c r="E603" s="913"/>
      <c r="F603" s="917"/>
    </row>
    <row r="604" spans="1:6" x14ac:dyDescent="0.2">
      <c r="A604" s="918" t="s">
        <v>1860</v>
      </c>
      <c r="B604" s="919">
        <v>42454</v>
      </c>
      <c r="C604" s="913">
        <v>18836508</v>
      </c>
      <c r="D604" s="913">
        <v>18291633</v>
      </c>
      <c r="E604" s="913">
        <v>544875</v>
      </c>
      <c r="F604" s="917">
        <v>0.97107346011267059</v>
      </c>
    </row>
    <row r="605" spans="1:6" x14ac:dyDescent="0.2">
      <c r="A605" s="916" t="s">
        <v>1862</v>
      </c>
      <c r="B605" s="919"/>
      <c r="C605" s="913"/>
      <c r="D605" s="913"/>
      <c r="E605" s="913"/>
      <c r="F605" s="917"/>
    </row>
    <row r="606" spans="1:6" x14ac:dyDescent="0.2">
      <c r="A606" s="918" t="s">
        <v>203</v>
      </c>
      <c r="B606" s="919">
        <v>42236</v>
      </c>
      <c r="C606" s="913">
        <v>7714000</v>
      </c>
      <c r="D606" s="913">
        <v>7714000</v>
      </c>
      <c r="E606" s="913">
        <v>0</v>
      </c>
      <c r="F606" s="917">
        <v>1</v>
      </c>
    </row>
    <row r="607" spans="1:6" x14ac:dyDescent="0.2">
      <c r="A607" s="916" t="s">
        <v>1872</v>
      </c>
      <c r="B607" s="919"/>
      <c r="C607" s="913"/>
      <c r="D607" s="913"/>
      <c r="E607" s="913"/>
      <c r="F607" s="917"/>
    </row>
    <row r="608" spans="1:6" x14ac:dyDescent="0.2">
      <c r="A608" s="918" t="s">
        <v>1873</v>
      </c>
      <c r="B608" s="919">
        <v>42455</v>
      </c>
      <c r="C608" s="913">
        <v>2000000</v>
      </c>
      <c r="D608" s="913">
        <v>824760</v>
      </c>
      <c r="E608" s="913">
        <v>1175240</v>
      </c>
      <c r="F608" s="917">
        <v>0.41238000000000002</v>
      </c>
    </row>
    <row r="609" spans="1:6" x14ac:dyDescent="0.2">
      <c r="A609" s="916" t="s">
        <v>1878</v>
      </c>
      <c r="B609" s="919"/>
      <c r="C609" s="913"/>
      <c r="D609" s="913"/>
      <c r="E609" s="913"/>
      <c r="F609" s="917"/>
    </row>
    <row r="610" spans="1:6" x14ac:dyDescent="0.2">
      <c r="A610" s="918" t="s">
        <v>1879</v>
      </c>
      <c r="B610" s="919">
        <v>42582</v>
      </c>
      <c r="C610" s="913">
        <v>566000000</v>
      </c>
      <c r="D610" s="913">
        <v>429459129</v>
      </c>
      <c r="E610" s="913">
        <v>136540871</v>
      </c>
      <c r="F610" s="917">
        <v>0.75876171201413423</v>
      </c>
    </row>
    <row r="611" spans="1:6" x14ac:dyDescent="0.2">
      <c r="A611" s="916" t="s">
        <v>1883</v>
      </c>
      <c r="B611" s="919"/>
      <c r="C611" s="913"/>
      <c r="D611" s="913"/>
      <c r="E611" s="913"/>
      <c r="F611" s="917"/>
    </row>
    <row r="612" spans="1:6" x14ac:dyDescent="0.2">
      <c r="A612" s="918" t="s">
        <v>1884</v>
      </c>
      <c r="B612" s="919">
        <v>42413</v>
      </c>
      <c r="C612" s="913">
        <v>18000000</v>
      </c>
      <c r="D612" s="913">
        <v>18000000</v>
      </c>
      <c r="E612" s="913">
        <v>0</v>
      </c>
      <c r="F612" s="917">
        <v>1</v>
      </c>
    </row>
    <row r="613" spans="1:6" x14ac:dyDescent="0.2">
      <c r="A613" s="916" t="s">
        <v>1891</v>
      </c>
      <c r="B613" s="919"/>
      <c r="C613" s="913"/>
      <c r="D613" s="913"/>
      <c r="E613" s="913"/>
      <c r="F613" s="917"/>
    </row>
    <row r="614" spans="1:6" x14ac:dyDescent="0.2">
      <c r="A614" s="918" t="s">
        <v>1112</v>
      </c>
      <c r="B614" s="919">
        <v>42450</v>
      </c>
      <c r="C614" s="913">
        <v>1433352777</v>
      </c>
      <c r="D614" s="913">
        <v>1433352777</v>
      </c>
      <c r="E614" s="913">
        <v>0</v>
      </c>
      <c r="F614" s="917">
        <v>1</v>
      </c>
    </row>
    <row r="615" spans="1:6" x14ac:dyDescent="0.2">
      <c r="A615" s="916" t="s">
        <v>1895</v>
      </c>
      <c r="B615" s="919"/>
      <c r="C615" s="913"/>
      <c r="D615" s="913"/>
      <c r="E615" s="913"/>
      <c r="F615" s="917"/>
    </row>
    <row r="616" spans="1:6" x14ac:dyDescent="0.2">
      <c r="A616" s="918" t="s">
        <v>1896</v>
      </c>
      <c r="B616" s="919">
        <v>42511</v>
      </c>
      <c r="C616" s="913">
        <v>7800000</v>
      </c>
      <c r="D616" s="913">
        <v>7800000</v>
      </c>
      <c r="E616" s="913">
        <v>0</v>
      </c>
      <c r="F616" s="917">
        <v>1</v>
      </c>
    </row>
    <row r="617" spans="1:6" x14ac:dyDescent="0.2">
      <c r="A617" s="916" t="s">
        <v>1908</v>
      </c>
      <c r="B617" s="919"/>
      <c r="C617" s="913"/>
      <c r="D617" s="913"/>
      <c r="E617" s="913"/>
      <c r="F617" s="917"/>
    </row>
    <row r="618" spans="1:6" x14ac:dyDescent="0.2">
      <c r="A618" s="918" t="s">
        <v>1909</v>
      </c>
      <c r="B618" s="919">
        <v>42546</v>
      </c>
      <c r="C618" s="913">
        <v>28000000</v>
      </c>
      <c r="D618" s="913">
        <v>26596777</v>
      </c>
      <c r="E618" s="913">
        <v>1403223</v>
      </c>
      <c r="F618" s="917">
        <v>0.94988489285714284</v>
      </c>
    </row>
    <row r="619" spans="1:6" x14ac:dyDescent="0.2">
      <c r="A619" s="916" t="s">
        <v>1952</v>
      </c>
      <c r="B619" s="919"/>
      <c r="C619" s="913"/>
      <c r="D619" s="913"/>
      <c r="E619" s="913"/>
      <c r="F619" s="917"/>
    </row>
    <row r="620" spans="1:6" x14ac:dyDescent="0.2">
      <c r="A620" s="918" t="s">
        <v>1953</v>
      </c>
      <c r="B620" s="919">
        <v>42226</v>
      </c>
      <c r="C620" s="913">
        <v>8086410</v>
      </c>
      <c r="D620" s="913">
        <v>8086406</v>
      </c>
      <c r="E620" s="913">
        <v>4</v>
      </c>
      <c r="F620" s="917">
        <v>0.99999950534291482</v>
      </c>
    </row>
    <row r="621" spans="1:6" x14ac:dyDescent="0.2">
      <c r="A621" s="916" t="s">
        <v>1957</v>
      </c>
      <c r="B621" s="919"/>
      <c r="C621" s="913"/>
      <c r="D621" s="913"/>
      <c r="E621" s="913"/>
      <c r="F621" s="917"/>
    </row>
    <row r="622" spans="1:6" x14ac:dyDescent="0.2">
      <c r="A622" s="918" t="s">
        <v>1958</v>
      </c>
      <c r="B622" s="919">
        <v>42252</v>
      </c>
      <c r="C622" s="913">
        <v>5000000</v>
      </c>
      <c r="D622" s="913">
        <v>3489976</v>
      </c>
      <c r="E622" s="913">
        <v>1510024</v>
      </c>
      <c r="F622" s="917">
        <v>0.69799520000000004</v>
      </c>
    </row>
    <row r="623" spans="1:6" x14ac:dyDescent="0.2">
      <c r="A623" s="916" t="s">
        <v>1964</v>
      </c>
      <c r="B623" s="919"/>
      <c r="C623" s="913"/>
      <c r="D623" s="913"/>
      <c r="E623" s="913"/>
      <c r="F623" s="917"/>
    </row>
    <row r="624" spans="1:6" x14ac:dyDescent="0.2">
      <c r="A624" s="918" t="s">
        <v>38</v>
      </c>
      <c r="B624" s="919">
        <v>42582</v>
      </c>
      <c r="C624" s="913">
        <v>41552000</v>
      </c>
      <c r="D624" s="913">
        <v>34550825</v>
      </c>
      <c r="E624" s="913">
        <v>7001175</v>
      </c>
      <c r="F624" s="917">
        <v>0.83150811031959959</v>
      </c>
    </row>
    <row r="625" spans="1:6" x14ac:dyDescent="0.2">
      <c r="A625" s="916" t="s">
        <v>1967</v>
      </c>
      <c r="B625" s="919"/>
      <c r="C625" s="913"/>
      <c r="D625" s="913"/>
      <c r="E625" s="913"/>
      <c r="F625" s="917"/>
    </row>
    <row r="626" spans="1:6" x14ac:dyDescent="0.2">
      <c r="A626" s="918" t="s">
        <v>1968</v>
      </c>
      <c r="B626" s="919">
        <v>42443</v>
      </c>
      <c r="C626" s="913">
        <v>61200000</v>
      </c>
      <c r="D626" s="913">
        <v>61200000</v>
      </c>
      <c r="E626" s="913">
        <v>0</v>
      </c>
      <c r="F626" s="917">
        <v>1</v>
      </c>
    </row>
    <row r="627" spans="1:6" x14ac:dyDescent="0.2">
      <c r="A627" s="916" t="s">
        <v>1973</v>
      </c>
      <c r="B627" s="919"/>
      <c r="C627" s="913"/>
      <c r="D627" s="913"/>
      <c r="E627" s="913"/>
      <c r="F627" s="917"/>
    </row>
    <row r="628" spans="1:6" x14ac:dyDescent="0.2">
      <c r="A628" s="918" t="s">
        <v>1974</v>
      </c>
      <c r="B628" s="919">
        <v>42296</v>
      </c>
      <c r="C628" s="913">
        <v>2365972</v>
      </c>
      <c r="D628" s="913">
        <v>2365972</v>
      </c>
      <c r="E628" s="913">
        <v>0</v>
      </c>
      <c r="F628" s="917">
        <v>1</v>
      </c>
    </row>
    <row r="629" spans="1:6" x14ac:dyDescent="0.2">
      <c r="A629" s="916" t="s">
        <v>1987</v>
      </c>
      <c r="B629" s="919"/>
      <c r="C629" s="913"/>
      <c r="D629" s="913"/>
      <c r="E629" s="913"/>
      <c r="F629" s="917"/>
    </row>
    <row r="630" spans="1:6" x14ac:dyDescent="0.2">
      <c r="A630" s="918" t="s">
        <v>1988</v>
      </c>
      <c r="B630" s="919">
        <v>42447</v>
      </c>
      <c r="C630" s="913">
        <v>18000000</v>
      </c>
      <c r="D630" s="913">
        <v>18000000</v>
      </c>
      <c r="E630" s="913">
        <v>0</v>
      </c>
      <c r="F630" s="917">
        <v>1</v>
      </c>
    </row>
    <row r="631" spans="1:6" x14ac:dyDescent="0.2">
      <c r="A631" s="916" t="s">
        <v>1990</v>
      </c>
      <c r="B631" s="919"/>
      <c r="C631" s="913"/>
      <c r="D631" s="913"/>
      <c r="E631" s="913"/>
      <c r="F631" s="917"/>
    </row>
    <row r="632" spans="1:6" x14ac:dyDescent="0.2">
      <c r="A632" s="918" t="s">
        <v>1991</v>
      </c>
      <c r="B632" s="919">
        <v>42250</v>
      </c>
      <c r="C632" s="913">
        <v>11167296</v>
      </c>
      <c r="D632" s="913">
        <v>0</v>
      </c>
      <c r="E632" s="913">
        <v>11167296</v>
      </c>
      <c r="F632" s="917">
        <v>0</v>
      </c>
    </row>
    <row r="633" spans="1:6" x14ac:dyDescent="0.2">
      <c r="A633" s="916" t="s">
        <v>1996</v>
      </c>
      <c r="B633" s="919"/>
      <c r="C633" s="913"/>
      <c r="D633" s="913"/>
      <c r="E633" s="913"/>
      <c r="F633" s="917"/>
    </row>
    <row r="634" spans="1:6" x14ac:dyDescent="0.2">
      <c r="A634" s="918" t="s">
        <v>1997</v>
      </c>
      <c r="B634" s="919">
        <v>42545</v>
      </c>
      <c r="C634" s="913">
        <v>43417333</v>
      </c>
      <c r="D634" s="913">
        <v>39667287</v>
      </c>
      <c r="E634" s="913">
        <v>3750046</v>
      </c>
      <c r="F634" s="917">
        <v>0.91362790524236026</v>
      </c>
    </row>
    <row r="635" spans="1:6" x14ac:dyDescent="0.2">
      <c r="A635" s="916" t="s">
        <v>1999</v>
      </c>
      <c r="B635" s="919"/>
      <c r="C635" s="913"/>
      <c r="D635" s="913"/>
      <c r="E635" s="913"/>
      <c r="F635" s="917"/>
    </row>
    <row r="636" spans="1:6" x14ac:dyDescent="0.2">
      <c r="A636" s="918" t="s">
        <v>2000</v>
      </c>
      <c r="B636" s="919">
        <v>42357</v>
      </c>
      <c r="C636" s="913">
        <v>12000000</v>
      </c>
      <c r="D636" s="913">
        <v>12000000</v>
      </c>
      <c r="E636" s="913">
        <v>0</v>
      </c>
      <c r="F636" s="917">
        <v>1</v>
      </c>
    </row>
    <row r="637" spans="1:6" x14ac:dyDescent="0.2">
      <c r="A637" s="916" t="s">
        <v>2006</v>
      </c>
      <c r="B637" s="919"/>
      <c r="C637" s="913"/>
      <c r="D637" s="913"/>
      <c r="E637" s="913"/>
      <c r="F637" s="917"/>
    </row>
    <row r="638" spans="1:6" x14ac:dyDescent="0.2">
      <c r="A638" s="918" t="s">
        <v>2007</v>
      </c>
      <c r="B638" s="919">
        <v>42567</v>
      </c>
      <c r="C638" s="913">
        <v>1607400</v>
      </c>
      <c r="D638" s="913">
        <v>1586586</v>
      </c>
      <c r="E638" s="913">
        <v>20814</v>
      </c>
      <c r="F638" s="917">
        <v>0.98705113848450909</v>
      </c>
    </row>
    <row r="639" spans="1:6" x14ac:dyDescent="0.2">
      <c r="A639" s="916" t="s">
        <v>2010</v>
      </c>
      <c r="B639" s="919"/>
      <c r="C639" s="913"/>
      <c r="D639" s="913"/>
      <c r="E639" s="913"/>
      <c r="F639" s="917"/>
    </row>
    <row r="640" spans="1:6" x14ac:dyDescent="0.2">
      <c r="A640" s="918" t="s">
        <v>2011</v>
      </c>
      <c r="B640" s="919">
        <v>42522</v>
      </c>
      <c r="C640" s="913">
        <v>124930204</v>
      </c>
      <c r="D640" s="913">
        <v>124874187</v>
      </c>
      <c r="E640" s="913">
        <v>56017</v>
      </c>
      <c r="F640" s="917">
        <v>0.99955161363540235</v>
      </c>
    </row>
    <row r="641" spans="1:6" x14ac:dyDescent="0.2">
      <c r="A641" s="916" t="s">
        <v>2026</v>
      </c>
      <c r="B641" s="919"/>
      <c r="C641" s="913"/>
      <c r="D641" s="913"/>
      <c r="E641" s="913"/>
      <c r="F641" s="917"/>
    </row>
    <row r="642" spans="1:6" x14ac:dyDescent="0.2">
      <c r="A642" s="918" t="s">
        <v>2027</v>
      </c>
      <c r="B642" s="919">
        <v>42537</v>
      </c>
      <c r="C642" s="913">
        <v>213397762</v>
      </c>
      <c r="D642" s="913">
        <v>213397758</v>
      </c>
      <c r="E642" s="913">
        <v>4</v>
      </c>
      <c r="F642" s="917">
        <v>0.99999998125566092</v>
      </c>
    </row>
    <row r="643" spans="1:6" x14ac:dyDescent="0.2">
      <c r="A643" s="916" t="s">
        <v>2030</v>
      </c>
      <c r="B643" s="919"/>
      <c r="C643" s="913"/>
      <c r="D643" s="913"/>
      <c r="E643" s="913"/>
      <c r="F643" s="917"/>
    </row>
    <row r="644" spans="1:6" x14ac:dyDescent="0.2">
      <c r="A644" s="918" t="s">
        <v>2031</v>
      </c>
      <c r="B644" s="919">
        <v>42370</v>
      </c>
      <c r="C644" s="913">
        <v>10800000</v>
      </c>
      <c r="D644" s="913">
        <v>7200000</v>
      </c>
      <c r="E644" s="913">
        <v>3600000</v>
      </c>
      <c r="F644" s="917">
        <v>0.66666666666666663</v>
      </c>
    </row>
    <row r="645" spans="1:6" x14ac:dyDescent="0.2">
      <c r="A645" s="916" t="s">
        <v>2033</v>
      </c>
      <c r="B645" s="919"/>
      <c r="C645" s="913"/>
      <c r="D645" s="913"/>
      <c r="E645" s="913"/>
      <c r="F645" s="917"/>
    </row>
    <row r="646" spans="1:6" x14ac:dyDescent="0.2">
      <c r="A646" s="918" t="s">
        <v>2034</v>
      </c>
      <c r="B646" s="919">
        <v>42461</v>
      </c>
      <c r="C646" s="913">
        <v>32400000</v>
      </c>
      <c r="D646" s="913">
        <v>28800000</v>
      </c>
      <c r="E646" s="913">
        <v>3600000</v>
      </c>
      <c r="F646" s="917">
        <v>0.88888888888888884</v>
      </c>
    </row>
    <row r="647" spans="1:6" x14ac:dyDescent="0.2">
      <c r="A647" s="916" t="s">
        <v>2036</v>
      </c>
      <c r="B647" s="919"/>
      <c r="C647" s="913"/>
      <c r="D647" s="913"/>
      <c r="E647" s="913"/>
      <c r="F647" s="917"/>
    </row>
    <row r="648" spans="1:6" x14ac:dyDescent="0.2">
      <c r="A648" s="918" t="s">
        <v>2037</v>
      </c>
      <c r="B648" s="919">
        <v>42370</v>
      </c>
      <c r="C648" s="913">
        <v>10800000</v>
      </c>
      <c r="D648" s="913">
        <v>9000000</v>
      </c>
      <c r="E648" s="913">
        <v>1800000</v>
      </c>
      <c r="F648" s="917">
        <v>0.83333333333333337</v>
      </c>
    </row>
    <row r="649" spans="1:6" x14ac:dyDescent="0.2">
      <c r="A649" s="916" t="s">
        <v>2038</v>
      </c>
      <c r="B649" s="919"/>
      <c r="C649" s="913"/>
      <c r="D649" s="913"/>
      <c r="E649" s="913"/>
      <c r="F649" s="917"/>
    </row>
    <row r="650" spans="1:6" x14ac:dyDescent="0.2">
      <c r="A650" s="918" t="s">
        <v>2039</v>
      </c>
      <c r="B650" s="919">
        <v>42370</v>
      </c>
      <c r="C650" s="913">
        <v>10800000</v>
      </c>
      <c r="D650" s="913">
        <v>10800000</v>
      </c>
      <c r="E650" s="913">
        <v>0</v>
      </c>
      <c r="F650" s="917">
        <v>1</v>
      </c>
    </row>
    <row r="651" spans="1:6" x14ac:dyDescent="0.2">
      <c r="A651" s="916" t="s">
        <v>2041</v>
      </c>
      <c r="B651" s="919"/>
      <c r="C651" s="913"/>
      <c r="D651" s="913"/>
      <c r="E651" s="913"/>
      <c r="F651" s="917"/>
    </row>
    <row r="652" spans="1:6" x14ac:dyDescent="0.2">
      <c r="A652" s="918" t="s">
        <v>2042</v>
      </c>
      <c r="B652" s="919">
        <v>42370</v>
      </c>
      <c r="C652" s="913">
        <v>10800000</v>
      </c>
      <c r="D652" s="913">
        <v>10800000</v>
      </c>
      <c r="E652" s="913">
        <v>0</v>
      </c>
      <c r="F652" s="917">
        <v>1</v>
      </c>
    </row>
    <row r="653" spans="1:6" x14ac:dyDescent="0.2">
      <c r="A653" s="916" t="s">
        <v>2043</v>
      </c>
      <c r="B653" s="919"/>
      <c r="C653" s="913"/>
      <c r="D653" s="913"/>
      <c r="E653" s="913"/>
      <c r="F653" s="917"/>
    </row>
    <row r="654" spans="1:6" x14ac:dyDescent="0.2">
      <c r="A654" s="918" t="s">
        <v>2044</v>
      </c>
      <c r="B654" s="919">
        <v>42370</v>
      </c>
      <c r="C654" s="913">
        <v>10800000</v>
      </c>
      <c r="D654" s="913">
        <v>10800000</v>
      </c>
      <c r="E654" s="913">
        <v>0</v>
      </c>
      <c r="F654" s="917">
        <v>1</v>
      </c>
    </row>
    <row r="655" spans="1:6" x14ac:dyDescent="0.2">
      <c r="A655" s="916" t="s">
        <v>2046</v>
      </c>
      <c r="B655" s="919"/>
      <c r="C655" s="913"/>
      <c r="D655" s="913"/>
      <c r="E655" s="913"/>
      <c r="F655" s="917"/>
    </row>
    <row r="656" spans="1:6" x14ac:dyDescent="0.2">
      <c r="A656" s="918" t="s">
        <v>2047</v>
      </c>
      <c r="B656" s="919">
        <v>42461</v>
      </c>
      <c r="C656" s="913">
        <v>47700000</v>
      </c>
      <c r="D656" s="913">
        <v>47700000</v>
      </c>
      <c r="E656" s="913">
        <v>0</v>
      </c>
      <c r="F656" s="917">
        <v>1</v>
      </c>
    </row>
    <row r="657" spans="1:6" x14ac:dyDescent="0.2">
      <c r="A657" s="916" t="s">
        <v>2049</v>
      </c>
      <c r="B657" s="919"/>
      <c r="C657" s="913"/>
      <c r="D657" s="913"/>
      <c r="E657" s="913"/>
      <c r="F657" s="917"/>
    </row>
    <row r="658" spans="1:6" x14ac:dyDescent="0.2">
      <c r="A658" s="918" t="s">
        <v>2050</v>
      </c>
      <c r="B658" s="919">
        <v>42370</v>
      </c>
      <c r="C658" s="913">
        <v>10800000</v>
      </c>
      <c r="D658" s="913">
        <v>10800000</v>
      </c>
      <c r="E658" s="913">
        <v>0</v>
      </c>
      <c r="F658" s="917">
        <v>1</v>
      </c>
    </row>
    <row r="659" spans="1:6" x14ac:dyDescent="0.2">
      <c r="A659" s="916" t="s">
        <v>2051</v>
      </c>
      <c r="B659" s="919"/>
      <c r="C659" s="913"/>
      <c r="D659" s="913"/>
      <c r="E659" s="913"/>
      <c r="F659" s="917"/>
    </row>
    <row r="660" spans="1:6" x14ac:dyDescent="0.2">
      <c r="A660" s="918" t="s">
        <v>2052</v>
      </c>
      <c r="B660" s="919">
        <v>42370</v>
      </c>
      <c r="C660" s="913">
        <v>31800000</v>
      </c>
      <c r="D660" s="913">
        <v>31800000</v>
      </c>
      <c r="E660" s="913">
        <v>0</v>
      </c>
      <c r="F660" s="917">
        <v>1</v>
      </c>
    </row>
    <row r="661" spans="1:6" x14ac:dyDescent="0.2">
      <c r="A661" s="916" t="s">
        <v>2057</v>
      </c>
      <c r="B661" s="919"/>
      <c r="C661" s="913"/>
      <c r="D661" s="913"/>
      <c r="E661" s="913"/>
      <c r="F661" s="917"/>
    </row>
    <row r="662" spans="1:6" x14ac:dyDescent="0.2">
      <c r="A662" s="918" t="s">
        <v>2058</v>
      </c>
      <c r="B662" s="919">
        <v>42475</v>
      </c>
      <c r="C662" s="913">
        <v>52390000</v>
      </c>
      <c r="D662" s="913">
        <v>49166000</v>
      </c>
      <c r="E662" s="913">
        <v>3224000</v>
      </c>
      <c r="F662" s="917">
        <v>0.93846153846153846</v>
      </c>
    </row>
    <row r="663" spans="1:6" x14ac:dyDescent="0.2">
      <c r="A663" s="916" t="s">
        <v>2069</v>
      </c>
      <c r="B663" s="919"/>
      <c r="C663" s="913"/>
      <c r="D663" s="913"/>
      <c r="E663" s="913"/>
      <c r="F663" s="917"/>
    </row>
    <row r="664" spans="1:6" x14ac:dyDescent="0.2">
      <c r="A664" s="918" t="s">
        <v>2068</v>
      </c>
      <c r="B664" s="919">
        <v>42382</v>
      </c>
      <c r="C664" s="913">
        <v>10800000</v>
      </c>
      <c r="D664" s="913">
        <v>2880000</v>
      </c>
      <c r="E664" s="913">
        <v>7920000</v>
      </c>
      <c r="F664" s="917">
        <v>0.26666666666666666</v>
      </c>
    </row>
    <row r="665" spans="1:6" x14ac:dyDescent="0.2">
      <c r="A665" s="916" t="s">
        <v>2070</v>
      </c>
      <c r="B665" s="919"/>
      <c r="C665" s="913"/>
      <c r="D665" s="913"/>
      <c r="E665" s="913"/>
      <c r="F665" s="917"/>
    </row>
    <row r="666" spans="1:6" x14ac:dyDescent="0.2">
      <c r="A666" s="918" t="s">
        <v>2071</v>
      </c>
      <c r="B666" s="919">
        <v>42311</v>
      </c>
      <c r="C666" s="913">
        <v>450880</v>
      </c>
      <c r="D666" s="913">
        <v>450880</v>
      </c>
      <c r="E666" s="913">
        <v>0</v>
      </c>
      <c r="F666" s="917">
        <v>1</v>
      </c>
    </row>
    <row r="667" spans="1:6" x14ac:dyDescent="0.2">
      <c r="A667" s="916" t="s">
        <v>2081</v>
      </c>
      <c r="B667" s="919"/>
      <c r="C667" s="913"/>
      <c r="D667" s="913"/>
      <c r="E667" s="913"/>
      <c r="F667" s="917"/>
    </row>
    <row r="668" spans="1:6" x14ac:dyDescent="0.2">
      <c r="A668" s="918" t="s">
        <v>186</v>
      </c>
      <c r="B668" s="919">
        <v>42575</v>
      </c>
      <c r="C668" s="913">
        <v>85933385</v>
      </c>
      <c r="D668" s="913">
        <v>36504992</v>
      </c>
      <c r="E668" s="913">
        <v>49428393</v>
      </c>
      <c r="F668" s="917">
        <v>0.42480570269633855</v>
      </c>
    </row>
    <row r="669" spans="1:6" x14ac:dyDescent="0.2">
      <c r="A669" s="916" t="s">
        <v>2085</v>
      </c>
      <c r="B669" s="919"/>
      <c r="C669" s="913"/>
      <c r="D669" s="913"/>
      <c r="E669" s="913"/>
      <c r="F669" s="917"/>
    </row>
    <row r="670" spans="1:6" x14ac:dyDescent="0.2">
      <c r="A670" s="918" t="s">
        <v>2086</v>
      </c>
      <c r="B670" s="919">
        <v>42387</v>
      </c>
      <c r="C670" s="913">
        <v>3608000</v>
      </c>
      <c r="D670" s="913">
        <v>0</v>
      </c>
      <c r="E670" s="913">
        <v>3608000</v>
      </c>
      <c r="F670" s="917">
        <v>0</v>
      </c>
    </row>
    <row r="671" spans="1:6" x14ac:dyDescent="0.2">
      <c r="A671" s="916" t="s">
        <v>2094</v>
      </c>
      <c r="B671" s="919"/>
      <c r="C671" s="913"/>
      <c r="D671" s="913"/>
      <c r="E671" s="913"/>
      <c r="F671" s="917"/>
    </row>
    <row r="672" spans="1:6" x14ac:dyDescent="0.2">
      <c r="A672" s="918" t="s">
        <v>2095</v>
      </c>
      <c r="B672" s="919">
        <v>42587</v>
      </c>
      <c r="C672" s="913">
        <v>715000</v>
      </c>
      <c r="D672" s="913">
        <v>715000</v>
      </c>
      <c r="E672" s="913">
        <v>0</v>
      </c>
      <c r="F672" s="917">
        <v>1</v>
      </c>
    </row>
    <row r="673" spans="1:6" x14ac:dyDescent="0.2">
      <c r="A673" s="916" t="s">
        <v>2099</v>
      </c>
      <c r="B673" s="919"/>
      <c r="C673" s="913"/>
      <c r="D673" s="913"/>
      <c r="E673" s="913"/>
      <c r="F673" s="917"/>
    </row>
    <row r="674" spans="1:6" x14ac:dyDescent="0.2">
      <c r="A674" s="918" t="s">
        <v>2100</v>
      </c>
      <c r="B674" s="919">
        <v>42565</v>
      </c>
      <c r="C674" s="913">
        <v>80041097</v>
      </c>
      <c r="D674" s="913">
        <v>72440780</v>
      </c>
      <c r="E674" s="913">
        <v>7600317</v>
      </c>
      <c r="F674" s="917">
        <v>0.90504481716436247</v>
      </c>
    </row>
    <row r="675" spans="1:6" x14ac:dyDescent="0.2">
      <c r="A675" s="916" t="s">
        <v>2104</v>
      </c>
      <c r="B675" s="919"/>
      <c r="C675" s="913"/>
      <c r="D675" s="913"/>
      <c r="E675" s="913"/>
      <c r="F675" s="917"/>
    </row>
    <row r="676" spans="1:6" x14ac:dyDescent="0.2">
      <c r="A676" s="918" t="s">
        <v>2106</v>
      </c>
      <c r="B676" s="919">
        <v>42587</v>
      </c>
      <c r="C676" s="913">
        <v>20136071</v>
      </c>
      <c r="D676" s="913">
        <v>10106062</v>
      </c>
      <c r="E676" s="913">
        <v>10030009</v>
      </c>
      <c r="F676" s="917">
        <v>0.50188847665465619</v>
      </c>
    </row>
    <row r="677" spans="1:6" x14ac:dyDescent="0.2">
      <c r="A677" s="916" t="s">
        <v>2108</v>
      </c>
      <c r="B677" s="919"/>
      <c r="C677" s="913"/>
      <c r="D677" s="913"/>
      <c r="E677" s="913"/>
      <c r="F677" s="917"/>
    </row>
    <row r="678" spans="1:6" x14ac:dyDescent="0.2">
      <c r="A678" s="918" t="s">
        <v>2442</v>
      </c>
      <c r="B678" s="919">
        <v>42524</v>
      </c>
      <c r="C678" s="913">
        <v>255421490</v>
      </c>
      <c r="D678" s="913">
        <v>166442592</v>
      </c>
      <c r="E678" s="913">
        <v>88978898</v>
      </c>
      <c r="F678" s="917">
        <v>0.65163895175773978</v>
      </c>
    </row>
    <row r="679" spans="1:6" x14ac:dyDescent="0.2">
      <c r="A679" s="916" t="s">
        <v>2115</v>
      </c>
      <c r="B679" s="919"/>
      <c r="C679" s="913"/>
      <c r="D679" s="913"/>
      <c r="E679" s="913"/>
      <c r="F679" s="917"/>
    </row>
    <row r="680" spans="1:6" x14ac:dyDescent="0.2">
      <c r="A680" s="918" t="s">
        <v>2116</v>
      </c>
      <c r="B680" s="919">
        <v>42265</v>
      </c>
      <c r="C680" s="913">
        <v>812000</v>
      </c>
      <c r="D680" s="913">
        <v>812000</v>
      </c>
      <c r="E680" s="913">
        <v>0</v>
      </c>
      <c r="F680" s="917">
        <v>1</v>
      </c>
    </row>
    <row r="681" spans="1:6" x14ac:dyDescent="0.2">
      <c r="A681" s="916" t="s">
        <v>2125</v>
      </c>
      <c r="B681" s="919"/>
      <c r="C681" s="913"/>
      <c r="D681" s="913"/>
      <c r="E681" s="913"/>
      <c r="F681" s="917"/>
    </row>
    <row r="682" spans="1:6" x14ac:dyDescent="0.2">
      <c r="A682" s="918" t="s">
        <v>2126</v>
      </c>
      <c r="B682" s="919">
        <v>42282</v>
      </c>
      <c r="C682" s="913">
        <v>31577404</v>
      </c>
      <c r="D682" s="913">
        <v>0</v>
      </c>
      <c r="E682" s="913">
        <v>31577404</v>
      </c>
      <c r="F682" s="917">
        <v>0</v>
      </c>
    </row>
    <row r="683" spans="1:6" x14ac:dyDescent="0.2">
      <c r="A683" s="916" t="s">
        <v>2192</v>
      </c>
      <c r="B683" s="919"/>
      <c r="C683" s="913"/>
      <c r="D683" s="913"/>
      <c r="E683" s="913"/>
      <c r="F683" s="917"/>
    </row>
    <row r="684" spans="1:6" x14ac:dyDescent="0.2">
      <c r="A684" s="918" t="s">
        <v>1537</v>
      </c>
      <c r="B684" s="919">
        <v>42431</v>
      </c>
      <c r="C684" s="913">
        <v>33000000</v>
      </c>
      <c r="D684" s="913">
        <v>38316666</v>
      </c>
      <c r="E684" s="913">
        <v>-5316666</v>
      </c>
      <c r="F684" s="917">
        <v>1.1611110909090909</v>
      </c>
    </row>
    <row r="685" spans="1:6" x14ac:dyDescent="0.2">
      <c r="A685" s="916" t="s">
        <v>2197</v>
      </c>
      <c r="B685" s="919"/>
      <c r="C685" s="913"/>
      <c r="D685" s="913"/>
      <c r="E685" s="913"/>
      <c r="F685" s="917"/>
    </row>
    <row r="686" spans="1:6" x14ac:dyDescent="0.2">
      <c r="A686" s="918" t="s">
        <v>2198</v>
      </c>
      <c r="B686" s="919">
        <v>42384</v>
      </c>
      <c r="C686" s="913">
        <v>19141000</v>
      </c>
      <c r="D686" s="913">
        <v>0</v>
      </c>
      <c r="E686" s="913">
        <v>19141000</v>
      </c>
      <c r="F686" s="917">
        <v>0</v>
      </c>
    </row>
    <row r="687" spans="1:6" x14ac:dyDescent="0.2">
      <c r="A687" s="916" t="s">
        <v>2202</v>
      </c>
      <c r="B687" s="919"/>
      <c r="C687" s="913"/>
      <c r="D687" s="913"/>
      <c r="E687" s="913"/>
      <c r="F687" s="917"/>
    </row>
    <row r="688" spans="1:6" x14ac:dyDescent="0.2">
      <c r="A688" s="918" t="s">
        <v>142</v>
      </c>
      <c r="B688" s="919">
        <v>42305</v>
      </c>
      <c r="C688" s="913">
        <v>72727824</v>
      </c>
      <c r="D688" s="913">
        <v>0</v>
      </c>
      <c r="E688" s="913">
        <v>72727824</v>
      </c>
      <c r="F688" s="917">
        <v>0</v>
      </c>
    </row>
    <row r="689" spans="1:6" x14ac:dyDescent="0.2">
      <c r="A689" s="916" t="s">
        <v>2220</v>
      </c>
      <c r="B689" s="919"/>
      <c r="C689" s="913"/>
      <c r="D689" s="913"/>
      <c r="E689" s="913"/>
      <c r="F689" s="917"/>
    </row>
    <row r="690" spans="1:6" x14ac:dyDescent="0.2">
      <c r="A690" s="918" t="s">
        <v>2221</v>
      </c>
      <c r="B690" s="919">
        <v>42352</v>
      </c>
      <c r="C690" s="913">
        <v>6000000</v>
      </c>
      <c r="D690" s="913">
        <v>5999890</v>
      </c>
      <c r="E690" s="913">
        <v>110</v>
      </c>
      <c r="F690" s="917">
        <v>0.99998166666666666</v>
      </c>
    </row>
    <row r="691" spans="1:6" x14ac:dyDescent="0.2">
      <c r="A691" s="916" t="s">
        <v>2229</v>
      </c>
      <c r="B691" s="919"/>
      <c r="C691" s="913"/>
      <c r="D691" s="913"/>
      <c r="E691" s="913"/>
      <c r="F691" s="917"/>
    </row>
    <row r="692" spans="1:6" x14ac:dyDescent="0.2">
      <c r="A692" s="918" t="s">
        <v>2230</v>
      </c>
      <c r="B692" s="919">
        <v>42364</v>
      </c>
      <c r="C692" s="913">
        <v>6660000</v>
      </c>
      <c r="D692" s="913">
        <v>6600000</v>
      </c>
      <c r="E692" s="913">
        <v>60000</v>
      </c>
      <c r="F692" s="917">
        <v>0.99099099099099097</v>
      </c>
    </row>
    <row r="693" spans="1:6" x14ac:dyDescent="0.2">
      <c r="A693" s="916" t="s">
        <v>2241</v>
      </c>
      <c r="B693" s="919"/>
      <c r="C693" s="913"/>
      <c r="D693" s="913"/>
      <c r="E693" s="913"/>
      <c r="F693" s="917"/>
    </row>
    <row r="694" spans="1:6" x14ac:dyDescent="0.2">
      <c r="A694" s="918" t="s">
        <v>1346</v>
      </c>
      <c r="B694" s="919">
        <v>42534</v>
      </c>
      <c r="C694" s="913">
        <v>2742000</v>
      </c>
      <c r="D694" s="913">
        <v>1625160</v>
      </c>
      <c r="E694" s="913">
        <v>1116840</v>
      </c>
      <c r="F694" s="917">
        <v>0.59269146608315093</v>
      </c>
    </row>
    <row r="695" spans="1:6" x14ac:dyDescent="0.2">
      <c r="A695" s="916" t="s">
        <v>2248</v>
      </c>
      <c r="B695" s="919"/>
      <c r="C695" s="913"/>
      <c r="D695" s="913"/>
      <c r="E695" s="913"/>
      <c r="F695" s="917"/>
    </row>
    <row r="696" spans="1:6" x14ac:dyDescent="0.2">
      <c r="A696" s="918" t="s">
        <v>2249</v>
      </c>
      <c r="B696" s="919">
        <v>42515</v>
      </c>
      <c r="C696" s="913">
        <v>1512217703</v>
      </c>
      <c r="D696" s="913">
        <v>1512217703</v>
      </c>
      <c r="E696" s="913">
        <v>0</v>
      </c>
      <c r="F696" s="917">
        <v>1</v>
      </c>
    </row>
    <row r="697" spans="1:6" x14ac:dyDescent="0.2">
      <c r="A697" s="916" t="s">
        <v>2254</v>
      </c>
      <c r="B697" s="919"/>
      <c r="C697" s="913"/>
      <c r="D697" s="913"/>
      <c r="E697" s="913"/>
      <c r="F697" s="917"/>
    </row>
    <row r="698" spans="1:6" x14ac:dyDescent="0.2">
      <c r="A698" s="918" t="s">
        <v>2255</v>
      </c>
      <c r="B698" s="919">
        <v>42544</v>
      </c>
      <c r="C698" s="913">
        <v>37372300</v>
      </c>
      <c r="D698" s="913">
        <v>29382355</v>
      </c>
      <c r="E698" s="913">
        <v>7989945</v>
      </c>
      <c r="F698" s="917">
        <v>0.78620676276279489</v>
      </c>
    </row>
    <row r="699" spans="1:6" x14ac:dyDescent="0.2">
      <c r="A699" s="916" t="s">
        <v>2273</v>
      </c>
      <c r="B699" s="919"/>
      <c r="C699" s="913"/>
      <c r="D699" s="913"/>
      <c r="E699" s="913"/>
      <c r="F699" s="917"/>
    </row>
    <row r="700" spans="1:6" x14ac:dyDescent="0.2">
      <c r="A700" s="918" t="s">
        <v>2272</v>
      </c>
      <c r="B700" s="919">
        <v>42399</v>
      </c>
      <c r="C700" s="913">
        <v>17340258</v>
      </c>
      <c r="D700" s="913">
        <v>17340258</v>
      </c>
      <c r="E700" s="913">
        <v>0</v>
      </c>
      <c r="F700" s="917">
        <v>1</v>
      </c>
    </row>
    <row r="701" spans="1:6" x14ac:dyDescent="0.2">
      <c r="A701" s="916" t="s">
        <v>2351</v>
      </c>
      <c r="B701" s="919"/>
      <c r="C701" s="913"/>
      <c r="D701" s="913"/>
      <c r="E701" s="913"/>
      <c r="F701" s="917"/>
    </row>
    <row r="702" spans="1:6" x14ac:dyDescent="0.2">
      <c r="A702" s="918" t="s">
        <v>2353</v>
      </c>
      <c r="B702" s="919">
        <v>42501</v>
      </c>
      <c r="C702" s="913">
        <v>27500000</v>
      </c>
      <c r="D702" s="913">
        <v>25850000</v>
      </c>
      <c r="E702" s="913">
        <v>1650000</v>
      </c>
      <c r="F702" s="917">
        <v>0.94</v>
      </c>
    </row>
    <row r="703" spans="1:6" x14ac:dyDescent="0.2">
      <c r="A703" s="916" t="s">
        <v>2366</v>
      </c>
      <c r="B703" s="919"/>
      <c r="C703" s="913"/>
      <c r="D703" s="913"/>
      <c r="E703" s="913"/>
      <c r="F703" s="917"/>
    </row>
    <row r="704" spans="1:6" x14ac:dyDescent="0.2">
      <c r="A704" s="918" t="s">
        <v>2367</v>
      </c>
      <c r="B704" s="919">
        <v>42524</v>
      </c>
      <c r="C704" s="913">
        <v>910786703.20000005</v>
      </c>
      <c r="D704" s="913">
        <v>910786703</v>
      </c>
      <c r="E704" s="913">
        <v>0.20000004768371582</v>
      </c>
      <c r="F704" s="917">
        <v>0.99999999978040954</v>
      </c>
    </row>
    <row r="705" spans="1:6" x14ac:dyDescent="0.2">
      <c r="A705" s="916" t="s">
        <v>2360</v>
      </c>
      <c r="B705" s="919"/>
      <c r="C705" s="913"/>
      <c r="D705" s="913"/>
      <c r="E705" s="913"/>
      <c r="F705" s="917"/>
    </row>
    <row r="706" spans="1:6" x14ac:dyDescent="0.2">
      <c r="A706" s="918" t="s">
        <v>2362</v>
      </c>
      <c r="B706" s="919">
        <v>42443</v>
      </c>
      <c r="C706" s="913">
        <v>8404000</v>
      </c>
      <c r="D706" s="913">
        <v>8404200</v>
      </c>
      <c r="E706" s="913">
        <v>-200</v>
      </c>
      <c r="F706" s="917">
        <v>1.0000237981913374</v>
      </c>
    </row>
    <row r="707" spans="1:6" x14ac:dyDescent="0.2">
      <c r="A707" s="916" t="s">
        <v>2380</v>
      </c>
      <c r="B707" s="919"/>
      <c r="C707" s="913"/>
      <c r="D707" s="913"/>
      <c r="E707" s="913"/>
      <c r="F707" s="917"/>
    </row>
    <row r="708" spans="1:6" x14ac:dyDescent="0.2">
      <c r="A708" s="918" t="s">
        <v>2367</v>
      </c>
      <c r="B708" s="919">
        <v>42532</v>
      </c>
      <c r="C708" s="913">
        <v>295840339</v>
      </c>
      <c r="D708" s="913">
        <v>0</v>
      </c>
      <c r="E708" s="913">
        <v>295840339</v>
      </c>
      <c r="F708" s="917">
        <v>0</v>
      </c>
    </row>
    <row r="709" spans="1:6" x14ac:dyDescent="0.2">
      <c r="A709" s="916" t="s">
        <v>2378</v>
      </c>
      <c r="B709" s="919"/>
      <c r="C709" s="913"/>
      <c r="D709" s="913"/>
      <c r="E709" s="913"/>
      <c r="F709" s="917"/>
    </row>
    <row r="710" spans="1:6" x14ac:dyDescent="0.2">
      <c r="A710" s="918" t="s">
        <v>2367</v>
      </c>
      <c r="B710" s="919">
        <v>42532</v>
      </c>
      <c r="C710" s="913">
        <v>188315358.83000001</v>
      </c>
      <c r="D710" s="913">
        <v>188315359</v>
      </c>
      <c r="E710" s="913">
        <v>-0.16999998688697815</v>
      </c>
      <c r="F710" s="917">
        <v>1.000000000902741</v>
      </c>
    </row>
    <row r="711" spans="1:6" x14ac:dyDescent="0.2">
      <c r="A711" s="916" t="s">
        <v>2382</v>
      </c>
      <c r="B711" s="919"/>
      <c r="C711" s="913"/>
      <c r="D711" s="913"/>
      <c r="E711" s="913"/>
      <c r="F711" s="917"/>
    </row>
    <row r="712" spans="1:6" x14ac:dyDescent="0.2">
      <c r="A712" s="918" t="s">
        <v>2383</v>
      </c>
      <c r="B712" s="919">
        <v>42536</v>
      </c>
      <c r="C712" s="913">
        <v>64250000</v>
      </c>
      <c r="D712" s="913">
        <v>0</v>
      </c>
      <c r="E712" s="913">
        <v>64250000</v>
      </c>
      <c r="F712" s="917">
        <v>0</v>
      </c>
    </row>
    <row r="713" spans="1:6" x14ac:dyDescent="0.2">
      <c r="A713" s="916" t="s">
        <v>2512</v>
      </c>
      <c r="B713" s="919"/>
      <c r="C713" s="913"/>
      <c r="D713" s="913"/>
      <c r="E713" s="913"/>
      <c r="F713" s="917"/>
    </row>
    <row r="714" spans="1:6" x14ac:dyDescent="0.2">
      <c r="A714" s="918" t="s">
        <v>2130</v>
      </c>
      <c r="B714" s="919">
        <v>42592</v>
      </c>
      <c r="C714" s="913">
        <v>20880000</v>
      </c>
      <c r="D714" s="913">
        <v>20880000</v>
      </c>
      <c r="E714" s="913">
        <v>0</v>
      </c>
      <c r="F714" s="917">
        <v>1</v>
      </c>
    </row>
    <row r="715" spans="1:6" x14ac:dyDescent="0.2">
      <c r="A715" s="916" t="s">
        <v>2423</v>
      </c>
      <c r="B715" s="919"/>
      <c r="C715" s="913"/>
      <c r="D715" s="913"/>
      <c r="E715" s="913"/>
      <c r="F715" s="917"/>
    </row>
    <row r="716" spans="1:6" x14ac:dyDescent="0.2">
      <c r="A716" s="918" t="s">
        <v>2424</v>
      </c>
      <c r="B716" s="919">
        <v>42539</v>
      </c>
      <c r="C716" s="913">
        <v>601948308</v>
      </c>
      <c r="D716" s="913">
        <v>601948308</v>
      </c>
      <c r="E716" s="913">
        <v>0</v>
      </c>
      <c r="F716" s="917">
        <v>1</v>
      </c>
    </row>
    <row r="717" spans="1:6" x14ac:dyDescent="0.2">
      <c r="A717" s="916" t="s">
        <v>2474</v>
      </c>
      <c r="B717" s="919"/>
      <c r="C717" s="913"/>
      <c r="D717" s="913"/>
      <c r="E717" s="913"/>
      <c r="F717" s="917"/>
    </row>
    <row r="718" spans="1:6" x14ac:dyDescent="0.2">
      <c r="A718" s="918" t="s">
        <v>290</v>
      </c>
      <c r="B718" s="919">
        <v>42569</v>
      </c>
      <c r="C718" s="913">
        <v>6239000</v>
      </c>
      <c r="D718" s="913">
        <v>0</v>
      </c>
      <c r="E718" s="913">
        <v>6239000</v>
      </c>
      <c r="F718" s="917">
        <v>0</v>
      </c>
    </row>
    <row r="719" spans="1:6" x14ac:dyDescent="0.2">
      <c r="A719" s="916" t="s">
        <v>2521</v>
      </c>
      <c r="B719" s="919"/>
      <c r="C719" s="913"/>
      <c r="D719" s="913"/>
      <c r="E719" s="913"/>
      <c r="F719" s="917"/>
    </row>
    <row r="720" spans="1:6" x14ac:dyDescent="0.2">
      <c r="A720" s="918" t="s">
        <v>2522</v>
      </c>
      <c r="B720" s="919">
        <v>42579</v>
      </c>
      <c r="C720" s="913">
        <v>23000000</v>
      </c>
      <c r="D720" s="913">
        <v>0</v>
      </c>
      <c r="E720" s="913">
        <v>23000000</v>
      </c>
      <c r="F720" s="917">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1.1185458055128552</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0.91922695738354809</v>
      </c>
      <c r="E157" s="59"/>
    </row>
    <row r="158" spans="1:5" customFormat="1" x14ac:dyDescent="0.25">
      <c r="A158" s="18" t="s">
        <v>45</v>
      </c>
      <c r="B158" s="63"/>
      <c r="C158" s="24"/>
      <c r="D158" s="24"/>
      <c r="E158" s="59"/>
    </row>
    <row r="159" spans="1:5" customFormat="1" x14ac:dyDescent="0.25">
      <c r="A159" s="19" t="s">
        <v>46</v>
      </c>
      <c r="B159" s="63">
        <v>42052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2258</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AM586" activePane="bottomRight" state="frozen"/>
      <selection activeCell="B476" sqref="B476"/>
      <selection pane="topRight" activeCell="B476" sqref="B476"/>
      <selection pane="bottomLeft" activeCell="B476" sqref="B476"/>
      <selection pane="bottomRight" activeCell="AQ586" sqref="AQ586"/>
    </sheetView>
  </sheetViews>
  <sheetFormatPr baseColWidth="10" defaultRowHeight="15" x14ac:dyDescent="0.25"/>
  <cols>
    <col min="1" max="1" width="1.85546875" style="14" bestFit="1" customWidth="1"/>
    <col min="2" max="2" width="4.42578125" style="725" bestFit="1" customWidth="1"/>
    <col min="3" max="3" width="4.5703125" style="440" customWidth="1"/>
    <col min="4" max="4" width="5.42578125" style="440" hidden="1" customWidth="1"/>
    <col min="5" max="5" width="18.42578125" style="242" bestFit="1" customWidth="1"/>
    <col min="6" max="6" width="26.5703125" style="243" customWidth="1"/>
    <col min="7" max="7" width="10.7109375" style="242" customWidth="1"/>
    <col min="8" max="8" width="48.42578125" style="285" customWidth="1"/>
    <col min="9" max="9" width="16.85546875" style="244" customWidth="1"/>
    <col min="10" max="10" width="15" style="733"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6" customWidth="1"/>
    <col min="25" max="25" width="11.42578125" style="242"/>
    <col min="26" max="26" width="11.85546875" style="242" bestFit="1" customWidth="1"/>
    <col min="27" max="30" width="11.42578125" style="242"/>
    <col min="31" max="31" width="15.85546875" style="305" bestFit="1" customWidth="1"/>
    <col min="32" max="32" width="23.85546875" style="305"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58"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2553</v>
      </c>
      <c r="G1" s="25"/>
      <c r="H1" s="280"/>
      <c r="I1" s="25"/>
      <c r="J1" s="729"/>
      <c r="K1" s="79"/>
      <c r="L1" s="25"/>
      <c r="M1" s="25"/>
      <c r="N1" s="25"/>
      <c r="O1" s="25"/>
      <c r="P1" s="25"/>
      <c r="Q1" s="79"/>
      <c r="R1" s="14"/>
      <c r="S1" s="14"/>
      <c r="T1" s="14"/>
      <c r="U1" s="14"/>
      <c r="V1" s="14"/>
      <c r="W1" s="14"/>
      <c r="X1" s="421"/>
      <c r="Y1" s="14"/>
      <c r="Z1" s="25"/>
      <c r="AA1" s="25"/>
      <c r="AB1" s="25"/>
      <c r="AC1" s="14"/>
      <c r="AD1" s="14"/>
      <c r="AE1" s="300"/>
      <c r="AF1" s="300"/>
      <c r="AG1" s="14"/>
      <c r="AH1" s="14"/>
      <c r="AI1" s="14"/>
      <c r="AJ1" s="14"/>
      <c r="AK1" s="273"/>
      <c r="AL1" s="14"/>
      <c r="AM1" s="85"/>
      <c r="AN1" s="85"/>
      <c r="AO1" s="85"/>
      <c r="AP1" s="85"/>
      <c r="AQ1" s="85"/>
      <c r="AR1" s="85"/>
      <c r="AS1" s="306"/>
    </row>
    <row r="2" spans="1:52" ht="24" customHeight="1" thickTop="1" thickBot="1" x14ac:dyDescent="0.3">
      <c r="B2" s="14"/>
      <c r="E2" s="69"/>
      <c r="F2" s="274"/>
      <c r="G2" s="32"/>
      <c r="H2" s="1043" t="s">
        <v>387</v>
      </c>
      <c r="I2" s="1043"/>
      <c r="J2" s="1043"/>
      <c r="K2" s="1043"/>
      <c r="L2" s="1043"/>
      <c r="M2" s="1043"/>
      <c r="N2" s="1043"/>
      <c r="O2" s="1043"/>
      <c r="P2" s="1043"/>
      <c r="Q2" s="1043"/>
      <c r="R2" s="1043"/>
      <c r="S2" s="1043"/>
      <c r="T2" s="1043"/>
      <c r="U2" s="1043"/>
      <c r="V2" s="1043"/>
      <c r="W2" s="1043"/>
      <c r="X2" s="1044"/>
      <c r="Y2" s="1043"/>
      <c r="Z2" s="32"/>
      <c r="AA2" s="32"/>
      <c r="AB2" s="32"/>
      <c r="AC2" s="32"/>
      <c r="AD2" s="32"/>
      <c r="AE2" s="301"/>
      <c r="AF2" s="301"/>
      <c r="AG2" s="32"/>
      <c r="AH2" s="32"/>
      <c r="AI2" s="32"/>
      <c r="AJ2" s="32"/>
      <c r="AK2" s="274"/>
      <c r="AL2" s="82"/>
      <c r="AM2" s="1049" t="s">
        <v>1054</v>
      </c>
      <c r="AN2" s="1050"/>
      <c r="AO2" s="1050"/>
      <c r="AP2" s="1050"/>
      <c r="AQ2" s="1050"/>
      <c r="AR2" s="1051"/>
      <c r="AS2" s="306"/>
    </row>
    <row r="3" spans="1:52" ht="24" thickBot="1" x14ac:dyDescent="0.3">
      <c r="B3" s="25"/>
      <c r="C3" s="441"/>
      <c r="D3" s="441"/>
      <c r="E3" s="100" t="s">
        <v>1058</v>
      </c>
      <c r="F3" s="277">
        <f ca="1">TODAY()</f>
        <v>43118</v>
      </c>
      <c r="G3" s="25"/>
      <c r="H3" s="1045" t="s">
        <v>2989</v>
      </c>
      <c r="I3" s="1045"/>
      <c r="J3" s="1045"/>
      <c r="K3" s="1045"/>
      <c r="L3" s="1045"/>
      <c r="M3" s="1045"/>
      <c r="N3" s="1045"/>
      <c r="O3" s="1045"/>
      <c r="P3" s="1045"/>
      <c r="Q3" s="1045"/>
      <c r="R3" s="1045"/>
      <c r="S3" s="1045"/>
      <c r="T3" s="1045"/>
      <c r="U3" s="1045"/>
      <c r="V3" s="1045"/>
      <c r="W3" s="1045"/>
      <c r="X3" s="1046"/>
      <c r="Y3" s="1045"/>
      <c r="Z3" s="25"/>
      <c r="AA3" s="25"/>
      <c r="AB3" s="25"/>
      <c r="AC3" s="25"/>
      <c r="AD3" s="25"/>
      <c r="AE3" s="302"/>
      <c r="AF3" s="302"/>
      <c r="AG3" s="25"/>
      <c r="AH3" s="25"/>
      <c r="AI3" s="25"/>
      <c r="AJ3" s="25"/>
      <c r="AK3" s="275"/>
      <c r="AL3" s="83"/>
      <c r="AM3" s="1052"/>
      <c r="AN3" s="1053"/>
      <c r="AO3" s="1053"/>
      <c r="AP3" s="1053"/>
      <c r="AQ3" s="1053"/>
      <c r="AR3" s="1054"/>
      <c r="AS3" s="306"/>
    </row>
    <row r="4" spans="1:52" ht="15.75" thickBot="1" x14ac:dyDescent="0.3">
      <c r="B4" s="14"/>
      <c r="E4" s="99" t="s">
        <v>388</v>
      </c>
      <c r="F4" s="278">
        <f>+Inicio!S6</f>
        <v>43112</v>
      </c>
      <c r="G4" s="70"/>
      <c r="H4" s="281"/>
      <c r="I4" s="31"/>
      <c r="J4" s="730"/>
      <c r="K4" s="81"/>
      <c r="L4" s="31"/>
      <c r="M4" s="31"/>
      <c r="N4" s="31"/>
      <c r="O4" s="31"/>
      <c r="P4" s="31"/>
      <c r="Q4" s="81"/>
      <c r="R4" s="31"/>
      <c r="S4" s="31"/>
      <c r="T4" s="31"/>
      <c r="U4" s="31"/>
      <c r="V4" s="31"/>
      <c r="W4" s="31"/>
      <c r="X4" s="422"/>
      <c r="Y4" s="25"/>
      <c r="Z4" s="25"/>
      <c r="AA4" s="25"/>
      <c r="AB4" s="25"/>
      <c r="AC4" s="25"/>
      <c r="AD4" s="25"/>
      <c r="AE4" s="303"/>
      <c r="AF4" s="303"/>
      <c r="AG4" s="31"/>
      <c r="AH4" s="31"/>
      <c r="AI4" s="31"/>
      <c r="AJ4" s="31"/>
      <c r="AK4" s="276"/>
      <c r="AL4" s="84"/>
      <c r="AM4" s="1055"/>
      <c r="AN4" s="1056"/>
      <c r="AO4" s="1056"/>
      <c r="AP4" s="1056"/>
      <c r="AQ4" s="1056"/>
      <c r="AR4" s="1057"/>
      <c r="AS4" s="306"/>
    </row>
    <row r="5" spans="1:52" ht="14.25" customHeight="1" thickTop="1" x14ac:dyDescent="0.25">
      <c r="B5" s="14"/>
      <c r="E5" s="954" t="s">
        <v>3529</v>
      </c>
      <c r="F5" s="959" t="s">
        <v>3528</v>
      </c>
      <c r="G5" s="956" t="s">
        <v>927</v>
      </c>
      <c r="H5" s="955" t="s">
        <v>3530</v>
      </c>
      <c r="I5" s="957" t="s">
        <v>3535</v>
      </c>
      <c r="J5" s="125"/>
      <c r="K5" s="85"/>
      <c r="L5" s="14"/>
      <c r="M5" s="14"/>
      <c r="N5" s="14"/>
      <c r="O5" s="1047" t="s">
        <v>965</v>
      </c>
      <c r="P5" s="1047"/>
      <c r="Q5" s="1047"/>
      <c r="R5" s="1047"/>
      <c r="S5" s="1048"/>
      <c r="T5" s="75"/>
      <c r="U5" s="14"/>
      <c r="V5" s="1058" t="s">
        <v>1055</v>
      </c>
      <c r="W5" s="1058"/>
      <c r="X5" s="1059"/>
      <c r="Y5" s="1058"/>
      <c r="Z5" s="1058"/>
      <c r="AA5" s="1058"/>
      <c r="AB5" s="1058"/>
      <c r="AC5" s="1060"/>
      <c r="AD5" s="764"/>
      <c r="AE5" s="300"/>
      <c r="AF5" s="300"/>
      <c r="AG5" s="14"/>
      <c r="AH5" s="14"/>
      <c r="AI5" s="14"/>
      <c r="AJ5" s="14"/>
      <c r="AK5" s="273"/>
      <c r="AL5" s="14"/>
      <c r="AM5" s="85"/>
      <c r="AN5" s="85"/>
      <c r="AO5" s="85"/>
      <c r="AP5" s="85"/>
      <c r="AQ5" s="85"/>
      <c r="AR5" s="85"/>
      <c r="AS5" s="306"/>
    </row>
    <row r="6" spans="1:52" s="306" customFormat="1" ht="45" x14ac:dyDescent="0.25">
      <c r="A6" s="85"/>
      <c r="B6" s="85"/>
      <c r="C6" s="33" t="s">
        <v>1724</v>
      </c>
      <c r="D6" s="33" t="s">
        <v>2359</v>
      </c>
      <c r="E6" s="33" t="s">
        <v>0</v>
      </c>
      <c r="F6" s="33" t="s">
        <v>1</v>
      </c>
      <c r="G6" s="33" t="s">
        <v>394</v>
      </c>
      <c r="H6" s="3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3" t="s">
        <v>1209</v>
      </c>
      <c r="Y6" s="34" t="s">
        <v>376</v>
      </c>
      <c r="Z6" s="35" t="s">
        <v>1000</v>
      </c>
      <c r="AA6" s="35" t="s">
        <v>389</v>
      </c>
      <c r="AB6" s="35" t="s">
        <v>1094</v>
      </c>
      <c r="AC6" s="35" t="s">
        <v>1057</v>
      </c>
      <c r="AD6" s="35" t="s">
        <v>2191</v>
      </c>
      <c r="AE6" s="35" t="s">
        <v>1481</v>
      </c>
      <c r="AF6" s="35" t="s">
        <v>1122</v>
      </c>
      <c r="AG6" s="35" t="s">
        <v>1123</v>
      </c>
      <c r="AH6" s="35" t="s">
        <v>1124</v>
      </c>
      <c r="AI6" s="35" t="s">
        <v>566</v>
      </c>
      <c r="AJ6" s="35" t="s">
        <v>595</v>
      </c>
      <c r="AK6" s="35" t="s">
        <v>567</v>
      </c>
      <c r="AL6" s="35" t="s">
        <v>569</v>
      </c>
      <c r="AM6" s="35" t="s">
        <v>991</v>
      </c>
      <c r="AN6" s="35" t="s">
        <v>927</v>
      </c>
      <c r="AO6" s="35" t="s">
        <v>3536</v>
      </c>
      <c r="AP6" s="35" t="s">
        <v>1951</v>
      </c>
      <c r="AQ6" s="35" t="s">
        <v>984</v>
      </c>
      <c r="AR6" s="35" t="s">
        <v>3815</v>
      </c>
      <c r="AS6" s="35" t="s">
        <v>3816</v>
      </c>
      <c r="AT6" s="35" t="s">
        <v>3752</v>
      </c>
      <c r="AZ6" s="1"/>
    </row>
    <row r="7" spans="1:52" ht="47.25" customHeight="1" x14ac:dyDescent="0.25">
      <c r="A7" s="15">
        <v>1</v>
      </c>
      <c r="B7" s="15">
        <v>1</v>
      </c>
      <c r="C7" s="442"/>
      <c r="D7" s="442" t="str">
        <f t="shared" ref="D7:D70" si="0">K7&amp;C7</f>
        <v>2008</v>
      </c>
      <c r="E7" s="132" t="s">
        <v>92</v>
      </c>
      <c r="F7" s="132" t="s">
        <v>425</v>
      </c>
      <c r="G7" s="133"/>
      <c r="H7" s="132" t="s">
        <v>438</v>
      </c>
      <c r="I7" s="134">
        <v>7329236109</v>
      </c>
      <c r="J7" s="134" t="s">
        <v>1088</v>
      </c>
      <c r="K7" s="135">
        <v>2008</v>
      </c>
      <c r="L7" s="551"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12"/>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5" t="str">
        <f>IFERROR(VLOOKUP(E7,'liquidaciones '!$B$2:$C$1048576,2,0),"NO")</f>
        <v>NO</v>
      </c>
      <c r="AO7" s="983" t="str">
        <f>IFERROR(VLOOKUP(E7,'liquidaciones '!$B$2:$I$1048576,8,0)=0,"")</f>
        <v/>
      </c>
      <c r="AP7" s="338"/>
      <c r="AQ7" s="177" t="str">
        <f t="shared" ref="AQ7:AQ13" ca="1" si="10">IF((TODAY()-T7&lt;900),"SI","NO")</f>
        <v>NO</v>
      </c>
      <c r="AR7" s="177" t="s">
        <v>2080</v>
      </c>
      <c r="AS7" s="438"/>
      <c r="AT7" s="1015"/>
      <c r="AX7" s="16"/>
      <c r="AY7" s="16"/>
      <c r="AZ7" s="1" t="s">
        <v>390</v>
      </c>
    </row>
    <row r="8" spans="1:52" ht="47.25" customHeight="1" x14ac:dyDescent="0.25">
      <c r="A8" s="41">
        <v>2</v>
      </c>
      <c r="B8" s="15">
        <v>2</v>
      </c>
      <c r="C8" s="442"/>
      <c r="D8" s="442" t="str">
        <f t="shared" si="0"/>
        <v>2008</v>
      </c>
      <c r="E8" s="132" t="s">
        <v>151</v>
      </c>
      <c r="F8" s="132" t="s">
        <v>152</v>
      </c>
      <c r="G8" s="137">
        <v>800015583</v>
      </c>
      <c r="H8" s="132" t="s">
        <v>439</v>
      </c>
      <c r="I8" s="134">
        <v>2026575001</v>
      </c>
      <c r="J8" s="134" t="s">
        <v>1088</v>
      </c>
      <c r="K8" s="135">
        <v>2008</v>
      </c>
      <c r="L8" s="551">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4"/>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4" t="s">
        <v>560</v>
      </c>
      <c r="AI8" s="179"/>
      <c r="AJ8" s="703" t="s">
        <v>1949</v>
      </c>
      <c r="AK8" s="181" t="str">
        <f t="shared" ca="1" si="9"/>
        <v>TERMINO</v>
      </c>
      <c r="AL8" s="175"/>
      <c r="AM8" s="180" t="s">
        <v>390</v>
      </c>
      <c r="AN8" s="875" t="str">
        <f>IFERROR(VLOOKUP(E8,'liquidaciones '!$B$2:$C$1048576,2,0),"NO")</f>
        <v>LIQUIDADO</v>
      </c>
      <c r="AO8" s="983">
        <f>IFERROR(VLOOKUP(E8,'liquidaciones '!$B$2:$I$1048576,8,0),"")</f>
        <v>0</v>
      </c>
      <c r="AP8" s="339">
        <v>42149</v>
      </c>
      <c r="AQ8" s="177" t="str">
        <f t="shared" ca="1" si="10"/>
        <v>NO</v>
      </c>
      <c r="AR8" s="177" t="s">
        <v>1574</v>
      </c>
      <c r="AS8" s="438"/>
      <c r="AT8" s="1015"/>
      <c r="AX8" s="16"/>
      <c r="AY8" s="16"/>
      <c r="AZ8" s="1" t="s">
        <v>391</v>
      </c>
    </row>
    <row r="9" spans="1:52" ht="47.25" customHeight="1" x14ac:dyDescent="0.25">
      <c r="A9" s="15">
        <v>2</v>
      </c>
      <c r="B9" s="15">
        <v>3</v>
      </c>
      <c r="C9" s="442"/>
      <c r="D9" s="442" t="str">
        <f t="shared" si="0"/>
        <v>2008</v>
      </c>
      <c r="E9" s="132" t="s">
        <v>149</v>
      </c>
      <c r="F9" s="132" t="s">
        <v>150</v>
      </c>
      <c r="G9" s="133"/>
      <c r="H9" s="132" t="s">
        <v>1277</v>
      </c>
      <c r="I9" s="134">
        <v>2909992591</v>
      </c>
      <c r="J9" s="134" t="s">
        <v>1088</v>
      </c>
      <c r="K9" s="135">
        <v>2008</v>
      </c>
      <c r="L9" s="551"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12"/>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4" t="s">
        <v>560</v>
      </c>
      <c r="AI9" s="174"/>
      <c r="AJ9" s="175"/>
      <c r="AK9" s="181" t="str">
        <f t="shared" ca="1" si="9"/>
        <v>TERMINO</v>
      </c>
      <c r="AL9" s="175"/>
      <c r="AM9" s="176"/>
      <c r="AN9" s="875" t="str">
        <f>IFERROR(VLOOKUP(E9,'liquidaciones '!$B$2:$C$1048576,2,0),"NO")</f>
        <v>NO</v>
      </c>
      <c r="AO9" s="983" t="str">
        <f>IFERROR(VLOOKUP(E9,'liquidaciones '!$B$2:$I$1048576,8,0),"")</f>
        <v/>
      </c>
      <c r="AP9" s="338"/>
      <c r="AQ9" s="177" t="str">
        <f t="shared" ca="1" si="10"/>
        <v>NO</v>
      </c>
      <c r="AR9" s="177" t="s">
        <v>1574</v>
      </c>
      <c r="AS9" s="438"/>
      <c r="AT9" s="1015"/>
      <c r="AX9" s="16"/>
      <c r="AY9" s="16"/>
      <c r="AZ9" s="1" t="s">
        <v>590</v>
      </c>
    </row>
    <row r="10" spans="1:52" ht="47.25" customHeight="1" x14ac:dyDescent="0.25">
      <c r="A10" s="15">
        <v>2</v>
      </c>
      <c r="B10" s="15">
        <v>4</v>
      </c>
      <c r="C10" s="442"/>
      <c r="D10" s="442" t="str">
        <f t="shared" si="0"/>
        <v>2009</v>
      </c>
      <c r="E10" s="139" t="s">
        <v>180</v>
      </c>
      <c r="F10" s="132" t="s">
        <v>181</v>
      </c>
      <c r="G10" s="133"/>
      <c r="H10" s="132" t="s">
        <v>440</v>
      </c>
      <c r="I10" s="140">
        <v>234495075</v>
      </c>
      <c r="J10" s="134" t="s">
        <v>1088</v>
      </c>
      <c r="K10" s="157">
        <v>2009</v>
      </c>
      <c r="L10" s="551"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12"/>
      <c r="Y10" s="42">
        <f t="shared" si="4"/>
        <v>1</v>
      </c>
      <c r="Z10" s="42">
        <f t="shared" ca="1" si="5"/>
        <v>1</v>
      </c>
      <c r="AA10" s="43">
        <f t="shared" ca="1" si="6"/>
        <v>0</v>
      </c>
      <c r="AB10" s="202" t="str">
        <f t="shared" ca="1" si="7"/>
        <v/>
      </c>
      <c r="AC10" s="44" t="str">
        <f t="shared" si="8"/>
        <v>SI</v>
      </c>
      <c r="AD10" s="44"/>
      <c r="AE10" s="173" t="s">
        <v>1258</v>
      </c>
      <c r="AF10" s="173" t="s">
        <v>1278</v>
      </c>
      <c r="AG10" s="173" t="s">
        <v>1440</v>
      </c>
      <c r="AH10" s="284" t="s">
        <v>560</v>
      </c>
      <c r="AI10" s="174"/>
      <c r="AJ10" s="175"/>
      <c r="AK10" s="181" t="str">
        <f t="shared" ca="1" si="9"/>
        <v>TERMINO</v>
      </c>
      <c r="AL10" s="175"/>
      <c r="AM10" s="176"/>
      <c r="AN10" s="875" t="str">
        <f>IFERROR(VLOOKUP(E10,'liquidaciones '!$B$2:$C$1048576,2,0),"NO")</f>
        <v>NO</v>
      </c>
      <c r="AO10" s="983" t="str">
        <f>IFERROR(VLOOKUP(E10,'liquidaciones '!$B$2:$I$1048576,8,0),"")</f>
        <v/>
      </c>
      <c r="AP10" s="338"/>
      <c r="AQ10" s="177" t="str">
        <f t="shared" ca="1" si="10"/>
        <v>NO</v>
      </c>
      <c r="AR10" s="177" t="s">
        <v>1574</v>
      </c>
      <c r="AS10" s="438"/>
      <c r="AT10" s="1015"/>
      <c r="AX10" s="16"/>
      <c r="AY10" s="16"/>
    </row>
    <row r="11" spans="1:52" ht="47.25" customHeight="1" x14ac:dyDescent="0.25">
      <c r="A11" s="15">
        <v>2</v>
      </c>
      <c r="B11" s="15">
        <v>5</v>
      </c>
      <c r="C11" s="442"/>
      <c r="D11" s="442" t="str">
        <f t="shared" si="0"/>
        <v>2009</v>
      </c>
      <c r="E11" s="139" t="s">
        <v>182</v>
      </c>
      <c r="F11" s="132" t="s">
        <v>152</v>
      </c>
      <c r="G11" s="133">
        <v>800015583</v>
      </c>
      <c r="H11" s="132" t="s">
        <v>441</v>
      </c>
      <c r="I11" s="140">
        <v>507000000</v>
      </c>
      <c r="J11" s="134" t="s">
        <v>1088</v>
      </c>
      <c r="K11" s="135">
        <v>2009</v>
      </c>
      <c r="L11" s="551"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12"/>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4" t="s">
        <v>560</v>
      </c>
      <c r="AI11" s="174"/>
      <c r="AJ11" s="175"/>
      <c r="AK11" s="181" t="str">
        <f t="shared" ca="1" si="9"/>
        <v>TERMINO</v>
      </c>
      <c r="AL11" s="175"/>
      <c r="AM11" s="176"/>
      <c r="AN11" s="875" t="str">
        <f>IFERROR(VLOOKUP(E11,'liquidaciones '!$B$2:$C$1048576,2,0),"NO")</f>
        <v>NO</v>
      </c>
      <c r="AO11" s="983" t="str">
        <f>IFERROR(VLOOKUP(E11,'liquidaciones '!$B$2:$I$1048576,8,0),"")</f>
        <v/>
      </c>
      <c r="AP11" s="338"/>
      <c r="AQ11" s="177" t="str">
        <f t="shared" ca="1" si="10"/>
        <v>NO</v>
      </c>
      <c r="AR11" s="177" t="s">
        <v>1574</v>
      </c>
      <c r="AS11" s="438"/>
      <c r="AT11" s="1015"/>
      <c r="AX11" s="16"/>
      <c r="AY11" s="16"/>
    </row>
    <row r="12" spans="1:52" ht="47.25" customHeight="1" x14ac:dyDescent="0.25">
      <c r="A12" s="15">
        <v>2</v>
      </c>
      <c r="B12" s="15">
        <v>6</v>
      </c>
      <c r="C12" s="442"/>
      <c r="D12" s="442" t="str">
        <f t="shared" si="0"/>
        <v>2011</v>
      </c>
      <c r="E12" s="142" t="s">
        <v>589</v>
      </c>
      <c r="F12" s="132" t="s">
        <v>426</v>
      </c>
      <c r="G12" s="143">
        <v>900231022</v>
      </c>
      <c r="H12" s="132" t="s">
        <v>442</v>
      </c>
      <c r="I12" s="134">
        <v>12835200</v>
      </c>
      <c r="J12" s="134" t="s">
        <v>1088</v>
      </c>
      <c r="K12" s="135">
        <v>2011</v>
      </c>
      <c r="L12" s="551"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12"/>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4" t="s">
        <v>560</v>
      </c>
      <c r="AI12" s="174"/>
      <c r="AJ12" s="181"/>
      <c r="AK12" s="181" t="str">
        <f t="shared" ca="1" si="9"/>
        <v>TERMINO</v>
      </c>
      <c r="AL12" s="181" t="s">
        <v>576</v>
      </c>
      <c r="AM12" s="176" t="s">
        <v>390</v>
      </c>
      <c r="AN12" s="875" t="str">
        <f>IFERROR(VLOOKUP(E12,'liquidaciones '!$B$2:$C$1048576,2,0),"NO")</f>
        <v>NO</v>
      </c>
      <c r="AO12" s="983" t="str">
        <f>IFERROR(VLOOKUP(E12,'liquidaciones '!$B$2:$I$1048576,8,0),"")</f>
        <v/>
      </c>
      <c r="AP12" s="340"/>
      <c r="AQ12" s="177" t="str">
        <f t="shared" ca="1" si="10"/>
        <v>NO</v>
      </c>
      <c r="AR12" s="177" t="s">
        <v>1574</v>
      </c>
      <c r="AS12" s="438"/>
      <c r="AT12" s="1015"/>
      <c r="AX12" s="16"/>
      <c r="AY12" s="16"/>
    </row>
    <row r="13" spans="1:52" ht="47.25" customHeight="1" x14ac:dyDescent="0.25">
      <c r="A13" s="15">
        <v>1</v>
      </c>
      <c r="B13" s="15">
        <v>7</v>
      </c>
      <c r="C13" s="442"/>
      <c r="D13" s="442" t="str">
        <f t="shared" si="0"/>
        <v>2011</v>
      </c>
      <c r="E13" s="144" t="s">
        <v>101</v>
      </c>
      <c r="F13" s="145" t="s">
        <v>427</v>
      </c>
      <c r="G13" s="133">
        <v>800109177</v>
      </c>
      <c r="H13" s="145" t="s">
        <v>443</v>
      </c>
      <c r="I13" s="146">
        <v>1750000</v>
      </c>
      <c r="J13" s="134" t="s">
        <v>1088</v>
      </c>
      <c r="K13" s="135">
        <v>2011</v>
      </c>
      <c r="L13" s="551"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12"/>
      <c r="Y13" s="42">
        <f t="shared" si="4"/>
        <v>0</v>
      </c>
      <c r="Z13" s="42">
        <f t="shared" ca="1" si="5"/>
        <v>1</v>
      </c>
      <c r="AA13" s="43">
        <f t="shared" ca="1" si="6"/>
        <v>1</v>
      </c>
      <c r="AB13" s="202" t="str">
        <f t="shared" ca="1" si="7"/>
        <v/>
      </c>
      <c r="AC13" s="44" t="str">
        <f t="shared" si="8"/>
        <v>NO</v>
      </c>
      <c r="AD13" s="44"/>
      <c r="AE13" s="173" t="s">
        <v>1257</v>
      </c>
      <c r="AF13" s="304" t="s">
        <v>1143</v>
      </c>
      <c r="AG13" s="173" t="s">
        <v>1431</v>
      </c>
      <c r="AH13" s="284" t="s">
        <v>564</v>
      </c>
      <c r="AI13" s="174"/>
      <c r="AJ13" s="175"/>
      <c r="AK13" s="181" t="str">
        <f t="shared" ca="1" si="9"/>
        <v>TERMINO</v>
      </c>
      <c r="AL13" s="181" t="s">
        <v>576</v>
      </c>
      <c r="AM13" s="176" t="s">
        <v>390</v>
      </c>
      <c r="AN13" s="875" t="str">
        <f>IFERROR(VLOOKUP(E13,'liquidaciones '!$B$2:$C$1048576,2,0),"NO")</f>
        <v>NO</v>
      </c>
      <c r="AO13" s="983" t="str">
        <f>IFERROR(VLOOKUP(E13,'liquidaciones '!$B$2:$I$1048576,8,0),"")</f>
        <v/>
      </c>
      <c r="AP13" s="338"/>
      <c r="AQ13" s="177" t="str">
        <f t="shared" ca="1" si="10"/>
        <v>NO</v>
      </c>
      <c r="AR13" s="177" t="s">
        <v>1574</v>
      </c>
      <c r="AS13" s="438"/>
      <c r="AT13" s="1015"/>
      <c r="AX13" s="16"/>
      <c r="AY13" s="16"/>
    </row>
    <row r="14" spans="1:52" ht="47.25" customHeight="1" x14ac:dyDescent="0.25">
      <c r="B14" s="15">
        <v>8</v>
      </c>
      <c r="C14" s="442"/>
      <c r="D14" s="442" t="str">
        <f t="shared" si="0"/>
        <v>2011</v>
      </c>
      <c r="E14" s="139" t="s">
        <v>170</v>
      </c>
      <c r="F14" s="132" t="s">
        <v>428</v>
      </c>
      <c r="G14" s="143">
        <v>830050919</v>
      </c>
      <c r="H14" s="132" t="s">
        <v>444</v>
      </c>
      <c r="I14" s="140">
        <v>497000000</v>
      </c>
      <c r="J14" s="134" t="s">
        <v>1088</v>
      </c>
      <c r="K14" s="135">
        <v>2011</v>
      </c>
      <c r="L14" s="551"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12"/>
      <c r="Y14" s="42">
        <f t="shared" si="4"/>
        <v>0.99785305231388333</v>
      </c>
      <c r="Z14" s="42">
        <f t="shared" ca="1" si="5"/>
        <v>1</v>
      </c>
      <c r="AA14" s="43">
        <f t="shared" ca="1" si="6"/>
        <v>2.1469476861166736E-3</v>
      </c>
      <c r="AB14" s="202" t="str">
        <f t="shared" ca="1" si="7"/>
        <v/>
      </c>
      <c r="AC14" s="44" t="str">
        <f t="shared" si="8"/>
        <v>NO</v>
      </c>
      <c r="AD14" s="44"/>
      <c r="AE14" s="173" t="s">
        <v>1257</v>
      </c>
      <c r="AF14" s="284" t="s">
        <v>1427</v>
      </c>
      <c r="AG14" s="173" t="s">
        <v>1436</v>
      </c>
      <c r="AH14" s="284" t="s">
        <v>560</v>
      </c>
      <c r="AI14" s="174"/>
      <c r="AJ14" s="181" t="str">
        <f>VLOOKUP(E14,[1]Hoja1!$F$4:$G$48,2,0)</f>
        <v>Elbert Wisner Espitia Olaya</v>
      </c>
      <c r="AK14" s="181" t="str">
        <f t="shared" ca="1" si="9"/>
        <v>TERMINO</v>
      </c>
      <c r="AL14" s="181" t="s">
        <v>574</v>
      </c>
      <c r="AM14" s="176" t="s">
        <v>390</v>
      </c>
      <c r="AN14" s="875" t="str">
        <f>IFERROR(VLOOKUP(E14,'liquidaciones '!$B$2:$C$1048576,2,0),"NO")</f>
        <v>NO</v>
      </c>
      <c r="AO14" s="983" t="str">
        <f>IFERROR(VLOOKUP(E14,'liquidaciones '!$B$2:$I$1048576,8,0),"")</f>
        <v/>
      </c>
      <c r="AP14" s="340"/>
      <c r="AQ14" s="177" t="str">
        <f ca="1">IF((TODAY()-T14&lt;910),"SI","NO")</f>
        <v>NO</v>
      </c>
      <c r="AR14" s="177" t="s">
        <v>982</v>
      </c>
      <c r="AS14" s="438"/>
      <c r="AT14" s="1015"/>
      <c r="AX14" s="16"/>
      <c r="AY14" s="16"/>
    </row>
    <row r="15" spans="1:52" ht="47.25" customHeight="1" x14ac:dyDescent="0.25">
      <c r="A15" s="15"/>
      <c r="B15" s="15">
        <v>9</v>
      </c>
      <c r="C15" s="442"/>
      <c r="D15" s="442" t="str">
        <f t="shared" si="0"/>
        <v>2011</v>
      </c>
      <c r="E15" s="139" t="s">
        <v>594</v>
      </c>
      <c r="F15" s="132" t="s">
        <v>1006</v>
      </c>
      <c r="G15" s="143">
        <v>830040274</v>
      </c>
      <c r="H15" s="132" t="s">
        <v>363</v>
      </c>
      <c r="I15" s="140">
        <v>9425000</v>
      </c>
      <c r="J15" s="134" t="s">
        <v>1088</v>
      </c>
      <c r="K15" s="135">
        <v>2011</v>
      </c>
      <c r="L15" s="551"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12"/>
      <c r="Y15" s="42">
        <f t="shared" si="4"/>
        <v>1</v>
      </c>
      <c r="Z15" s="42">
        <f t="shared" ca="1" si="5"/>
        <v>1</v>
      </c>
      <c r="AA15" s="43">
        <f t="shared" ca="1" si="6"/>
        <v>0</v>
      </c>
      <c r="AB15" s="202" t="str">
        <f t="shared" ca="1" si="7"/>
        <v/>
      </c>
      <c r="AC15" s="44" t="str">
        <f t="shared" si="8"/>
        <v>SI</v>
      </c>
      <c r="AD15" s="44"/>
      <c r="AE15" s="173" t="s">
        <v>1257</v>
      </c>
      <c r="AF15" s="173" t="s">
        <v>1146</v>
      </c>
      <c r="AG15" s="173"/>
      <c r="AH15" s="284"/>
      <c r="AI15" s="174"/>
      <c r="AJ15" s="181" t="s">
        <v>593</v>
      </c>
      <c r="AK15" s="181" t="str">
        <f t="shared" ca="1" si="9"/>
        <v>TERMINO</v>
      </c>
      <c r="AL15" s="181" t="s">
        <v>574</v>
      </c>
      <c r="AM15" s="176" t="s">
        <v>390</v>
      </c>
      <c r="AN15" s="875" t="str">
        <f>IFERROR(VLOOKUP(E15,'liquidaciones '!$B$2:$C$1048576,2,0),"NO")</f>
        <v>NO</v>
      </c>
      <c r="AO15" s="983" t="str">
        <f>IFERROR(VLOOKUP(E15,'liquidaciones '!$B$2:$I$1048576,8,0),"")</f>
        <v/>
      </c>
      <c r="AP15" s="340">
        <v>42201</v>
      </c>
      <c r="AQ15" s="177" t="str">
        <f t="shared" ref="AQ15:AQ78" ca="1" si="11">IF((TODAY()-T15&lt;900),"SI","NO")</f>
        <v>NO</v>
      </c>
      <c r="AR15" s="177" t="s">
        <v>983</v>
      </c>
      <c r="AS15" s="438"/>
      <c r="AT15" s="1015"/>
      <c r="AX15" s="16"/>
      <c r="AY15" s="16"/>
    </row>
    <row r="16" spans="1:52" ht="47.25" customHeight="1" x14ac:dyDescent="0.25">
      <c r="A16" s="15">
        <v>1</v>
      </c>
      <c r="B16" s="15">
        <v>10</v>
      </c>
      <c r="C16" s="442"/>
      <c r="D16" s="442" t="str">
        <f t="shared" si="0"/>
        <v>2011</v>
      </c>
      <c r="E16" s="145" t="s">
        <v>127</v>
      </c>
      <c r="F16" s="145" t="s">
        <v>128</v>
      </c>
      <c r="G16" s="143">
        <v>900340597</v>
      </c>
      <c r="H16" s="145" t="s">
        <v>355</v>
      </c>
      <c r="I16" s="146">
        <v>15000000</v>
      </c>
      <c r="J16" s="134" t="s">
        <v>1088</v>
      </c>
      <c r="K16" s="135">
        <v>2011</v>
      </c>
      <c r="L16" s="551"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12"/>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4" t="s">
        <v>560</v>
      </c>
      <c r="AI16" s="174"/>
      <c r="AJ16" s="181" t="s">
        <v>596</v>
      </c>
      <c r="AK16" s="181" t="str">
        <f t="shared" ca="1" si="9"/>
        <v>TERMINO</v>
      </c>
      <c r="AL16" s="181" t="s">
        <v>576</v>
      </c>
      <c r="AM16" s="176" t="s">
        <v>390</v>
      </c>
      <c r="AN16" s="875" t="str">
        <f>IFERROR(VLOOKUP(E16,'liquidaciones '!$B$2:$C$1048576,2,0),"NO")</f>
        <v>LIQUIDADO</v>
      </c>
      <c r="AO16" s="983">
        <f>IFERROR(VLOOKUP(E16,'liquidaciones '!$B$2:$I$1048576,8,0),"")</f>
        <v>0</v>
      </c>
      <c r="AP16" s="340">
        <v>42094</v>
      </c>
      <c r="AQ16" s="177" t="str">
        <f t="shared" ca="1" si="11"/>
        <v>NO</v>
      </c>
      <c r="AR16" s="177" t="s">
        <v>983</v>
      </c>
      <c r="AS16" s="438"/>
      <c r="AT16" s="1015"/>
      <c r="AX16" s="16"/>
      <c r="AY16" s="16"/>
    </row>
    <row r="17" spans="1:51" ht="47.25" customHeight="1" x14ac:dyDescent="0.25">
      <c r="A17" s="15">
        <v>2</v>
      </c>
      <c r="B17" s="15">
        <v>11</v>
      </c>
      <c r="C17" s="442"/>
      <c r="D17" s="442" t="str">
        <f t="shared" si="0"/>
        <v>2011</v>
      </c>
      <c r="E17" s="142" t="s">
        <v>120</v>
      </c>
      <c r="F17" s="132" t="s">
        <v>429</v>
      </c>
      <c r="G17" s="133">
        <v>860403052</v>
      </c>
      <c r="H17" s="132" t="s">
        <v>445</v>
      </c>
      <c r="I17" s="134">
        <v>15063760</v>
      </c>
      <c r="J17" s="134" t="s">
        <v>1088</v>
      </c>
      <c r="K17" s="135">
        <v>2011</v>
      </c>
      <c r="L17" s="551"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12"/>
      <c r="Y17" s="42">
        <f t="shared" si="4"/>
        <v>1</v>
      </c>
      <c r="Z17" s="42">
        <f t="shared" ca="1" si="5"/>
        <v>1</v>
      </c>
      <c r="AA17" s="43">
        <f t="shared" ca="1" si="6"/>
        <v>0</v>
      </c>
      <c r="AB17" s="202" t="str">
        <f t="shared" ca="1" si="7"/>
        <v/>
      </c>
      <c r="AC17" s="44" t="str">
        <f t="shared" si="8"/>
        <v>SI</v>
      </c>
      <c r="AD17" s="44"/>
      <c r="AE17" s="173" t="s">
        <v>1258</v>
      </c>
      <c r="AF17" s="173" t="s">
        <v>1468</v>
      </c>
      <c r="AG17" s="173" t="s">
        <v>1440</v>
      </c>
      <c r="AH17" s="284" t="s">
        <v>560</v>
      </c>
      <c r="AI17" s="174"/>
      <c r="AJ17" s="181"/>
      <c r="AK17" s="181" t="str">
        <f t="shared" ca="1" si="9"/>
        <v>TERMINO</v>
      </c>
      <c r="AL17" s="181" t="s">
        <v>576</v>
      </c>
      <c r="AM17" s="176" t="s">
        <v>390</v>
      </c>
      <c r="AN17" s="875" t="str">
        <f>IFERROR(VLOOKUP(E17,'liquidaciones '!$B$2:$C$1048576,2,0),"NO")</f>
        <v>LIQUIDADO</v>
      </c>
      <c r="AO17" s="983" t="str">
        <f>IFERROR(VLOOKUP(E17,'liquidaciones '!$B$2:$I$1048576,8,0),"")</f>
        <v>GIOVANNI SUAREZ</v>
      </c>
      <c r="AP17" s="340"/>
      <c r="AQ17" s="177" t="str">
        <f t="shared" ca="1" si="11"/>
        <v>NO</v>
      </c>
      <c r="AR17" s="177" t="s">
        <v>983</v>
      </c>
      <c r="AS17" s="438"/>
      <c r="AT17" s="1015"/>
      <c r="AX17" s="16"/>
      <c r="AY17" s="16"/>
    </row>
    <row r="18" spans="1:51" ht="47.25" customHeight="1" x14ac:dyDescent="0.25">
      <c r="A18" s="15">
        <v>1</v>
      </c>
      <c r="B18" s="15">
        <v>12</v>
      </c>
      <c r="C18" s="442"/>
      <c r="D18" s="442" t="str">
        <f t="shared" si="0"/>
        <v>2011</v>
      </c>
      <c r="E18" s="144" t="s">
        <v>112</v>
      </c>
      <c r="F18" s="145" t="s">
        <v>430</v>
      </c>
      <c r="G18" s="151">
        <v>800045609</v>
      </c>
      <c r="H18" s="145" t="s">
        <v>446</v>
      </c>
      <c r="I18" s="146">
        <v>8506800</v>
      </c>
      <c r="J18" s="134" t="s">
        <v>1088</v>
      </c>
      <c r="K18" s="135">
        <v>2011</v>
      </c>
      <c r="L18" s="551"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12"/>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4"/>
      <c r="AI18" s="174"/>
      <c r="AJ18" s="181" t="s">
        <v>593</v>
      </c>
      <c r="AK18" s="181" t="str">
        <f t="shared" ca="1" si="9"/>
        <v>TERMINO</v>
      </c>
      <c r="AL18" s="181" t="s">
        <v>576</v>
      </c>
      <c r="AM18" s="176" t="s">
        <v>390</v>
      </c>
      <c r="AN18" s="875" t="str">
        <f>IFERROR(VLOOKUP(E18,'liquidaciones '!$B$2:$C$1048576,2,0),"NO")</f>
        <v>NO</v>
      </c>
      <c r="AO18" s="983" t="str">
        <f>IFERROR(VLOOKUP(E18,'liquidaciones '!$B$2:$I$1048576,8,0),"")</f>
        <v/>
      </c>
      <c r="AP18" s="340"/>
      <c r="AQ18" s="177" t="str">
        <f t="shared" ca="1" si="11"/>
        <v>NO</v>
      </c>
      <c r="AR18" s="177" t="s">
        <v>1574</v>
      </c>
      <c r="AS18" s="438"/>
      <c r="AT18" s="1015"/>
      <c r="AX18" s="16"/>
      <c r="AY18" s="16"/>
    </row>
    <row r="19" spans="1:51" ht="47.25" customHeight="1" x14ac:dyDescent="0.25">
      <c r="A19" s="15">
        <v>2</v>
      </c>
      <c r="B19" s="15">
        <v>13</v>
      </c>
      <c r="C19" s="442"/>
      <c r="D19" s="442" t="str">
        <f t="shared" si="0"/>
        <v>2011</v>
      </c>
      <c r="E19" s="142" t="s">
        <v>161</v>
      </c>
      <c r="F19" s="132" t="s">
        <v>162</v>
      </c>
      <c r="G19" s="143">
        <v>830073623</v>
      </c>
      <c r="H19" s="132" t="s">
        <v>360</v>
      </c>
      <c r="I19" s="134">
        <v>1306508</v>
      </c>
      <c r="J19" s="134" t="s">
        <v>1088</v>
      </c>
      <c r="K19" s="135">
        <v>2011</v>
      </c>
      <c r="L19" s="551"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12"/>
      <c r="Y19" s="42">
        <f t="shared" si="4"/>
        <v>1</v>
      </c>
      <c r="Z19" s="42">
        <f t="shared" ca="1" si="5"/>
        <v>1</v>
      </c>
      <c r="AA19" s="43">
        <f t="shared" ca="1" si="6"/>
        <v>0</v>
      </c>
      <c r="AB19" s="202" t="str">
        <f t="shared" ca="1" si="7"/>
        <v/>
      </c>
      <c r="AC19" s="44" t="str">
        <f t="shared" si="8"/>
        <v>SI</v>
      </c>
      <c r="AD19" s="44"/>
      <c r="AE19" s="173" t="s">
        <v>1258</v>
      </c>
      <c r="AF19" s="173" t="s">
        <v>1297</v>
      </c>
      <c r="AG19" s="173" t="s">
        <v>1440</v>
      </c>
      <c r="AH19" s="284"/>
      <c r="AI19" s="174"/>
      <c r="AJ19" s="181"/>
      <c r="AK19" s="181" t="str">
        <f t="shared" ca="1" si="9"/>
        <v>TERMINO</v>
      </c>
      <c r="AL19" s="181" t="s">
        <v>576</v>
      </c>
      <c r="AM19" s="176" t="s">
        <v>391</v>
      </c>
      <c r="AN19" s="875" t="str">
        <f>IFERROR(VLOOKUP(E19,'liquidaciones '!$B$2:$C$1048576,2,0),"NO")</f>
        <v>NO</v>
      </c>
      <c r="AO19" s="983" t="str">
        <f>IFERROR(VLOOKUP(E19,'liquidaciones '!$B$2:$I$1048576,8,0),"")</f>
        <v/>
      </c>
      <c r="AP19" s="338"/>
      <c r="AQ19" s="177" t="str">
        <f t="shared" ca="1" si="11"/>
        <v>NO</v>
      </c>
      <c r="AR19" s="177" t="s">
        <v>1574</v>
      </c>
      <c r="AS19" s="438"/>
      <c r="AT19" s="1015"/>
      <c r="AX19" s="16"/>
      <c r="AY19" s="16"/>
    </row>
    <row r="20" spans="1:51" ht="47.25" customHeight="1" x14ac:dyDescent="0.25">
      <c r="A20" s="15">
        <v>1</v>
      </c>
      <c r="B20" s="15">
        <v>14</v>
      </c>
      <c r="C20" s="442"/>
      <c r="D20" s="442" t="str">
        <f t="shared" si="0"/>
        <v>2011</v>
      </c>
      <c r="E20" s="145" t="s">
        <v>5</v>
      </c>
      <c r="F20" s="145" t="s">
        <v>431</v>
      </c>
      <c r="G20" s="133">
        <v>860053274</v>
      </c>
      <c r="H20" s="145" t="s">
        <v>312</v>
      </c>
      <c r="I20" s="146">
        <v>102786079</v>
      </c>
      <c r="J20" s="134" t="s">
        <v>1088</v>
      </c>
      <c r="K20" s="135">
        <v>2011</v>
      </c>
      <c r="L20" s="551"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12"/>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4" t="s">
        <v>560</v>
      </c>
      <c r="AI20" s="179" t="s">
        <v>1380</v>
      </c>
      <c r="AJ20" s="181" t="s">
        <v>593</v>
      </c>
      <c r="AK20" s="181" t="str">
        <f t="shared" ca="1" si="9"/>
        <v>TERMINO</v>
      </c>
      <c r="AL20" s="181" t="s">
        <v>574</v>
      </c>
      <c r="AM20" s="176" t="s">
        <v>390</v>
      </c>
      <c r="AN20" s="875" t="str">
        <f>IFERROR(VLOOKUP(E20,'liquidaciones '!$B$2:$C$1048576,2,0),"NO")</f>
        <v>NO</v>
      </c>
      <c r="AO20" s="983" t="str">
        <f>IFERROR(VLOOKUP(E20,'liquidaciones '!$B$2:$I$1048576,8,0),"")</f>
        <v/>
      </c>
      <c r="AP20" s="340"/>
      <c r="AQ20" s="177" t="str">
        <f t="shared" ca="1" si="11"/>
        <v>NO</v>
      </c>
      <c r="AR20" s="177" t="s">
        <v>1574</v>
      </c>
      <c r="AS20" s="438"/>
      <c r="AT20" s="1015"/>
      <c r="AX20" s="16"/>
      <c r="AY20" s="16"/>
    </row>
    <row r="21" spans="1:51" ht="47.25" customHeight="1" x14ac:dyDescent="0.25">
      <c r="A21" s="15">
        <v>2</v>
      </c>
      <c r="B21" s="15">
        <v>15</v>
      </c>
      <c r="C21" s="442"/>
      <c r="D21" s="442" t="str">
        <f t="shared" si="0"/>
        <v>2011</v>
      </c>
      <c r="E21" s="142" t="s">
        <v>163</v>
      </c>
      <c r="F21" s="132" t="s">
        <v>432</v>
      </c>
      <c r="G21" s="143">
        <v>860518574</v>
      </c>
      <c r="H21" s="132" t="s">
        <v>447</v>
      </c>
      <c r="I21" s="134">
        <v>49376272</v>
      </c>
      <c r="J21" s="134" t="s">
        <v>1088</v>
      </c>
      <c r="K21" s="135">
        <v>2011</v>
      </c>
      <c r="L21" s="551"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12"/>
      <c r="Y21" s="42">
        <f t="shared" si="4"/>
        <v>1</v>
      </c>
      <c r="Z21" s="42">
        <f t="shared" ca="1" si="5"/>
        <v>1</v>
      </c>
      <c r="AA21" s="43">
        <f t="shared" ca="1" si="6"/>
        <v>0</v>
      </c>
      <c r="AB21" s="202" t="str">
        <f t="shared" ca="1" si="7"/>
        <v/>
      </c>
      <c r="AC21" s="44" t="str">
        <f t="shared" si="8"/>
        <v>SI</v>
      </c>
      <c r="AD21" s="44"/>
      <c r="AE21" s="173" t="s">
        <v>1257</v>
      </c>
      <c r="AF21" s="173" t="s">
        <v>1282</v>
      </c>
      <c r="AG21" s="173"/>
      <c r="AH21" s="284"/>
      <c r="AI21" s="174"/>
      <c r="AJ21" s="181" t="s">
        <v>593</v>
      </c>
      <c r="AK21" s="181" t="str">
        <f t="shared" ca="1" si="9"/>
        <v>TERMINO</v>
      </c>
      <c r="AL21" s="181" t="s">
        <v>576</v>
      </c>
      <c r="AM21" s="176" t="s">
        <v>390</v>
      </c>
      <c r="AN21" s="875" t="str">
        <f>IFERROR(VLOOKUP(E21,'liquidaciones '!$B$2:$C$1048576,2,0),"NO")</f>
        <v>LIQUIDADO</v>
      </c>
      <c r="AO21" s="983" t="str">
        <f>IFERROR(VLOOKUP(E21,'liquidaciones '!$B$2:$I$1048576,8,0),"")</f>
        <v>GIOVANNI SUAREZ</v>
      </c>
      <c r="AP21" s="340"/>
      <c r="AQ21" s="177" t="str">
        <f t="shared" ca="1" si="11"/>
        <v>NO</v>
      </c>
      <c r="AR21" s="177" t="s">
        <v>1574</v>
      </c>
      <c r="AS21" s="438"/>
      <c r="AT21" s="1015"/>
      <c r="AX21" s="16"/>
      <c r="AY21" s="16"/>
    </row>
    <row r="22" spans="1:51" ht="47.25" customHeight="1" x14ac:dyDescent="0.25">
      <c r="A22" s="15">
        <v>2</v>
      </c>
      <c r="B22" s="15">
        <v>16</v>
      </c>
      <c r="C22" s="442"/>
      <c r="D22" s="442" t="str">
        <f t="shared" si="0"/>
        <v>2012</v>
      </c>
      <c r="E22" s="132" t="s">
        <v>21</v>
      </c>
      <c r="F22" s="132" t="s">
        <v>22</v>
      </c>
      <c r="G22" s="133">
        <v>830112518</v>
      </c>
      <c r="H22" s="132" t="s">
        <v>321</v>
      </c>
      <c r="I22" s="134">
        <v>79634000</v>
      </c>
      <c r="J22" s="134" t="s">
        <v>1088</v>
      </c>
      <c r="K22" s="152">
        <v>2012</v>
      </c>
      <c r="L22" s="551"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12"/>
      <c r="Y22" s="42">
        <f t="shared" si="4"/>
        <v>1</v>
      </c>
      <c r="Z22" s="42">
        <f t="shared" ca="1" si="5"/>
        <v>1</v>
      </c>
      <c r="AA22" s="43">
        <f t="shared" ca="1" si="6"/>
        <v>0</v>
      </c>
      <c r="AB22" s="202" t="str">
        <f t="shared" ca="1" si="7"/>
        <v/>
      </c>
      <c r="AC22" s="44" t="str">
        <f t="shared" si="8"/>
        <v>SI</v>
      </c>
      <c r="AD22" s="44"/>
      <c r="AE22" s="173" t="s">
        <v>1258</v>
      </c>
      <c r="AF22" s="173" t="s">
        <v>1175</v>
      </c>
      <c r="AG22" s="173" t="s">
        <v>1440</v>
      </c>
      <c r="AH22" s="284" t="s">
        <v>560</v>
      </c>
      <c r="AI22" s="174"/>
      <c r="AJ22" s="181" t="s">
        <v>600</v>
      </c>
      <c r="AK22" s="181" t="str">
        <f t="shared" ca="1" si="9"/>
        <v>TERMINO</v>
      </c>
      <c r="AL22" s="181" t="s">
        <v>582</v>
      </c>
      <c r="AM22" s="176" t="s">
        <v>390</v>
      </c>
      <c r="AN22" s="875" t="str">
        <f>IFERROR(VLOOKUP(E22,'liquidaciones '!$B$2:$C$1048576,2,0),"NO")</f>
        <v>LIQUIDADO</v>
      </c>
      <c r="AO22" s="983">
        <f>IFERROR(VLOOKUP(E22,'liquidaciones '!$B$2:$I$1048576,8,0),"")</f>
        <v>0</v>
      </c>
      <c r="AP22" s="340">
        <v>41977</v>
      </c>
      <c r="AQ22" s="177" t="str">
        <f t="shared" ca="1" si="11"/>
        <v>NO</v>
      </c>
      <c r="AR22" s="177" t="s">
        <v>983</v>
      </c>
      <c r="AS22" s="438"/>
      <c r="AT22" s="1015"/>
      <c r="AX22" s="16"/>
      <c r="AY22" s="16"/>
    </row>
    <row r="23" spans="1:51" ht="47.25" customHeight="1" x14ac:dyDescent="0.25">
      <c r="A23" s="15">
        <v>3</v>
      </c>
      <c r="B23" s="15">
        <v>17</v>
      </c>
      <c r="C23" s="442"/>
      <c r="D23" s="442" t="str">
        <f t="shared" si="0"/>
        <v>2012</v>
      </c>
      <c r="E23" s="142" t="s">
        <v>103</v>
      </c>
      <c r="F23" s="132" t="s">
        <v>1636</v>
      </c>
      <c r="G23" s="133">
        <v>20546554</v>
      </c>
      <c r="H23" s="132" t="s">
        <v>448</v>
      </c>
      <c r="I23" s="134">
        <v>4206160</v>
      </c>
      <c r="J23" s="134" t="s">
        <v>1088</v>
      </c>
      <c r="K23" s="152">
        <v>2012</v>
      </c>
      <c r="L23" s="551"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12"/>
      <c r="Y23" s="42">
        <f t="shared" si="4"/>
        <v>0</v>
      </c>
      <c r="Z23" s="42">
        <f t="shared" ca="1" si="5"/>
        <v>1</v>
      </c>
      <c r="AA23" s="43">
        <f t="shared" ca="1" si="6"/>
        <v>1</v>
      </c>
      <c r="AB23" s="202" t="str">
        <f t="shared" ca="1" si="7"/>
        <v/>
      </c>
      <c r="AC23" s="44" t="str">
        <f t="shared" si="8"/>
        <v>NO</v>
      </c>
      <c r="AD23" s="44"/>
      <c r="AE23" s="173" t="s">
        <v>1258</v>
      </c>
      <c r="AF23" s="173" t="s">
        <v>1297</v>
      </c>
      <c r="AG23" s="173" t="s">
        <v>1440</v>
      </c>
      <c r="AH23" s="284" t="s">
        <v>560</v>
      </c>
      <c r="AI23" s="174"/>
      <c r="AJ23" s="181" t="s">
        <v>600</v>
      </c>
      <c r="AK23" s="181" t="str">
        <f t="shared" ca="1" si="9"/>
        <v>TERMINO</v>
      </c>
      <c r="AL23" s="175" t="s">
        <v>576</v>
      </c>
      <c r="AM23" s="182" t="s">
        <v>391</v>
      </c>
      <c r="AN23" s="875" t="str">
        <f>IFERROR(VLOOKUP(E23,'liquidaciones '!$B$2:$C$1048576,2,0),"NO")</f>
        <v>NO</v>
      </c>
      <c r="AO23" s="983" t="str">
        <f>IFERROR(VLOOKUP(E23,'liquidaciones '!$B$2:$I$1048576,8,0),"")</f>
        <v/>
      </c>
      <c r="AP23" s="427">
        <v>41270</v>
      </c>
      <c r="AQ23" s="177" t="str">
        <f t="shared" ca="1" si="11"/>
        <v>NO</v>
      </c>
      <c r="AR23" s="177" t="s">
        <v>2609</v>
      </c>
      <c r="AS23" s="438"/>
      <c r="AT23" s="1015"/>
      <c r="AX23" s="16"/>
      <c r="AY23" s="16"/>
    </row>
    <row r="24" spans="1:51" ht="47.25" customHeight="1" x14ac:dyDescent="0.25">
      <c r="A24" s="15">
        <v>2</v>
      </c>
      <c r="B24" s="15">
        <v>18</v>
      </c>
      <c r="C24" s="442"/>
      <c r="D24" s="442" t="str">
        <f t="shared" si="0"/>
        <v>2012</v>
      </c>
      <c r="E24" s="139" t="s">
        <v>179</v>
      </c>
      <c r="F24" s="132" t="s">
        <v>433</v>
      </c>
      <c r="G24" s="133">
        <v>899999115</v>
      </c>
      <c r="H24" s="132" t="s">
        <v>449</v>
      </c>
      <c r="I24" s="140">
        <v>726335435</v>
      </c>
      <c r="J24" s="134" t="s">
        <v>1088</v>
      </c>
      <c r="K24" s="152">
        <v>2012</v>
      </c>
      <c r="L24" s="551"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12"/>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4"/>
      <c r="AI24" s="174"/>
      <c r="AJ24" s="181" t="s">
        <v>1007</v>
      </c>
      <c r="AK24" s="181" t="str">
        <f t="shared" ca="1" si="9"/>
        <v>TERMINO</v>
      </c>
      <c r="AL24" s="181" t="s">
        <v>582</v>
      </c>
      <c r="AM24" s="176" t="s">
        <v>390</v>
      </c>
      <c r="AN24" s="875" t="str">
        <f>IFERROR(VLOOKUP(E24,'liquidaciones '!$B$2:$C$1048576,2,0),"NO")</f>
        <v>NO</v>
      </c>
      <c r="AO24" s="983" t="str">
        <f>IFERROR(VLOOKUP(E24,'liquidaciones '!$B$2:$I$1048576,8,0),"")</f>
        <v/>
      </c>
      <c r="AP24" s="340"/>
      <c r="AQ24" s="177" t="str">
        <f t="shared" ca="1" si="11"/>
        <v>NO</v>
      </c>
      <c r="AR24" s="177" t="s">
        <v>1574</v>
      </c>
      <c r="AS24" s="438"/>
      <c r="AT24" s="1015"/>
      <c r="AX24" s="16"/>
      <c r="AY24" s="16"/>
    </row>
    <row r="25" spans="1:51" ht="47.25" customHeight="1" x14ac:dyDescent="0.25">
      <c r="A25" s="15">
        <v>1</v>
      </c>
      <c r="B25" s="15">
        <v>19</v>
      </c>
      <c r="C25" s="442"/>
      <c r="D25" s="442" t="str">
        <f t="shared" si="0"/>
        <v>2012</v>
      </c>
      <c r="E25" s="132" t="s">
        <v>56</v>
      </c>
      <c r="F25" s="132" t="s">
        <v>57</v>
      </c>
      <c r="G25" s="133">
        <v>860026518</v>
      </c>
      <c r="H25" s="132" t="s">
        <v>335</v>
      </c>
      <c r="I25" s="134">
        <v>48720000</v>
      </c>
      <c r="J25" s="134" t="s">
        <v>1088</v>
      </c>
      <c r="K25" s="152">
        <v>2012</v>
      </c>
      <c r="L25" s="551"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12"/>
      <c r="Y25" s="42">
        <f t="shared" si="4"/>
        <v>1</v>
      </c>
      <c r="Z25" s="42">
        <f t="shared" ca="1" si="5"/>
        <v>1</v>
      </c>
      <c r="AA25" s="43">
        <f t="shared" ca="1" si="6"/>
        <v>0</v>
      </c>
      <c r="AB25" s="202" t="str">
        <f t="shared" ca="1" si="7"/>
        <v/>
      </c>
      <c r="AC25" s="44" t="str">
        <f t="shared" si="8"/>
        <v>SI</v>
      </c>
      <c r="AD25" s="44"/>
      <c r="AE25" s="173" t="s">
        <v>1257</v>
      </c>
      <c r="AF25" s="173" t="s">
        <v>1514</v>
      </c>
      <c r="AG25" s="173"/>
      <c r="AH25" s="284"/>
      <c r="AI25" s="174"/>
      <c r="AJ25" s="181" t="s">
        <v>600</v>
      </c>
      <c r="AK25" s="181" t="str">
        <f t="shared" ca="1" si="9"/>
        <v>TERMINO</v>
      </c>
      <c r="AL25" s="181" t="s">
        <v>576</v>
      </c>
      <c r="AM25" s="176" t="s">
        <v>390</v>
      </c>
      <c r="AN25" s="875" t="str">
        <f>IFERROR(VLOOKUP(E25,'liquidaciones '!$B$2:$C$1048576,2,0),"NO")</f>
        <v>NO</v>
      </c>
      <c r="AO25" s="983" t="str">
        <f>IFERROR(VLOOKUP(E25,'liquidaciones '!$B$2:$I$1048576,8,0),"")</f>
        <v/>
      </c>
      <c r="AP25" s="340"/>
      <c r="AQ25" s="177" t="str">
        <f t="shared" ca="1" si="11"/>
        <v>NO</v>
      </c>
      <c r="AR25" s="177" t="s">
        <v>1574</v>
      </c>
      <c r="AS25" s="438"/>
      <c r="AT25" s="1015"/>
      <c r="AX25" s="16"/>
      <c r="AY25" s="16"/>
    </row>
    <row r="26" spans="1:51" ht="47.25" customHeight="1" x14ac:dyDescent="0.25">
      <c r="A26" s="15">
        <v>1</v>
      </c>
      <c r="B26" s="15">
        <v>20</v>
      </c>
      <c r="C26" s="442"/>
      <c r="D26" s="442" t="str">
        <f t="shared" si="0"/>
        <v>2012</v>
      </c>
      <c r="E26" s="145" t="s">
        <v>19</v>
      </c>
      <c r="F26" s="145" t="s">
        <v>20</v>
      </c>
      <c r="G26" s="133">
        <v>860025639</v>
      </c>
      <c r="H26" s="145" t="s">
        <v>320</v>
      </c>
      <c r="I26" s="146">
        <v>11587500</v>
      </c>
      <c r="J26" s="134" t="s">
        <v>1088</v>
      </c>
      <c r="K26" s="152">
        <v>2012</v>
      </c>
      <c r="L26" s="551"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12"/>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4" t="s">
        <v>560</v>
      </c>
      <c r="AI26" s="174"/>
      <c r="AJ26" s="181" t="s">
        <v>600</v>
      </c>
      <c r="AK26" s="181" t="str">
        <f t="shared" ca="1" si="9"/>
        <v>TERMINO</v>
      </c>
      <c r="AL26" s="181" t="s">
        <v>582</v>
      </c>
      <c r="AM26" s="176" t="s">
        <v>390</v>
      </c>
      <c r="AN26" s="875" t="str">
        <f>IFERROR(VLOOKUP(E26,'liquidaciones '!$B$2:$C$1048576,2,0),"NO")</f>
        <v>NO</v>
      </c>
      <c r="AO26" s="983" t="str">
        <f>IFERROR(VLOOKUP(E26,'liquidaciones '!$B$2:$I$1048576,8,0),"")</f>
        <v/>
      </c>
      <c r="AP26" s="340"/>
      <c r="AQ26" s="177" t="str">
        <f t="shared" ca="1" si="11"/>
        <v>NO</v>
      </c>
      <c r="AR26" s="177" t="s">
        <v>1574</v>
      </c>
      <c r="AS26" s="438"/>
      <c r="AT26" s="1015"/>
      <c r="AX26" s="16"/>
      <c r="AY26" s="16"/>
    </row>
    <row r="27" spans="1:51" ht="47.25" customHeight="1" x14ac:dyDescent="0.25">
      <c r="A27" s="15">
        <v>1</v>
      </c>
      <c r="B27" s="15">
        <v>21</v>
      </c>
      <c r="C27" s="442"/>
      <c r="D27" s="442" t="str">
        <f t="shared" si="0"/>
        <v>2012</v>
      </c>
      <c r="E27" s="132" t="s">
        <v>399</v>
      </c>
      <c r="F27" s="132" t="s">
        <v>424</v>
      </c>
      <c r="G27" s="145">
        <v>900281089</v>
      </c>
      <c r="H27" s="132" t="s">
        <v>322</v>
      </c>
      <c r="I27" s="134">
        <v>4452000</v>
      </c>
      <c r="J27" s="134" t="s">
        <v>1088</v>
      </c>
      <c r="K27" s="152">
        <v>2012</v>
      </c>
      <c r="L27" s="551"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12"/>
      <c r="Y27" s="42">
        <f t="shared" si="4"/>
        <v>1</v>
      </c>
      <c r="Z27" s="42">
        <f t="shared" ca="1" si="5"/>
        <v>1</v>
      </c>
      <c r="AA27" s="43">
        <f t="shared" ca="1" si="6"/>
        <v>0</v>
      </c>
      <c r="AB27" s="202" t="str">
        <f t="shared" ca="1" si="7"/>
        <v/>
      </c>
      <c r="AC27" s="44" t="str">
        <f t="shared" si="8"/>
        <v>SI</v>
      </c>
      <c r="AD27" s="44"/>
      <c r="AE27" s="173" t="s">
        <v>1257</v>
      </c>
      <c r="AF27" s="173" t="s">
        <v>1283</v>
      </c>
      <c r="AG27" s="173"/>
      <c r="AH27" s="284"/>
      <c r="AI27" s="174"/>
      <c r="AJ27" s="181" t="s">
        <v>600</v>
      </c>
      <c r="AK27" s="181" t="str">
        <f t="shared" ca="1" si="9"/>
        <v>TERMINO</v>
      </c>
      <c r="AL27" s="181" t="s">
        <v>576</v>
      </c>
      <c r="AM27" s="176" t="s">
        <v>390</v>
      </c>
      <c r="AN27" s="875" t="str">
        <f>IFERROR(VLOOKUP(E27,'liquidaciones '!$B$2:$C$1048576,2,0),"NO")</f>
        <v>LIQUIDADO</v>
      </c>
      <c r="AO27" s="983" t="str">
        <f>IFERROR(VLOOKUP(E27,'liquidaciones '!$B$2:$I$1048576,8,0),"")</f>
        <v>LEIDY RIVERA</v>
      </c>
      <c r="AP27" s="340"/>
      <c r="AQ27" s="177" t="str">
        <f t="shared" ca="1" si="11"/>
        <v>NO</v>
      </c>
      <c r="AR27" s="177" t="s">
        <v>1574</v>
      </c>
      <c r="AS27" s="438"/>
      <c r="AT27" s="1015"/>
      <c r="AX27" s="16"/>
      <c r="AY27" s="16"/>
    </row>
    <row r="28" spans="1:51" ht="47.25" customHeight="1" x14ac:dyDescent="0.25">
      <c r="A28" s="15">
        <v>1</v>
      </c>
      <c r="B28" s="15">
        <v>22</v>
      </c>
      <c r="C28" s="442"/>
      <c r="D28" s="442" t="str">
        <f t="shared" si="0"/>
        <v>2012</v>
      </c>
      <c r="E28" s="132" t="s">
        <v>23</v>
      </c>
      <c r="F28" s="132" t="s">
        <v>27</v>
      </c>
      <c r="G28" s="133">
        <v>860009759</v>
      </c>
      <c r="H28" s="132" t="s">
        <v>450</v>
      </c>
      <c r="I28" s="134">
        <v>849000</v>
      </c>
      <c r="J28" s="134" t="s">
        <v>1088</v>
      </c>
      <c r="K28" s="152">
        <v>2012</v>
      </c>
      <c r="L28" s="551"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12"/>
      <c r="Y28" s="42">
        <f t="shared" si="4"/>
        <v>1</v>
      </c>
      <c r="Z28" s="42">
        <f t="shared" ca="1" si="5"/>
        <v>1</v>
      </c>
      <c r="AA28" s="43">
        <f t="shared" ca="1" si="6"/>
        <v>0</v>
      </c>
      <c r="AB28" s="202" t="str">
        <f t="shared" ca="1" si="7"/>
        <v/>
      </c>
      <c r="AC28" s="44" t="str">
        <f t="shared" si="8"/>
        <v>SI</v>
      </c>
      <c r="AD28" s="44"/>
      <c r="AE28" s="173" t="s">
        <v>1257</v>
      </c>
      <c r="AF28" s="173" t="s">
        <v>1126</v>
      </c>
      <c r="AG28" s="173"/>
      <c r="AH28" s="284"/>
      <c r="AI28" s="174"/>
      <c r="AJ28" s="181" t="s">
        <v>901</v>
      </c>
      <c r="AK28" s="181" t="str">
        <f t="shared" ca="1" si="9"/>
        <v>TERMINO</v>
      </c>
      <c r="AL28" s="181" t="s">
        <v>582</v>
      </c>
      <c r="AM28" s="176" t="s">
        <v>390</v>
      </c>
      <c r="AN28" s="875" t="str">
        <f>IFERROR(VLOOKUP(E28,'liquidaciones '!$B$2:$C$1048576,2,0),"NO")</f>
        <v>NO</v>
      </c>
      <c r="AO28" s="983" t="str">
        <f>IFERROR(VLOOKUP(E28,'liquidaciones '!$B$2:$I$1048576,8,0),"")</f>
        <v/>
      </c>
      <c r="AP28" s="338">
        <v>41652</v>
      </c>
      <c r="AQ28" s="177" t="str">
        <f t="shared" ca="1" si="11"/>
        <v>NO</v>
      </c>
      <c r="AR28" s="177" t="s">
        <v>1511</v>
      </c>
      <c r="AS28" s="438"/>
      <c r="AT28" s="1015"/>
      <c r="AX28" s="16"/>
      <c r="AY28" s="16"/>
    </row>
    <row r="29" spans="1:51" ht="47.25" customHeight="1" x14ac:dyDescent="0.25">
      <c r="A29" s="15">
        <v>1</v>
      </c>
      <c r="B29" s="15">
        <v>23</v>
      </c>
      <c r="C29" s="442"/>
      <c r="D29" s="442" t="str">
        <f t="shared" si="0"/>
        <v>2012</v>
      </c>
      <c r="E29" s="142" t="s">
        <v>113</v>
      </c>
      <c r="F29" s="132" t="s">
        <v>434</v>
      </c>
      <c r="G29" s="133">
        <v>830107673</v>
      </c>
      <c r="H29" s="2" t="s">
        <v>1372</v>
      </c>
      <c r="I29" s="134">
        <v>7192000</v>
      </c>
      <c r="J29" s="134" t="s">
        <v>1088</v>
      </c>
      <c r="K29" s="152">
        <v>2012</v>
      </c>
      <c r="L29" s="551"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12"/>
      <c r="Y29" s="42">
        <f t="shared" si="4"/>
        <v>1</v>
      </c>
      <c r="Z29" s="42">
        <f t="shared" ca="1" si="5"/>
        <v>1</v>
      </c>
      <c r="AA29" s="43">
        <f t="shared" ca="1" si="6"/>
        <v>0</v>
      </c>
      <c r="AB29" s="202" t="str">
        <f t="shared" ca="1" si="7"/>
        <v/>
      </c>
      <c r="AC29" s="44" t="str">
        <f t="shared" si="8"/>
        <v>SI</v>
      </c>
      <c r="AD29" s="44"/>
      <c r="AE29" s="173" t="s">
        <v>1257</v>
      </c>
      <c r="AF29" s="173" t="s">
        <v>1469</v>
      </c>
      <c r="AG29" s="173"/>
      <c r="AH29" s="284"/>
      <c r="AI29" s="174"/>
      <c r="AJ29" s="181" t="s">
        <v>600</v>
      </c>
      <c r="AK29" s="181" t="str">
        <f t="shared" ca="1" si="9"/>
        <v>TERMINO</v>
      </c>
      <c r="AL29" s="181" t="s">
        <v>576</v>
      </c>
      <c r="AM29" s="176" t="s">
        <v>390</v>
      </c>
      <c r="AN29" s="875" t="str">
        <f>IFERROR(VLOOKUP(E29,'liquidaciones '!$B$2:$C$1048576,2,0),"NO")</f>
        <v>NO</v>
      </c>
      <c r="AO29" s="983" t="str">
        <f>IFERROR(VLOOKUP(E29,'liquidaciones '!$B$2:$I$1048576,8,0),"")</f>
        <v/>
      </c>
      <c r="AP29" s="340">
        <v>42074</v>
      </c>
      <c r="AQ29" s="177" t="str">
        <f t="shared" ca="1" si="11"/>
        <v>NO</v>
      </c>
      <c r="AR29" s="177" t="s">
        <v>983</v>
      </c>
      <c r="AS29" s="438"/>
      <c r="AT29" s="1015"/>
      <c r="AX29" s="16"/>
      <c r="AY29" s="16"/>
    </row>
    <row r="30" spans="1:51" ht="47.25" customHeight="1" x14ac:dyDescent="0.25">
      <c r="A30" s="15">
        <v>1</v>
      </c>
      <c r="B30" s="15">
        <v>24</v>
      </c>
      <c r="C30" s="442"/>
      <c r="D30" s="442" t="str">
        <f t="shared" si="0"/>
        <v>2012</v>
      </c>
      <c r="E30" s="132" t="s">
        <v>16</v>
      </c>
      <c r="F30" s="132" t="s">
        <v>435</v>
      </c>
      <c r="G30" s="145">
        <v>900152368</v>
      </c>
      <c r="H30" s="132" t="s">
        <v>318</v>
      </c>
      <c r="I30" s="134">
        <v>4839200</v>
      </c>
      <c r="J30" s="134" t="s">
        <v>1088</v>
      </c>
      <c r="K30" s="152">
        <v>2012</v>
      </c>
      <c r="L30" s="551"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12"/>
      <c r="Y30" s="42">
        <f t="shared" si="4"/>
        <v>1</v>
      </c>
      <c r="Z30" s="42">
        <f t="shared" ca="1" si="5"/>
        <v>1</v>
      </c>
      <c r="AA30" s="43">
        <f t="shared" ca="1" si="6"/>
        <v>0</v>
      </c>
      <c r="AB30" s="202" t="str">
        <f t="shared" ca="1" si="7"/>
        <v/>
      </c>
      <c r="AC30" s="44" t="str">
        <f t="shared" si="8"/>
        <v>SI</v>
      </c>
      <c r="AD30" s="44"/>
      <c r="AE30" s="173" t="s">
        <v>1257</v>
      </c>
      <c r="AF30" s="173" t="s">
        <v>1173</v>
      </c>
      <c r="AG30" s="173"/>
      <c r="AH30" s="284"/>
      <c r="AI30" s="174"/>
      <c r="AJ30" s="181" t="s">
        <v>600</v>
      </c>
      <c r="AK30" s="181" t="str">
        <f t="shared" ca="1" si="9"/>
        <v>TERMINO</v>
      </c>
      <c r="AL30" s="181" t="s">
        <v>576</v>
      </c>
      <c r="AM30" s="176" t="s">
        <v>390</v>
      </c>
      <c r="AN30" s="875" t="str">
        <f>IFERROR(VLOOKUP(E30,'liquidaciones '!$B$2:$C$1048576,2,0),"NO")</f>
        <v>NO</v>
      </c>
      <c r="AO30" s="983" t="str">
        <f>IFERROR(VLOOKUP(E30,'liquidaciones '!$B$2:$I$1048576,8,0),"")</f>
        <v/>
      </c>
      <c r="AP30" s="340"/>
      <c r="AQ30" s="177" t="str">
        <f t="shared" ca="1" si="11"/>
        <v>NO</v>
      </c>
      <c r="AR30" s="177" t="s">
        <v>983</v>
      </c>
      <c r="AS30" s="438"/>
      <c r="AT30" s="1015"/>
      <c r="AX30" s="16"/>
      <c r="AY30" s="16"/>
    </row>
    <row r="31" spans="1:51" ht="47.25" customHeight="1" x14ac:dyDescent="0.25">
      <c r="A31" s="15">
        <v>1</v>
      </c>
      <c r="B31" s="15">
        <v>25</v>
      </c>
      <c r="C31" s="442"/>
      <c r="D31" s="442" t="str">
        <f t="shared" si="0"/>
        <v>2012</v>
      </c>
      <c r="E31" s="144" t="s">
        <v>107</v>
      </c>
      <c r="F31" s="145" t="s">
        <v>108</v>
      </c>
      <c r="G31" s="143">
        <v>830038886</v>
      </c>
      <c r="H31" s="145" t="s">
        <v>348</v>
      </c>
      <c r="I31" s="146">
        <v>13527752</v>
      </c>
      <c r="J31" s="134" t="s">
        <v>1088</v>
      </c>
      <c r="K31" s="152">
        <v>2012</v>
      </c>
      <c r="L31" s="551"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12"/>
      <c r="Y31" s="42">
        <f t="shared" si="4"/>
        <v>0</v>
      </c>
      <c r="Z31" s="42">
        <f t="shared" ca="1" si="5"/>
        <v>1</v>
      </c>
      <c r="AA31" s="43">
        <f t="shared" ca="1" si="6"/>
        <v>1</v>
      </c>
      <c r="AB31" s="202" t="str">
        <f t="shared" ca="1" si="7"/>
        <v/>
      </c>
      <c r="AC31" s="44" t="str">
        <f t="shared" si="8"/>
        <v>NO</v>
      </c>
      <c r="AD31" s="44"/>
      <c r="AE31" s="173" t="s">
        <v>1257</v>
      </c>
      <c r="AF31" s="173" t="s">
        <v>1127</v>
      </c>
      <c r="AG31" s="173" t="s">
        <v>1443</v>
      </c>
      <c r="AH31" s="284" t="s">
        <v>560</v>
      </c>
      <c r="AI31" s="174"/>
      <c r="AJ31" s="181" t="s">
        <v>992</v>
      </c>
      <c r="AK31" s="181" t="str">
        <f t="shared" ca="1" si="9"/>
        <v>TERMINO</v>
      </c>
      <c r="AL31" s="181" t="s">
        <v>576</v>
      </c>
      <c r="AM31" s="176" t="s">
        <v>390</v>
      </c>
      <c r="AN31" s="875" t="str">
        <f>IFERROR(VLOOKUP(E31,'liquidaciones '!$B$2:$C$1048576,2,0),"NO")</f>
        <v>NO</v>
      </c>
      <c r="AO31" s="983" t="str">
        <f>IFERROR(VLOOKUP(E31,'liquidaciones '!$B$2:$I$1048576,8,0),"")</f>
        <v/>
      </c>
      <c r="AP31" s="340">
        <v>41444</v>
      </c>
      <c r="AQ31" s="177" t="str">
        <f t="shared" ca="1" si="11"/>
        <v>NO</v>
      </c>
      <c r="AR31" s="177" t="s">
        <v>1056</v>
      </c>
      <c r="AS31" s="438"/>
      <c r="AT31" s="1015"/>
      <c r="AX31" s="16"/>
      <c r="AY31" s="16"/>
    </row>
    <row r="32" spans="1:51" ht="47.25" customHeight="1" x14ac:dyDescent="0.25">
      <c r="A32" s="41">
        <v>1</v>
      </c>
      <c r="B32" s="15">
        <v>26</v>
      </c>
      <c r="C32" s="442"/>
      <c r="D32" s="442" t="str">
        <f t="shared" si="0"/>
        <v>2012</v>
      </c>
      <c r="E32" s="142" t="s">
        <v>61</v>
      </c>
      <c r="F32" s="132" t="s">
        <v>436</v>
      </c>
      <c r="G32" s="137">
        <v>860011153</v>
      </c>
      <c r="H32" s="132" t="s">
        <v>1373</v>
      </c>
      <c r="I32" s="134">
        <v>85219000</v>
      </c>
      <c r="J32" s="134" t="s">
        <v>1088</v>
      </c>
      <c r="K32" s="135">
        <v>2012</v>
      </c>
      <c r="L32" s="551" t="s">
        <v>1088</v>
      </c>
      <c r="M32" s="136">
        <v>41122</v>
      </c>
      <c r="N32" s="136">
        <v>41531</v>
      </c>
      <c r="O32" s="127">
        <f>COUNTA(Modificaciones!I32,Modificaciones!K32,Modificaciones!M32,Modificaciones!O32)</f>
        <v>0</v>
      </c>
      <c r="P32" s="128">
        <f>VLOOKUP(E32,Modificaciones!$B$7:$Q$300,16,0)</f>
        <v>0</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85219000</v>
      </c>
      <c r="V32" s="172">
        <f>VLOOKUP(E32,Modificaciones!$B$7:$AU$300,46,0)</f>
        <v>95321355</v>
      </c>
      <c r="W32" s="93">
        <f t="shared" si="3"/>
        <v>-10102355</v>
      </c>
      <c r="X32" s="312"/>
      <c r="Y32" s="42">
        <f t="shared" si="4"/>
        <v>1.1185458055128552</v>
      </c>
      <c r="Z32" s="42">
        <f t="shared" ca="1" si="5"/>
        <v>1</v>
      </c>
      <c r="AA32" s="43">
        <f t="shared" ca="1" si="6"/>
        <v>-0.11854580551285521</v>
      </c>
      <c r="AB32" s="202" t="str">
        <f t="shared" ca="1" si="7"/>
        <v/>
      </c>
      <c r="AC32" s="44" t="str">
        <f t="shared" si="8"/>
        <v>SI</v>
      </c>
      <c r="AD32" s="44"/>
      <c r="AE32" s="173" t="s">
        <v>1257</v>
      </c>
      <c r="AF32" s="173" t="s">
        <v>1514</v>
      </c>
      <c r="AG32" s="173"/>
      <c r="AH32" s="284"/>
      <c r="AI32" s="174"/>
      <c r="AJ32" s="181" t="s">
        <v>993</v>
      </c>
      <c r="AK32" s="181" t="str">
        <f t="shared" ca="1" si="9"/>
        <v>TERMINO</v>
      </c>
      <c r="AL32" s="181" t="s">
        <v>573</v>
      </c>
      <c r="AM32" s="176" t="s">
        <v>390</v>
      </c>
      <c r="AN32" s="875" t="str">
        <f>IFERROR(VLOOKUP(E32,'liquidaciones '!$B$2:$C$1048576,2,0),"NO")</f>
        <v>NO</v>
      </c>
      <c r="AO32" s="983" t="str">
        <f>IFERROR(VLOOKUP(E32,'liquidaciones '!$B$2:$I$1048576,8,0),"")</f>
        <v/>
      </c>
      <c r="AP32" s="340">
        <v>42004</v>
      </c>
      <c r="AQ32" s="177" t="str">
        <f t="shared" ca="1" si="11"/>
        <v>NO</v>
      </c>
      <c r="AR32" s="177"/>
      <c r="AS32" s="438"/>
      <c r="AT32" s="1015"/>
      <c r="AX32" s="16"/>
      <c r="AY32" s="16"/>
    </row>
    <row r="33" spans="1:51" ht="47.25" customHeight="1" x14ac:dyDescent="0.25">
      <c r="A33" s="41">
        <v>1</v>
      </c>
      <c r="B33" s="15">
        <v>27</v>
      </c>
      <c r="C33" s="442"/>
      <c r="D33" s="442" t="str">
        <f t="shared" si="0"/>
        <v>2012</v>
      </c>
      <c r="E33" s="132" t="s">
        <v>58</v>
      </c>
      <c r="F33" s="132" t="s">
        <v>437</v>
      </c>
      <c r="G33" s="137"/>
      <c r="H33" s="132" t="s">
        <v>1008</v>
      </c>
      <c r="I33" s="134">
        <v>81888094</v>
      </c>
      <c r="J33" s="134" t="s">
        <v>1088</v>
      </c>
      <c r="K33" s="135">
        <v>2012</v>
      </c>
      <c r="L33" s="551"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12"/>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4"/>
      <c r="AI33" s="174"/>
      <c r="AJ33" s="181" t="s">
        <v>994</v>
      </c>
      <c r="AK33" s="181" t="str">
        <f t="shared" ca="1" si="9"/>
        <v>TERMINO</v>
      </c>
      <c r="AL33" s="181" t="s">
        <v>573</v>
      </c>
      <c r="AM33" s="176" t="s">
        <v>390</v>
      </c>
      <c r="AN33" s="875" t="str">
        <f>IFERROR(VLOOKUP(E33,'liquidaciones '!$B$2:$C$1048576,2,0),"NO")</f>
        <v>NO</v>
      </c>
      <c r="AO33" s="983" t="str">
        <f>IFERROR(VLOOKUP(E33,'liquidaciones '!$B$2:$I$1048576,8,0),"")</f>
        <v/>
      </c>
      <c r="AP33" s="340"/>
      <c r="AQ33" s="177" t="str">
        <f t="shared" ca="1" si="11"/>
        <v>NO</v>
      </c>
      <c r="AR33" s="177"/>
      <c r="AS33" s="438"/>
      <c r="AT33" s="1015"/>
      <c r="AX33" s="16"/>
      <c r="AY33" s="16"/>
    </row>
    <row r="34" spans="1:51" ht="47.25" customHeight="1" x14ac:dyDescent="0.25">
      <c r="A34" s="15">
        <v>2</v>
      </c>
      <c r="B34" s="15">
        <v>28</v>
      </c>
      <c r="C34" s="442"/>
      <c r="D34" s="442" t="str">
        <f t="shared" si="0"/>
        <v>2012</v>
      </c>
      <c r="E34" s="132" t="s">
        <v>423</v>
      </c>
      <c r="F34" s="132" t="s">
        <v>13</v>
      </c>
      <c r="G34" s="153">
        <v>860007590</v>
      </c>
      <c r="H34" s="132" t="s">
        <v>451</v>
      </c>
      <c r="I34" s="134">
        <v>900000</v>
      </c>
      <c r="J34" s="134" t="s">
        <v>1088</v>
      </c>
      <c r="K34" s="152">
        <v>2012</v>
      </c>
      <c r="L34" s="551"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12"/>
      <c r="Y34" s="42">
        <f t="shared" si="4"/>
        <v>1</v>
      </c>
      <c r="Z34" s="42">
        <f t="shared" ca="1" si="5"/>
        <v>1</v>
      </c>
      <c r="AA34" s="43">
        <f t="shared" ca="1" si="6"/>
        <v>0</v>
      </c>
      <c r="AB34" s="202" t="str">
        <f t="shared" ca="1" si="7"/>
        <v/>
      </c>
      <c r="AC34" s="44" t="str">
        <f t="shared" si="8"/>
        <v>SI</v>
      </c>
      <c r="AD34" s="44"/>
      <c r="AE34" s="173" t="s">
        <v>1257</v>
      </c>
      <c r="AF34" s="173" t="s">
        <v>1126</v>
      </c>
      <c r="AG34" s="173"/>
      <c r="AH34" s="284"/>
      <c r="AI34" s="174"/>
      <c r="AJ34" s="181" t="s">
        <v>600</v>
      </c>
      <c r="AK34" s="181" t="str">
        <f t="shared" ca="1" si="9"/>
        <v>TERMINO</v>
      </c>
      <c r="AL34" s="181" t="s">
        <v>582</v>
      </c>
      <c r="AM34" s="176" t="s">
        <v>390</v>
      </c>
      <c r="AN34" s="875" t="str">
        <f>IFERROR(VLOOKUP(E34,'liquidaciones '!$B$2:$C$1048576,2,0),"NO")</f>
        <v>NO</v>
      </c>
      <c r="AO34" s="983" t="str">
        <f>IFERROR(VLOOKUP(E34,'liquidaciones '!$B$2:$I$1048576,8,0),"")</f>
        <v/>
      </c>
      <c r="AP34" s="340"/>
      <c r="AQ34" s="177" t="str">
        <f t="shared" ca="1" si="11"/>
        <v>NO</v>
      </c>
      <c r="AR34" s="177" t="s">
        <v>1574</v>
      </c>
      <c r="AS34" s="438"/>
      <c r="AT34" s="1015"/>
    </row>
    <row r="35" spans="1:51" ht="47.25" customHeight="1" x14ac:dyDescent="0.25">
      <c r="A35" s="15">
        <v>1</v>
      </c>
      <c r="B35" s="15">
        <v>29</v>
      </c>
      <c r="C35" s="442"/>
      <c r="D35" s="442" t="str">
        <f t="shared" si="0"/>
        <v>2012</v>
      </c>
      <c r="E35" s="132" t="s">
        <v>28</v>
      </c>
      <c r="F35" s="132" t="s">
        <v>29</v>
      </c>
      <c r="G35" s="133">
        <v>860536029</v>
      </c>
      <c r="H35" s="132" t="s">
        <v>324</v>
      </c>
      <c r="I35" s="134">
        <v>840000</v>
      </c>
      <c r="J35" s="134" t="s">
        <v>1088</v>
      </c>
      <c r="K35" s="152">
        <v>2012</v>
      </c>
      <c r="L35" s="551"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12"/>
      <c r="Y35" s="42">
        <f t="shared" si="4"/>
        <v>1</v>
      </c>
      <c r="Z35" s="42">
        <f t="shared" ca="1" si="5"/>
        <v>1</v>
      </c>
      <c r="AA35" s="43">
        <f t="shared" ca="1" si="6"/>
        <v>0</v>
      </c>
      <c r="AB35" s="202" t="str">
        <f t="shared" ca="1" si="7"/>
        <v/>
      </c>
      <c r="AC35" s="44" t="str">
        <f t="shared" si="8"/>
        <v>SI</v>
      </c>
      <c r="AD35" s="44"/>
      <c r="AE35" s="173" t="s">
        <v>1257</v>
      </c>
      <c r="AF35" s="173" t="s">
        <v>1126</v>
      </c>
      <c r="AG35" s="173"/>
      <c r="AH35" s="284"/>
      <c r="AI35" s="174"/>
      <c r="AJ35" s="181" t="s">
        <v>600</v>
      </c>
      <c r="AK35" s="181" t="str">
        <f t="shared" ca="1" si="9"/>
        <v>TERMINO</v>
      </c>
      <c r="AL35" s="181" t="s">
        <v>582</v>
      </c>
      <c r="AM35" s="176" t="s">
        <v>390</v>
      </c>
      <c r="AN35" s="875" t="str">
        <f>IFERROR(VLOOKUP(E35,'liquidaciones '!$B$2:$C$1048576,2,0),"NO")</f>
        <v>NO</v>
      </c>
      <c r="AO35" s="983" t="str">
        <f>IFERROR(VLOOKUP(E35,'liquidaciones '!$B$2:$I$1048576,8,0),"")</f>
        <v/>
      </c>
      <c r="AP35" s="345">
        <v>41659</v>
      </c>
      <c r="AQ35" s="177" t="str">
        <f t="shared" ca="1" si="11"/>
        <v>NO</v>
      </c>
      <c r="AR35" s="177" t="s">
        <v>1166</v>
      </c>
      <c r="AS35" s="438"/>
      <c r="AT35" s="1015"/>
    </row>
    <row r="36" spans="1:51" ht="47.25" customHeight="1" x14ac:dyDescent="0.25">
      <c r="A36" s="15">
        <v>1</v>
      </c>
      <c r="B36" s="41">
        <v>30</v>
      </c>
      <c r="C36" s="443"/>
      <c r="D36" s="442" t="str">
        <f t="shared" si="0"/>
        <v>2012</v>
      </c>
      <c r="E36" s="132" t="s">
        <v>32</v>
      </c>
      <c r="F36" s="132" t="s">
        <v>33</v>
      </c>
      <c r="G36" s="133">
        <v>860509265</v>
      </c>
      <c r="H36" s="132" t="s">
        <v>452</v>
      </c>
      <c r="I36" s="134">
        <v>795000</v>
      </c>
      <c r="J36" s="134" t="s">
        <v>1088</v>
      </c>
      <c r="K36" s="152">
        <v>2012</v>
      </c>
      <c r="L36" s="551"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12"/>
      <c r="Y36" s="42">
        <f t="shared" si="4"/>
        <v>1</v>
      </c>
      <c r="Z36" s="42">
        <f t="shared" ca="1" si="5"/>
        <v>1</v>
      </c>
      <c r="AA36" s="43">
        <f t="shared" ca="1" si="6"/>
        <v>0</v>
      </c>
      <c r="AB36" s="202" t="str">
        <f t="shared" ca="1" si="7"/>
        <v/>
      </c>
      <c r="AC36" s="44" t="str">
        <f t="shared" si="8"/>
        <v>SI</v>
      </c>
      <c r="AD36" s="44"/>
      <c r="AE36" s="173" t="s">
        <v>1257</v>
      </c>
      <c r="AF36" s="173" t="s">
        <v>1470</v>
      </c>
      <c r="AG36" s="173"/>
      <c r="AH36" s="284"/>
      <c r="AI36" s="174"/>
      <c r="AJ36" s="181" t="s">
        <v>600</v>
      </c>
      <c r="AK36" s="181" t="str">
        <f t="shared" ca="1" si="9"/>
        <v>TERMINO</v>
      </c>
      <c r="AL36" s="181" t="s">
        <v>582</v>
      </c>
      <c r="AM36" s="176" t="s">
        <v>390</v>
      </c>
      <c r="AN36" s="875" t="str">
        <f>IFERROR(VLOOKUP(E36,'liquidaciones '!$B$2:$C$1048576,2,0),"NO")</f>
        <v>NO</v>
      </c>
      <c r="AO36" s="983" t="str">
        <f>IFERROR(VLOOKUP(E36,'liquidaciones '!$B$2:$I$1048576,8,0),"")</f>
        <v/>
      </c>
      <c r="AP36" s="340">
        <v>42208</v>
      </c>
      <c r="AQ36" s="177" t="str">
        <f t="shared" ca="1" si="11"/>
        <v>NO</v>
      </c>
      <c r="AR36" s="177" t="s">
        <v>1574</v>
      </c>
      <c r="AS36" s="438"/>
      <c r="AT36" s="1015"/>
    </row>
    <row r="37" spans="1:51" ht="47.25" customHeight="1" x14ac:dyDescent="0.25">
      <c r="A37" s="15">
        <v>1</v>
      </c>
      <c r="B37" s="15">
        <v>31</v>
      </c>
      <c r="C37" s="442"/>
      <c r="D37" s="442" t="str">
        <f t="shared" si="0"/>
        <v>2012</v>
      </c>
      <c r="E37" s="144" t="s">
        <v>109</v>
      </c>
      <c r="F37" s="145" t="s">
        <v>420</v>
      </c>
      <c r="G37" s="133">
        <v>800008838</v>
      </c>
      <c r="H37" s="145" t="s">
        <v>349</v>
      </c>
      <c r="I37" s="146">
        <v>1818000</v>
      </c>
      <c r="J37" s="134" t="s">
        <v>1088</v>
      </c>
      <c r="K37" s="152">
        <v>2012</v>
      </c>
      <c r="L37" s="551"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12"/>
      <c r="Y37" s="42">
        <f t="shared" si="4"/>
        <v>0</v>
      </c>
      <c r="Z37" s="42">
        <f t="shared" ca="1" si="5"/>
        <v>1</v>
      </c>
      <c r="AA37" s="43">
        <f t="shared" ca="1" si="6"/>
        <v>1</v>
      </c>
      <c r="AB37" s="202" t="str">
        <f t="shared" ca="1" si="7"/>
        <v/>
      </c>
      <c r="AC37" s="44" t="str">
        <f t="shared" si="8"/>
        <v>NO</v>
      </c>
      <c r="AD37" s="44"/>
      <c r="AE37" s="173" t="s">
        <v>1257</v>
      </c>
      <c r="AF37" s="173" t="s">
        <v>1384</v>
      </c>
      <c r="AG37" s="173" t="s">
        <v>1443</v>
      </c>
      <c r="AH37" s="284" t="s">
        <v>560</v>
      </c>
      <c r="AI37" s="174"/>
      <c r="AJ37" s="181" t="s">
        <v>600</v>
      </c>
      <c r="AK37" s="181" t="str">
        <f t="shared" ca="1" si="9"/>
        <v>TERMINO</v>
      </c>
      <c r="AL37" s="181" t="s">
        <v>576</v>
      </c>
      <c r="AM37" s="176" t="s">
        <v>390</v>
      </c>
      <c r="AN37" s="875" t="str">
        <f>IFERROR(VLOOKUP(E37,'liquidaciones '!$B$2:$C$1048576,2,0),"NO")</f>
        <v>NO</v>
      </c>
      <c r="AO37" s="983" t="str">
        <f>IFERROR(VLOOKUP(E37,'liquidaciones '!$B$2:$I$1048576,8,0),"")</f>
        <v/>
      </c>
      <c r="AP37" s="340"/>
      <c r="AQ37" s="177" t="str">
        <f t="shared" ca="1" si="11"/>
        <v>NO</v>
      </c>
      <c r="AR37" s="177" t="s">
        <v>1574</v>
      </c>
      <c r="AS37" s="438"/>
      <c r="AT37" s="1015"/>
    </row>
    <row r="38" spans="1:51" ht="47.25" customHeight="1" x14ac:dyDescent="0.25">
      <c r="A38" s="15">
        <v>3</v>
      </c>
      <c r="B38" s="15">
        <v>32</v>
      </c>
      <c r="C38" s="442"/>
      <c r="D38" s="442" t="str">
        <f t="shared" si="0"/>
        <v>2012</v>
      </c>
      <c r="E38" s="132" t="s">
        <v>34</v>
      </c>
      <c r="F38" s="132" t="s">
        <v>1009</v>
      </c>
      <c r="G38" s="133">
        <v>51979294</v>
      </c>
      <c r="H38" s="132" t="s">
        <v>453</v>
      </c>
      <c r="I38" s="134">
        <v>30000000</v>
      </c>
      <c r="J38" s="134" t="s">
        <v>1088</v>
      </c>
      <c r="K38" s="152">
        <v>2012</v>
      </c>
      <c r="L38" s="551"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12"/>
      <c r="Y38" s="42">
        <f t="shared" si="4"/>
        <v>1</v>
      </c>
      <c r="Z38" s="42">
        <f t="shared" ca="1" si="5"/>
        <v>1</v>
      </c>
      <c r="AA38" s="43">
        <f t="shared" ca="1" si="6"/>
        <v>0</v>
      </c>
      <c r="AB38" s="202" t="str">
        <f t="shared" ca="1" si="7"/>
        <v/>
      </c>
      <c r="AC38" s="44" t="str">
        <f t="shared" si="8"/>
        <v>SI</v>
      </c>
      <c r="AD38" s="44"/>
      <c r="AE38" s="173" t="s">
        <v>1257</v>
      </c>
      <c r="AF38" s="173" t="s">
        <v>1132</v>
      </c>
      <c r="AG38" s="173"/>
      <c r="AH38" s="284"/>
      <c r="AI38" s="174"/>
      <c r="AJ38" s="181" t="s">
        <v>600</v>
      </c>
      <c r="AK38" s="181" t="str">
        <f t="shared" ca="1" si="9"/>
        <v>TERMINO</v>
      </c>
      <c r="AL38" s="181" t="s">
        <v>582</v>
      </c>
      <c r="AM38" s="176" t="s">
        <v>391</v>
      </c>
      <c r="AN38" s="875" t="str">
        <f>IFERROR(VLOOKUP(E38,'liquidaciones '!$B$2:$C$1048576,2,0),"NO")</f>
        <v>NO</v>
      </c>
      <c r="AO38" s="983" t="str">
        <f>IFERROR(VLOOKUP(E38,'liquidaciones '!$B$2:$I$1048576,8,0),"")</f>
        <v/>
      </c>
      <c r="AP38" s="338">
        <v>41845</v>
      </c>
      <c r="AQ38" s="177" t="str">
        <f t="shared" ca="1" si="11"/>
        <v>NO</v>
      </c>
      <c r="AR38" s="177" t="s">
        <v>983</v>
      </c>
      <c r="AS38" s="438"/>
      <c r="AT38" s="1015"/>
    </row>
    <row r="39" spans="1:51" ht="47.25" customHeight="1" x14ac:dyDescent="0.25">
      <c r="A39" s="15">
        <v>3</v>
      </c>
      <c r="B39" s="15">
        <v>33</v>
      </c>
      <c r="C39" s="442"/>
      <c r="D39" s="442" t="str">
        <f t="shared" si="0"/>
        <v>2012</v>
      </c>
      <c r="E39" s="145" t="s">
        <v>10</v>
      </c>
      <c r="F39" s="145" t="s">
        <v>1010</v>
      </c>
      <c r="G39" s="133">
        <v>39753021</v>
      </c>
      <c r="H39" s="145" t="s">
        <v>454</v>
      </c>
      <c r="I39" s="146">
        <v>35000000</v>
      </c>
      <c r="J39" s="134" t="s">
        <v>1088</v>
      </c>
      <c r="K39" s="152">
        <v>2012</v>
      </c>
      <c r="L39" s="551"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12"/>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4"/>
      <c r="AI39" s="174"/>
      <c r="AJ39" s="181" t="s">
        <v>600</v>
      </c>
      <c r="AK39" s="181" t="str">
        <f t="shared" ca="1" si="9"/>
        <v>TERMINO</v>
      </c>
      <c r="AL39" s="181" t="s">
        <v>582</v>
      </c>
      <c r="AM39" s="176" t="s">
        <v>391</v>
      </c>
      <c r="AN39" s="875" t="str">
        <f>IFERROR(VLOOKUP(E39,'liquidaciones '!$B$2:$C$1048576,2,0),"NO")</f>
        <v>NO</v>
      </c>
      <c r="AO39" s="983" t="str">
        <f>IFERROR(VLOOKUP(E39,'liquidaciones '!$B$2:$I$1048576,8,0),"")</f>
        <v/>
      </c>
      <c r="AP39" s="338">
        <v>42150</v>
      </c>
      <c r="AQ39" s="177" t="str">
        <f t="shared" ca="1" si="11"/>
        <v>NO</v>
      </c>
      <c r="AR39" s="177" t="s">
        <v>1056</v>
      </c>
      <c r="AS39" s="438"/>
      <c r="AT39" s="1015"/>
    </row>
    <row r="40" spans="1:51" ht="47.25" customHeight="1" x14ac:dyDescent="0.25">
      <c r="A40" s="15">
        <v>1</v>
      </c>
      <c r="B40" s="15">
        <v>34</v>
      </c>
      <c r="C40" s="442"/>
      <c r="D40" s="442" t="str">
        <f t="shared" si="0"/>
        <v>2012</v>
      </c>
      <c r="E40" s="142" t="s">
        <v>114</v>
      </c>
      <c r="F40" s="132" t="s">
        <v>115</v>
      </c>
      <c r="G40" s="133">
        <v>830031631</v>
      </c>
      <c r="H40" s="132" t="s">
        <v>455</v>
      </c>
      <c r="I40" s="134">
        <v>8334226</v>
      </c>
      <c r="J40" s="134" t="s">
        <v>1088</v>
      </c>
      <c r="K40" s="152">
        <v>2012</v>
      </c>
      <c r="L40" s="551"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12"/>
      <c r="Y40" s="42">
        <f t="shared" si="4"/>
        <v>1</v>
      </c>
      <c r="Z40" s="42">
        <f t="shared" ca="1" si="5"/>
        <v>1</v>
      </c>
      <c r="AA40" s="43">
        <f t="shared" ca="1" si="6"/>
        <v>0</v>
      </c>
      <c r="AB40" s="202" t="str">
        <f t="shared" ca="1" si="7"/>
        <v/>
      </c>
      <c r="AC40" s="44" t="str">
        <f t="shared" si="8"/>
        <v>SI</v>
      </c>
      <c r="AD40" s="44"/>
      <c r="AE40" s="173" t="s">
        <v>1257</v>
      </c>
      <c r="AF40" s="173" t="s">
        <v>1305</v>
      </c>
      <c r="AG40" s="173" t="s">
        <v>1436</v>
      </c>
      <c r="AH40" s="284" t="s">
        <v>560</v>
      </c>
      <c r="AI40" s="174"/>
      <c r="AJ40" s="181" t="s">
        <v>600</v>
      </c>
      <c r="AK40" s="181" t="str">
        <f t="shared" ca="1" si="9"/>
        <v>TERMINO</v>
      </c>
      <c r="AL40" s="181" t="s">
        <v>576</v>
      </c>
      <c r="AM40" s="176" t="s">
        <v>390</v>
      </c>
      <c r="AN40" s="875" t="str">
        <f>IFERROR(VLOOKUP(E40,'liquidaciones '!$B$2:$C$1048576,2,0),"NO")</f>
        <v>NO</v>
      </c>
      <c r="AO40" s="983" t="str">
        <f>IFERROR(VLOOKUP(E40,'liquidaciones '!$B$2:$I$1048576,8,0),"")</f>
        <v/>
      </c>
      <c r="AP40" s="340"/>
      <c r="AQ40" s="177" t="str">
        <f t="shared" ca="1" si="11"/>
        <v>NO</v>
      </c>
      <c r="AR40" s="177" t="s">
        <v>983</v>
      </c>
      <c r="AS40" s="438"/>
      <c r="AT40" s="1015"/>
    </row>
    <row r="41" spans="1:51" ht="47.25" customHeight="1" x14ac:dyDescent="0.25">
      <c r="A41" s="15">
        <v>1</v>
      </c>
      <c r="B41" s="15">
        <v>35</v>
      </c>
      <c r="C41" s="442"/>
      <c r="D41" s="442" t="str">
        <f t="shared" si="0"/>
        <v>2012</v>
      </c>
      <c r="E41" s="145" t="s">
        <v>2258</v>
      </c>
      <c r="F41" s="145" t="s">
        <v>3</v>
      </c>
      <c r="G41" s="133">
        <v>830095213</v>
      </c>
      <c r="H41" s="145" t="s">
        <v>456</v>
      </c>
      <c r="I41" s="146">
        <v>315000000</v>
      </c>
      <c r="J41" s="134" t="s">
        <v>1088</v>
      </c>
      <c r="K41" s="152">
        <v>2012</v>
      </c>
      <c r="L41" s="551"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12"/>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4" t="s">
        <v>560</v>
      </c>
      <c r="AI41" s="174" t="s">
        <v>1320</v>
      </c>
      <c r="AJ41" s="181" t="s">
        <v>600</v>
      </c>
      <c r="AK41" s="181" t="str">
        <f t="shared" ca="1" si="9"/>
        <v>TERMINO</v>
      </c>
      <c r="AL41" s="181" t="s">
        <v>574</v>
      </c>
      <c r="AM41" s="176" t="s">
        <v>390</v>
      </c>
      <c r="AN41" s="875" t="str">
        <f>IFERROR(VLOOKUP(E41,'liquidaciones '!$B$2:$C$1048576,2,0),"NO")</f>
        <v>NO</v>
      </c>
      <c r="AO41" s="983" t="str">
        <f>IFERROR(VLOOKUP(E41,'liquidaciones '!$B$2:$I$1048576,8,0),"")</f>
        <v/>
      </c>
      <c r="AP41" s="340">
        <v>42362</v>
      </c>
      <c r="AQ41" s="177" t="str">
        <f t="shared" ca="1" si="11"/>
        <v>NO</v>
      </c>
      <c r="AR41" s="177" t="s">
        <v>1574</v>
      </c>
      <c r="AS41" s="438"/>
      <c r="AT41" s="1015"/>
    </row>
    <row r="42" spans="1:51" ht="47.25" customHeight="1" x14ac:dyDescent="0.25">
      <c r="A42" s="15">
        <v>3</v>
      </c>
      <c r="B42" s="15">
        <v>36</v>
      </c>
      <c r="C42" s="442"/>
      <c r="D42" s="442" t="str">
        <f t="shared" si="0"/>
        <v>2012</v>
      </c>
      <c r="E42" s="142" t="s">
        <v>106</v>
      </c>
      <c r="F42" s="132" t="s">
        <v>1011</v>
      </c>
      <c r="G42" s="133">
        <v>80089626</v>
      </c>
      <c r="H42" s="132" t="s">
        <v>457</v>
      </c>
      <c r="I42" s="134">
        <v>20565000</v>
      </c>
      <c r="J42" s="134" t="s">
        <v>1088</v>
      </c>
      <c r="K42" s="152">
        <v>2012</v>
      </c>
      <c r="L42" s="551"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12"/>
      <c r="Y42" s="42">
        <f t="shared" si="4"/>
        <v>1</v>
      </c>
      <c r="Z42" s="42">
        <f t="shared" ca="1" si="5"/>
        <v>1</v>
      </c>
      <c r="AA42" s="43">
        <f t="shared" ca="1" si="6"/>
        <v>0</v>
      </c>
      <c r="AB42" s="202" t="str">
        <f t="shared" ca="1" si="7"/>
        <v/>
      </c>
      <c r="AC42" s="44" t="str">
        <f t="shared" si="8"/>
        <v>SI</v>
      </c>
      <c r="AD42" s="44"/>
      <c r="AE42" s="173" t="s">
        <v>1258</v>
      </c>
      <c r="AF42" s="173" t="s">
        <v>1132</v>
      </c>
      <c r="AG42" s="173"/>
      <c r="AH42" s="284"/>
      <c r="AI42" s="174"/>
      <c r="AJ42" s="181" t="s">
        <v>600</v>
      </c>
      <c r="AK42" s="181" t="str">
        <f t="shared" ca="1" si="9"/>
        <v>TERMINO</v>
      </c>
      <c r="AL42" s="181" t="s">
        <v>582</v>
      </c>
      <c r="AM42" s="176" t="s">
        <v>391</v>
      </c>
      <c r="AN42" s="875" t="str">
        <f>IFERROR(VLOOKUP(E42,'liquidaciones '!$B$2:$C$1048576,2,0),"NO")</f>
        <v>NO</v>
      </c>
      <c r="AO42" s="983" t="str">
        <f>IFERROR(VLOOKUP(E42,'liquidaciones '!$B$2:$I$1048576,8,0),"")</f>
        <v/>
      </c>
      <c r="AP42" s="338">
        <v>41904</v>
      </c>
      <c r="AQ42" s="177" t="str">
        <f t="shared" ca="1" si="11"/>
        <v>NO</v>
      </c>
      <c r="AR42" s="177" t="s">
        <v>983</v>
      </c>
      <c r="AS42" s="438"/>
      <c r="AT42" s="1015"/>
    </row>
    <row r="43" spans="1:51" ht="47.25" customHeight="1" x14ac:dyDescent="0.25">
      <c r="A43" s="15">
        <v>3</v>
      </c>
      <c r="B43" s="15">
        <v>37</v>
      </c>
      <c r="C43" s="442"/>
      <c r="D43" s="442" t="str">
        <f t="shared" si="0"/>
        <v>2012</v>
      </c>
      <c r="E43" s="142" t="s">
        <v>105</v>
      </c>
      <c r="F43" s="132" t="s">
        <v>1012</v>
      </c>
      <c r="G43" s="133">
        <v>52798119</v>
      </c>
      <c r="H43" s="132" t="s">
        <v>347</v>
      </c>
      <c r="I43" s="134">
        <v>6730000</v>
      </c>
      <c r="J43" s="134" t="s">
        <v>1088</v>
      </c>
      <c r="K43" s="152">
        <v>2012</v>
      </c>
      <c r="L43" s="551"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12"/>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4"/>
      <c r="AI43" s="174"/>
      <c r="AJ43" s="181" t="s">
        <v>600</v>
      </c>
      <c r="AK43" s="181" t="str">
        <f t="shared" ca="1" si="9"/>
        <v>TERMINO</v>
      </c>
      <c r="AL43" s="181" t="s">
        <v>576</v>
      </c>
      <c r="AM43" s="176" t="s">
        <v>390</v>
      </c>
      <c r="AN43" s="875" t="str">
        <f>IFERROR(VLOOKUP(E43,'liquidaciones '!$B$2:$C$1048576,2,0),"NO")</f>
        <v>NO</v>
      </c>
      <c r="AO43" s="983" t="str">
        <f>IFERROR(VLOOKUP(E43,'liquidaciones '!$B$2:$I$1048576,8,0),"")</f>
        <v/>
      </c>
      <c r="AP43" s="340"/>
      <c r="AQ43" s="177" t="str">
        <f t="shared" ca="1" si="11"/>
        <v>NO</v>
      </c>
      <c r="AR43" s="177" t="s">
        <v>983</v>
      </c>
      <c r="AS43" s="438"/>
      <c r="AT43" s="1015"/>
    </row>
    <row r="44" spans="1:51" ht="47.25" customHeight="1" x14ac:dyDescent="0.25">
      <c r="A44" s="15">
        <v>3</v>
      </c>
      <c r="B44" s="15">
        <v>38</v>
      </c>
      <c r="C44" s="442"/>
      <c r="D44" s="442" t="str">
        <f t="shared" si="0"/>
        <v>2012</v>
      </c>
      <c r="E44" s="145" t="s">
        <v>17</v>
      </c>
      <c r="F44" s="145" t="s">
        <v>18</v>
      </c>
      <c r="G44" s="133">
        <v>79425541</v>
      </c>
      <c r="H44" s="145" t="s">
        <v>319</v>
      </c>
      <c r="I44" s="146">
        <v>23994880</v>
      </c>
      <c r="J44" s="134" t="s">
        <v>1088</v>
      </c>
      <c r="K44" s="152">
        <v>2012</v>
      </c>
      <c r="L44" s="551"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12"/>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4"/>
      <c r="AI44" s="174"/>
      <c r="AJ44" s="181" t="s">
        <v>600</v>
      </c>
      <c r="AK44" s="181" t="str">
        <f t="shared" ca="1" si="9"/>
        <v>TERMINO</v>
      </c>
      <c r="AL44" s="181" t="s">
        <v>582</v>
      </c>
      <c r="AM44" s="176" t="s">
        <v>391</v>
      </c>
      <c r="AN44" s="875" t="str">
        <f>IFERROR(VLOOKUP(E44,'liquidaciones '!$B$2:$C$1048576,2,0),"NO")</f>
        <v>NO</v>
      </c>
      <c r="AO44" s="983" t="str">
        <f>IFERROR(VLOOKUP(E44,'liquidaciones '!$B$2:$I$1048576,8,0),"")</f>
        <v/>
      </c>
      <c r="AP44" s="338">
        <v>41654</v>
      </c>
      <c r="AQ44" s="177" t="str">
        <f t="shared" ca="1" si="11"/>
        <v>NO</v>
      </c>
      <c r="AR44" s="177" t="s">
        <v>983</v>
      </c>
      <c r="AS44" s="438"/>
      <c r="AT44" s="1015"/>
    </row>
    <row r="45" spans="1:51" ht="47.25" customHeight="1" x14ac:dyDescent="0.25">
      <c r="A45" s="15">
        <v>3</v>
      </c>
      <c r="B45" s="15">
        <v>39</v>
      </c>
      <c r="C45" s="442"/>
      <c r="D45" s="442" t="str">
        <f t="shared" si="0"/>
        <v>2012</v>
      </c>
      <c r="E45" s="132" t="s">
        <v>24</v>
      </c>
      <c r="F45" s="132" t="s">
        <v>1013</v>
      </c>
      <c r="G45" s="133">
        <v>5946865</v>
      </c>
      <c r="H45" s="132" t="s">
        <v>323</v>
      </c>
      <c r="I45" s="134">
        <v>38400000</v>
      </c>
      <c r="J45" s="134" t="s">
        <v>1088</v>
      </c>
      <c r="K45" s="152">
        <v>2012</v>
      </c>
      <c r="L45" s="551"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12"/>
      <c r="Y45" s="42">
        <f t="shared" si="4"/>
        <v>1</v>
      </c>
      <c r="Z45" s="42">
        <f t="shared" ca="1" si="5"/>
        <v>1</v>
      </c>
      <c r="AA45" s="43">
        <f t="shared" ca="1" si="6"/>
        <v>0</v>
      </c>
      <c r="AB45" s="202" t="str">
        <f t="shared" ca="1" si="7"/>
        <v/>
      </c>
      <c r="AC45" s="44" t="str">
        <f t="shared" si="8"/>
        <v>SI</v>
      </c>
      <c r="AD45" s="44"/>
      <c r="AE45" s="173" t="s">
        <v>1257</v>
      </c>
      <c r="AF45" s="173" t="s">
        <v>1132</v>
      </c>
      <c r="AG45" s="173"/>
      <c r="AH45" s="284"/>
      <c r="AI45" s="174"/>
      <c r="AJ45" s="181" t="s">
        <v>600</v>
      </c>
      <c r="AK45" s="181" t="str">
        <f t="shared" ca="1" si="9"/>
        <v>TERMINO</v>
      </c>
      <c r="AL45" s="181" t="s">
        <v>582</v>
      </c>
      <c r="AM45" s="176" t="s">
        <v>391</v>
      </c>
      <c r="AN45" s="875" t="str">
        <f>IFERROR(VLOOKUP(E45,'liquidaciones '!$B$2:$C$1048576,2,0),"NO")</f>
        <v>NO</v>
      </c>
      <c r="AO45" s="983" t="str">
        <f>IFERROR(VLOOKUP(E45,'liquidaciones '!$B$2:$I$1048576,8,0),"")</f>
        <v/>
      </c>
      <c r="AP45" s="338"/>
      <c r="AQ45" s="177" t="str">
        <f t="shared" ca="1" si="11"/>
        <v>NO</v>
      </c>
      <c r="AR45" s="177" t="s">
        <v>982</v>
      </c>
      <c r="AS45" s="438"/>
      <c r="AT45" s="1015"/>
    </row>
    <row r="46" spans="1:51" ht="47.25" customHeight="1" x14ac:dyDescent="0.25">
      <c r="A46" s="15">
        <v>1</v>
      </c>
      <c r="B46" s="15">
        <v>40</v>
      </c>
      <c r="C46" s="442"/>
      <c r="D46" s="442" t="str">
        <f t="shared" si="0"/>
        <v>2012</v>
      </c>
      <c r="E46" s="144" t="s">
        <v>118</v>
      </c>
      <c r="F46" s="145" t="s">
        <v>1014</v>
      </c>
      <c r="G46" s="133">
        <v>900220190</v>
      </c>
      <c r="H46" s="145" t="s">
        <v>351</v>
      </c>
      <c r="I46" s="146">
        <v>3961330</v>
      </c>
      <c r="J46" s="134" t="s">
        <v>1088</v>
      </c>
      <c r="K46" s="152">
        <v>2012</v>
      </c>
      <c r="L46" s="551"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12"/>
      <c r="Y46" s="42">
        <f t="shared" si="4"/>
        <v>1</v>
      </c>
      <c r="Z46" s="42">
        <f t="shared" ca="1" si="5"/>
        <v>1</v>
      </c>
      <c r="AA46" s="43">
        <f t="shared" ca="1" si="6"/>
        <v>0</v>
      </c>
      <c r="AB46" s="202" t="str">
        <f t="shared" ca="1" si="7"/>
        <v/>
      </c>
      <c r="AC46" s="44" t="str">
        <f t="shared" si="8"/>
        <v>SI</v>
      </c>
      <c r="AD46" s="44"/>
      <c r="AE46" s="173" t="s">
        <v>1257</v>
      </c>
      <c r="AF46" s="173" t="s">
        <v>1303</v>
      </c>
      <c r="AG46" s="173"/>
      <c r="AH46" s="284"/>
      <c r="AI46" s="174"/>
      <c r="AJ46" s="181" t="s">
        <v>600</v>
      </c>
      <c r="AK46" s="181" t="str">
        <f t="shared" ca="1" si="9"/>
        <v>TERMINO</v>
      </c>
      <c r="AL46" s="181" t="s">
        <v>576</v>
      </c>
      <c r="AM46" s="176" t="s">
        <v>390</v>
      </c>
      <c r="AN46" s="875" t="str">
        <f>IFERROR(VLOOKUP(E46,'liquidaciones '!$B$2:$C$1048576,2,0),"NO")</f>
        <v>NO</v>
      </c>
      <c r="AO46" s="983" t="str">
        <f>IFERROR(VLOOKUP(E46,'liquidaciones '!$B$2:$I$1048576,8,0),"")</f>
        <v/>
      </c>
      <c r="AP46" s="340"/>
      <c r="AQ46" s="177" t="str">
        <f t="shared" ca="1" si="11"/>
        <v>NO</v>
      </c>
      <c r="AR46" s="177" t="s">
        <v>982</v>
      </c>
      <c r="AS46" s="438"/>
      <c r="AT46" s="1015"/>
    </row>
    <row r="47" spans="1:51" ht="47.25" customHeight="1" x14ac:dyDescent="0.25">
      <c r="A47" s="15">
        <v>1</v>
      </c>
      <c r="B47" s="15">
        <v>41</v>
      </c>
      <c r="C47" s="442"/>
      <c r="D47" s="442" t="str">
        <f t="shared" si="0"/>
        <v>2012</v>
      </c>
      <c r="E47" s="142" t="s">
        <v>62</v>
      </c>
      <c r="F47" s="279" t="s">
        <v>1015</v>
      </c>
      <c r="G47" s="133">
        <v>900350416</v>
      </c>
      <c r="H47" s="132" t="s">
        <v>416</v>
      </c>
      <c r="I47" s="134">
        <v>24000000</v>
      </c>
      <c r="J47" s="134" t="s">
        <v>1088</v>
      </c>
      <c r="K47" s="152">
        <v>2012</v>
      </c>
      <c r="L47" s="551"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12"/>
      <c r="Y47" s="42">
        <f t="shared" si="4"/>
        <v>1</v>
      </c>
      <c r="Z47" s="42">
        <f t="shared" ca="1" si="5"/>
        <v>1</v>
      </c>
      <c r="AA47" s="43">
        <f t="shared" ca="1" si="6"/>
        <v>0</v>
      </c>
      <c r="AB47" s="202" t="str">
        <f t="shared" ca="1" si="7"/>
        <v/>
      </c>
      <c r="AC47" s="44" t="str">
        <f t="shared" si="8"/>
        <v>SI</v>
      </c>
      <c r="AD47" s="44"/>
      <c r="AE47" s="173" t="s">
        <v>1257</v>
      </c>
      <c r="AF47" s="173" t="s">
        <v>1284</v>
      </c>
      <c r="AG47" s="173"/>
      <c r="AH47" s="284"/>
      <c r="AI47" s="174"/>
      <c r="AJ47" s="181" t="s">
        <v>600</v>
      </c>
      <c r="AK47" s="181" t="str">
        <f t="shared" ca="1" si="9"/>
        <v>TERMINO</v>
      </c>
      <c r="AL47" s="181" t="s">
        <v>576</v>
      </c>
      <c r="AM47" s="176" t="s">
        <v>390</v>
      </c>
      <c r="AN47" s="875" t="str">
        <f>IFERROR(VLOOKUP(E47,'liquidaciones '!$B$2:$C$1048576,2,0),"NO")</f>
        <v>NO</v>
      </c>
      <c r="AO47" s="983" t="str">
        <f>IFERROR(VLOOKUP(E47,'liquidaciones '!$B$2:$I$1048576,8,0),"")</f>
        <v/>
      </c>
      <c r="AP47" s="340">
        <v>42338</v>
      </c>
      <c r="AQ47" s="177" t="str">
        <f t="shared" ca="1" si="11"/>
        <v>NO</v>
      </c>
      <c r="AR47" s="177" t="s">
        <v>982</v>
      </c>
      <c r="AS47" s="438"/>
      <c r="AT47" s="1015"/>
    </row>
    <row r="48" spans="1:51" ht="47.25" customHeight="1" x14ac:dyDescent="0.25">
      <c r="A48" s="15">
        <v>3</v>
      </c>
      <c r="B48" s="15">
        <v>42</v>
      </c>
      <c r="C48" s="442"/>
      <c r="D48" s="442" t="str">
        <f t="shared" si="0"/>
        <v>2012</v>
      </c>
      <c r="E48" s="132" t="s">
        <v>30</v>
      </c>
      <c r="F48" s="132" t="s">
        <v>31</v>
      </c>
      <c r="G48" s="133">
        <v>80725449</v>
      </c>
      <c r="H48" s="132" t="s">
        <v>325</v>
      </c>
      <c r="I48" s="134">
        <v>6000000</v>
      </c>
      <c r="J48" s="134" t="s">
        <v>1088</v>
      </c>
      <c r="K48" s="135">
        <v>2012</v>
      </c>
      <c r="L48" s="551"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12"/>
      <c r="Y48" s="42">
        <f t="shared" si="4"/>
        <v>1</v>
      </c>
      <c r="Z48" s="42">
        <f t="shared" ca="1" si="5"/>
        <v>1</v>
      </c>
      <c r="AA48" s="43">
        <f t="shared" ca="1" si="6"/>
        <v>0</v>
      </c>
      <c r="AB48" s="202" t="str">
        <f t="shared" ca="1" si="7"/>
        <v/>
      </c>
      <c r="AC48" s="44" t="str">
        <f t="shared" si="8"/>
        <v>SI</v>
      </c>
      <c r="AD48" s="44"/>
      <c r="AE48" s="173" t="s">
        <v>1257</v>
      </c>
      <c r="AF48" s="173" t="s">
        <v>1308</v>
      </c>
      <c r="AG48" s="173"/>
      <c r="AH48" s="284"/>
      <c r="AI48" s="174"/>
      <c r="AJ48" s="181" t="s">
        <v>600</v>
      </c>
      <c r="AK48" s="181" t="str">
        <f t="shared" ca="1" si="9"/>
        <v>TERMINO</v>
      </c>
      <c r="AL48" s="181" t="s">
        <v>582</v>
      </c>
      <c r="AM48" s="176" t="s">
        <v>391</v>
      </c>
      <c r="AN48" s="875" t="str">
        <f>IFERROR(VLOOKUP(E48,'liquidaciones '!$B$2:$C$1048576,2,0),"NO")</f>
        <v>NO</v>
      </c>
      <c r="AO48" s="983" t="str">
        <f>IFERROR(VLOOKUP(E48,'liquidaciones '!$B$2:$I$1048576,8,0),"")</f>
        <v/>
      </c>
      <c r="AP48" s="338"/>
      <c r="AQ48" s="177" t="str">
        <f t="shared" ca="1" si="11"/>
        <v>NO</v>
      </c>
      <c r="AR48" s="177" t="s">
        <v>1574</v>
      </c>
      <c r="AS48" s="438"/>
      <c r="AT48" s="1015"/>
    </row>
    <row r="49" spans="1:46" ht="47.25" customHeight="1" x14ac:dyDescent="0.25">
      <c r="A49" s="15">
        <v>1</v>
      </c>
      <c r="B49" s="15">
        <v>43</v>
      </c>
      <c r="C49" s="442"/>
      <c r="D49" s="442" t="str">
        <f t="shared" si="0"/>
        <v>2012</v>
      </c>
      <c r="E49" s="132" t="s">
        <v>14</v>
      </c>
      <c r="F49" s="132" t="s">
        <v>15</v>
      </c>
      <c r="G49" s="143">
        <v>830067096</v>
      </c>
      <c r="H49" s="132" t="s">
        <v>317</v>
      </c>
      <c r="I49" s="134">
        <v>7740000</v>
      </c>
      <c r="J49" s="134" t="s">
        <v>1088</v>
      </c>
      <c r="K49" s="152">
        <v>2012</v>
      </c>
      <c r="L49" s="551"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12"/>
      <c r="Y49" s="42">
        <f t="shared" si="4"/>
        <v>1</v>
      </c>
      <c r="Z49" s="42">
        <f t="shared" ca="1" si="5"/>
        <v>1</v>
      </c>
      <c r="AA49" s="43">
        <f t="shared" ca="1" si="6"/>
        <v>0</v>
      </c>
      <c r="AB49" s="202" t="str">
        <f t="shared" ca="1" si="7"/>
        <v/>
      </c>
      <c r="AC49" s="44" t="str">
        <f t="shared" si="8"/>
        <v>SI</v>
      </c>
      <c r="AD49" s="44"/>
      <c r="AE49" s="173" t="s">
        <v>1257</v>
      </c>
      <c r="AF49" s="173" t="s">
        <v>1126</v>
      </c>
      <c r="AG49" s="173"/>
      <c r="AH49" s="284"/>
      <c r="AI49" s="174"/>
      <c r="AJ49" s="181" t="s">
        <v>600</v>
      </c>
      <c r="AK49" s="181" t="str">
        <f t="shared" ca="1" si="9"/>
        <v>TERMINO</v>
      </c>
      <c r="AL49" s="181" t="s">
        <v>582</v>
      </c>
      <c r="AM49" s="176" t="s">
        <v>390</v>
      </c>
      <c r="AN49" s="875" t="str">
        <f>IFERROR(VLOOKUP(E49,'liquidaciones '!$B$2:$C$1048576,2,0),"NO")</f>
        <v>NO</v>
      </c>
      <c r="AO49" s="983" t="str">
        <f>IFERROR(VLOOKUP(E49,'liquidaciones '!$B$2:$I$1048576,8,0),"")</f>
        <v/>
      </c>
      <c r="AP49" s="338">
        <v>41653</v>
      </c>
      <c r="AQ49" s="177" t="str">
        <f t="shared" ca="1" si="11"/>
        <v>NO</v>
      </c>
      <c r="AR49" s="177" t="s">
        <v>1511</v>
      </c>
      <c r="AS49" s="438"/>
      <c r="AT49" s="1015"/>
    </row>
    <row r="50" spans="1:46" ht="47.25" customHeight="1" x14ac:dyDescent="0.25">
      <c r="A50" s="15">
        <v>1</v>
      </c>
      <c r="B50" s="15">
        <v>44</v>
      </c>
      <c r="C50" s="442"/>
      <c r="D50" s="442" t="str">
        <f t="shared" si="0"/>
        <v>2012</v>
      </c>
      <c r="E50" s="145" t="s">
        <v>40</v>
      </c>
      <c r="F50" s="145" t="s">
        <v>41</v>
      </c>
      <c r="G50" s="143">
        <v>830034865</v>
      </c>
      <c r="H50" s="145" t="s">
        <v>458</v>
      </c>
      <c r="I50" s="146">
        <v>47000000</v>
      </c>
      <c r="J50" s="134" t="s">
        <v>1088</v>
      </c>
      <c r="K50" s="152">
        <v>2012</v>
      </c>
      <c r="L50" s="551"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12"/>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4"/>
      <c r="AI50" s="174"/>
      <c r="AJ50" s="181" t="s">
        <v>1016</v>
      </c>
      <c r="AK50" s="181" t="str">
        <f t="shared" ca="1" si="9"/>
        <v>TERMINO</v>
      </c>
      <c r="AL50" s="181" t="s">
        <v>574</v>
      </c>
      <c r="AM50" s="176" t="s">
        <v>390</v>
      </c>
      <c r="AN50" s="875" t="str">
        <f>IFERROR(VLOOKUP(E50,'liquidaciones '!$B$2:$C$1048576,2,0),"NO")</f>
        <v>LIQUIDADO</v>
      </c>
      <c r="AO50" s="983">
        <f>IFERROR(VLOOKUP(E50,'liquidaciones '!$B$2:$I$1048576,8,0),"")</f>
        <v>0</v>
      </c>
      <c r="AP50" s="340">
        <v>41953</v>
      </c>
      <c r="AQ50" s="177" t="str">
        <f t="shared" ca="1" si="11"/>
        <v>NO</v>
      </c>
      <c r="AR50" s="177" t="s">
        <v>1166</v>
      </c>
      <c r="AS50" s="438"/>
      <c r="AT50" s="1015"/>
    </row>
    <row r="51" spans="1:46" ht="47.25" customHeight="1" x14ac:dyDescent="0.25">
      <c r="A51" s="15">
        <v>1</v>
      </c>
      <c r="B51" s="15">
        <v>45</v>
      </c>
      <c r="C51" s="442"/>
      <c r="D51" s="442" t="str">
        <f t="shared" si="0"/>
        <v>2012</v>
      </c>
      <c r="E51" s="132" t="s">
        <v>72</v>
      </c>
      <c r="F51" s="132" t="s">
        <v>73</v>
      </c>
      <c r="G51" s="143">
        <v>830012587</v>
      </c>
      <c r="H51" s="132" t="s">
        <v>395</v>
      </c>
      <c r="I51" s="134">
        <v>950000000</v>
      </c>
      <c r="J51" s="134" t="s">
        <v>1088</v>
      </c>
      <c r="K51" s="152">
        <v>2012</v>
      </c>
      <c r="L51" s="551"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12"/>
      <c r="Y51" s="42">
        <f t="shared" si="4"/>
        <v>1</v>
      </c>
      <c r="Z51" s="42">
        <f t="shared" ca="1" si="5"/>
        <v>1</v>
      </c>
      <c r="AA51" s="43">
        <f t="shared" ca="1" si="6"/>
        <v>0</v>
      </c>
      <c r="AB51" s="202" t="str">
        <f t="shared" ca="1" si="7"/>
        <v/>
      </c>
      <c r="AC51" s="44" t="str">
        <f t="shared" si="8"/>
        <v>SI</v>
      </c>
      <c r="AD51" s="44"/>
      <c r="AE51" s="173" t="s">
        <v>1257</v>
      </c>
      <c r="AF51" s="173" t="s">
        <v>1293</v>
      </c>
      <c r="AG51" s="173"/>
      <c r="AH51" s="284"/>
      <c r="AI51" s="174"/>
      <c r="AJ51" s="181" t="s">
        <v>600</v>
      </c>
      <c r="AK51" s="181" t="str">
        <f t="shared" ca="1" si="9"/>
        <v>TERMINO</v>
      </c>
      <c r="AL51" s="181" t="s">
        <v>582</v>
      </c>
      <c r="AM51" s="176" t="s">
        <v>390</v>
      </c>
      <c r="AN51" s="875" t="str">
        <f>IFERROR(VLOOKUP(E51,'liquidaciones '!$B$2:$C$1048576,2,0),"NO")</f>
        <v>NO</v>
      </c>
      <c r="AO51" s="983" t="str">
        <f>IFERROR(VLOOKUP(E51,'liquidaciones '!$B$2:$I$1048576,8,0),"")</f>
        <v/>
      </c>
      <c r="AP51" s="338">
        <v>41565</v>
      </c>
      <c r="AQ51" s="177" t="str">
        <f t="shared" ca="1" si="11"/>
        <v>NO</v>
      </c>
      <c r="AR51" s="177" t="s">
        <v>982</v>
      </c>
      <c r="AS51" s="438"/>
      <c r="AT51" s="1015"/>
    </row>
    <row r="52" spans="1:46" ht="47.25" customHeight="1" x14ac:dyDescent="0.25">
      <c r="A52" s="15">
        <v>2</v>
      </c>
      <c r="B52" s="15">
        <v>46</v>
      </c>
      <c r="C52" s="442"/>
      <c r="D52" s="442" t="str">
        <f t="shared" si="0"/>
        <v>2012</v>
      </c>
      <c r="E52" s="142" t="s">
        <v>153</v>
      </c>
      <c r="F52" s="132" t="s">
        <v>154</v>
      </c>
      <c r="G52" s="143">
        <v>900118932</v>
      </c>
      <c r="H52" s="132" t="s">
        <v>419</v>
      </c>
      <c r="I52" s="134">
        <v>27918648</v>
      </c>
      <c r="J52" s="134" t="s">
        <v>1088</v>
      </c>
      <c r="K52" s="152">
        <v>2012</v>
      </c>
      <c r="L52" s="551"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12"/>
      <c r="Y52" s="42">
        <f t="shared" si="4"/>
        <v>1</v>
      </c>
      <c r="Z52" s="42">
        <f t="shared" ca="1" si="5"/>
        <v>1</v>
      </c>
      <c r="AA52" s="43">
        <f t="shared" ca="1" si="6"/>
        <v>0</v>
      </c>
      <c r="AB52" s="202" t="str">
        <f t="shared" ca="1" si="7"/>
        <v/>
      </c>
      <c r="AC52" s="44" t="str">
        <f t="shared" si="8"/>
        <v>SI</v>
      </c>
      <c r="AD52" s="44"/>
      <c r="AE52" s="173" t="s">
        <v>1257</v>
      </c>
      <c r="AF52" s="173" t="s">
        <v>1471</v>
      </c>
      <c r="AG52" s="173"/>
      <c r="AH52" s="284"/>
      <c r="AI52" s="174"/>
      <c r="AJ52" s="181" t="s">
        <v>600</v>
      </c>
      <c r="AK52" s="181" t="str">
        <f t="shared" ca="1" si="9"/>
        <v>TERMINO</v>
      </c>
      <c r="AL52" s="181" t="s">
        <v>576</v>
      </c>
      <c r="AM52" s="176" t="s">
        <v>390</v>
      </c>
      <c r="AN52" s="875" t="str">
        <f>IFERROR(VLOOKUP(E52,'liquidaciones '!$B$2:$C$1048576,2,0),"NO")</f>
        <v>NO</v>
      </c>
      <c r="AO52" s="983" t="str">
        <f>IFERROR(VLOOKUP(E52,'liquidaciones '!$B$2:$I$1048576,8,0),"")</f>
        <v/>
      </c>
      <c r="AP52" s="341"/>
      <c r="AQ52" s="177" t="str">
        <f t="shared" ca="1" si="11"/>
        <v>NO</v>
      </c>
      <c r="AR52" s="177" t="s">
        <v>1574</v>
      </c>
      <c r="AS52" s="438"/>
      <c r="AT52" s="1015"/>
    </row>
    <row r="53" spans="1:46" ht="47.25" customHeight="1" x14ac:dyDescent="0.25">
      <c r="A53" s="15">
        <v>1</v>
      </c>
      <c r="B53" s="15">
        <v>47</v>
      </c>
      <c r="C53" s="442"/>
      <c r="D53" s="442" t="str">
        <f t="shared" si="0"/>
        <v>2012</v>
      </c>
      <c r="E53" s="145" t="s">
        <v>59</v>
      </c>
      <c r="F53" s="145" t="s">
        <v>60</v>
      </c>
      <c r="G53" s="143">
        <v>860009578</v>
      </c>
      <c r="H53" s="145" t="s">
        <v>336</v>
      </c>
      <c r="I53" s="146">
        <v>4100000</v>
      </c>
      <c r="J53" s="134" t="s">
        <v>1088</v>
      </c>
      <c r="K53" s="152">
        <v>2012</v>
      </c>
      <c r="L53" s="551"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12"/>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4"/>
      <c r="AI53" s="174"/>
      <c r="AJ53" s="181" t="s">
        <v>600</v>
      </c>
      <c r="AK53" s="181" t="str">
        <f t="shared" ca="1" si="9"/>
        <v>TERMINO</v>
      </c>
      <c r="AL53" s="181" t="s">
        <v>576</v>
      </c>
      <c r="AM53" s="176" t="s">
        <v>390</v>
      </c>
      <c r="AN53" s="875" t="str">
        <f>IFERROR(VLOOKUP(E53,'liquidaciones '!$B$2:$C$1048576,2,0),"NO")</f>
        <v>NO</v>
      </c>
      <c r="AO53" s="983" t="str">
        <f>IFERROR(VLOOKUP(E53,'liquidaciones '!$B$2:$I$1048576,8,0),"")</f>
        <v/>
      </c>
      <c r="AP53" s="340"/>
      <c r="AQ53" s="177" t="str">
        <f t="shared" ca="1" si="11"/>
        <v>NO</v>
      </c>
      <c r="AR53" s="177"/>
      <c r="AS53" s="438"/>
      <c r="AT53" s="1015"/>
    </row>
    <row r="54" spans="1:46" ht="47.25" customHeight="1" x14ac:dyDescent="0.25">
      <c r="A54" s="15">
        <v>1</v>
      </c>
      <c r="B54" s="15">
        <v>48</v>
      </c>
      <c r="C54" s="442"/>
      <c r="D54" s="442" t="str">
        <f t="shared" si="0"/>
        <v>2012</v>
      </c>
      <c r="E54" s="132" t="s">
        <v>44</v>
      </c>
      <c r="F54" s="132" t="s">
        <v>1017</v>
      </c>
      <c r="G54" s="143">
        <v>900268429</v>
      </c>
      <c r="H54" s="132" t="s">
        <v>329</v>
      </c>
      <c r="I54" s="134">
        <v>8932201</v>
      </c>
      <c r="J54" s="134" t="s">
        <v>1088</v>
      </c>
      <c r="K54" s="152">
        <v>2012</v>
      </c>
      <c r="L54" s="551"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12"/>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4"/>
      <c r="AI54" s="174"/>
      <c r="AJ54" s="181" t="s">
        <v>600</v>
      </c>
      <c r="AK54" s="181" t="str">
        <f t="shared" ca="1" si="9"/>
        <v>TERMINO</v>
      </c>
      <c r="AL54" s="181" t="s">
        <v>576</v>
      </c>
      <c r="AM54" s="176" t="s">
        <v>390</v>
      </c>
      <c r="AN54" s="875" t="str">
        <f>IFERROR(VLOOKUP(E54,'liquidaciones '!$B$2:$C$1048576,2,0),"NO")</f>
        <v>NO</v>
      </c>
      <c r="AO54" s="983" t="str">
        <f>IFERROR(VLOOKUP(E54,'liquidaciones '!$B$2:$I$1048576,8,0),"")</f>
        <v/>
      </c>
      <c r="AP54" s="340">
        <v>42160</v>
      </c>
      <c r="AQ54" s="177" t="str">
        <f t="shared" ca="1" si="11"/>
        <v>NO</v>
      </c>
      <c r="AR54" s="177" t="s">
        <v>1166</v>
      </c>
      <c r="AS54" s="438"/>
      <c r="AT54" s="1015"/>
    </row>
    <row r="55" spans="1:46" ht="47.25" customHeight="1" x14ac:dyDescent="0.25">
      <c r="A55" s="15">
        <v>1</v>
      </c>
      <c r="B55" s="15">
        <v>49</v>
      </c>
      <c r="C55" s="442"/>
      <c r="D55" s="442" t="str">
        <f t="shared" si="0"/>
        <v>2012</v>
      </c>
      <c r="E55" s="145" t="s">
        <v>7</v>
      </c>
      <c r="F55" s="145" t="s">
        <v>8</v>
      </c>
      <c r="G55" s="143">
        <v>830006177</v>
      </c>
      <c r="H55" s="145" t="s">
        <v>314</v>
      </c>
      <c r="I55" s="146">
        <v>8545000</v>
      </c>
      <c r="J55" s="134" t="s">
        <v>1088</v>
      </c>
      <c r="K55" s="152">
        <v>2012</v>
      </c>
      <c r="L55" s="551"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12"/>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4"/>
      <c r="AI55" s="174"/>
      <c r="AJ55" s="181" t="s">
        <v>600</v>
      </c>
      <c r="AK55" s="181" t="str">
        <f t="shared" ca="1" si="9"/>
        <v>TERMINO</v>
      </c>
      <c r="AL55" s="181" t="s">
        <v>576</v>
      </c>
      <c r="AM55" s="176" t="s">
        <v>390</v>
      </c>
      <c r="AN55" s="875" t="str">
        <f>IFERROR(VLOOKUP(E55,'liquidaciones '!$B$2:$C$1048576,2,0),"NO")</f>
        <v>LIQUIDADO</v>
      </c>
      <c r="AO55" s="983">
        <f>IFERROR(VLOOKUP(E55,'liquidaciones '!$B$2:$I$1048576,8,0),"")</f>
        <v>0</v>
      </c>
      <c r="AP55" s="340">
        <v>41971</v>
      </c>
      <c r="AQ55" s="177" t="str">
        <f t="shared" ca="1" si="11"/>
        <v>NO</v>
      </c>
      <c r="AR55" s="177" t="s">
        <v>982</v>
      </c>
      <c r="AS55" s="438"/>
      <c r="AT55" s="1015"/>
    </row>
    <row r="56" spans="1:46" ht="47.25" customHeight="1" x14ac:dyDescent="0.25">
      <c r="A56" s="15">
        <v>1</v>
      </c>
      <c r="B56" s="15">
        <v>50</v>
      </c>
      <c r="C56" s="442"/>
      <c r="D56" s="442" t="str">
        <f t="shared" si="0"/>
        <v>2012</v>
      </c>
      <c r="E56" s="145" t="s">
        <v>6</v>
      </c>
      <c r="F56" s="145" t="s">
        <v>1018</v>
      </c>
      <c r="G56" s="143">
        <v>900548648</v>
      </c>
      <c r="H56" s="145" t="s">
        <v>541</v>
      </c>
      <c r="I56" s="134">
        <v>220839000</v>
      </c>
      <c r="J56" s="134" t="s">
        <v>1088</v>
      </c>
      <c r="K56" s="135">
        <v>2012</v>
      </c>
      <c r="L56" s="551"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12"/>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4" t="s">
        <v>560</v>
      </c>
      <c r="AI56" s="174" t="s">
        <v>1380</v>
      </c>
      <c r="AJ56" s="181" t="s">
        <v>600</v>
      </c>
      <c r="AK56" s="181" t="str">
        <f t="shared" ca="1" si="9"/>
        <v>TERMINO</v>
      </c>
      <c r="AL56" s="181" t="s">
        <v>921</v>
      </c>
      <c r="AM56" s="176" t="s">
        <v>390</v>
      </c>
      <c r="AN56" s="875" t="str">
        <f>IFERROR(VLOOKUP(E56,'liquidaciones '!$B$2:$C$1048576,2,0),"NO")</f>
        <v>NO</v>
      </c>
      <c r="AO56" s="983" t="str">
        <f>IFERROR(VLOOKUP(E56,'liquidaciones '!$B$2:$I$1048576,8,0),"")</f>
        <v/>
      </c>
      <c r="AP56" s="340"/>
      <c r="AQ56" s="177" t="str">
        <f t="shared" ca="1" si="11"/>
        <v>NO</v>
      </c>
      <c r="AR56" s="177" t="s">
        <v>1574</v>
      </c>
      <c r="AS56" s="438"/>
      <c r="AT56" s="1015"/>
    </row>
    <row r="57" spans="1:46" ht="47.25" customHeight="1" x14ac:dyDescent="0.25">
      <c r="A57" s="15">
        <v>3</v>
      </c>
      <c r="B57" s="402">
        <v>51</v>
      </c>
      <c r="C57" s="444"/>
      <c r="D57" s="442" t="str">
        <f t="shared" si="0"/>
        <v>2012</v>
      </c>
      <c r="E57" s="145" t="s">
        <v>35</v>
      </c>
      <c r="F57" s="145" t="s">
        <v>36</v>
      </c>
      <c r="G57" s="143">
        <v>79661783</v>
      </c>
      <c r="H57" s="145" t="s">
        <v>326</v>
      </c>
      <c r="I57" s="146">
        <v>4493000</v>
      </c>
      <c r="J57" s="134" t="s">
        <v>1088</v>
      </c>
      <c r="K57" s="152">
        <v>2012</v>
      </c>
      <c r="L57" s="551"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12"/>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4" t="s">
        <v>562</v>
      </c>
      <c r="AI57" s="308" t="s">
        <v>1474</v>
      </c>
      <c r="AJ57" s="181" t="s">
        <v>600</v>
      </c>
      <c r="AK57" s="181" t="str">
        <f t="shared" ca="1" si="9"/>
        <v>TERMINO</v>
      </c>
      <c r="AL57" s="181" t="s">
        <v>576</v>
      </c>
      <c r="AM57" s="176" t="s">
        <v>390</v>
      </c>
      <c r="AN57" s="875" t="str">
        <f>IFERROR(VLOOKUP(E57,'liquidaciones '!$B$2:$C$1048576,2,0),"NO")</f>
        <v>LIQUIDADO</v>
      </c>
      <c r="AO57" s="983">
        <f>IFERROR(VLOOKUP(E57,'liquidaciones '!$B$2:$I$1048576,8,0),"")</f>
        <v>0</v>
      </c>
      <c r="AP57" s="340">
        <v>42023</v>
      </c>
      <c r="AQ57" s="177" t="str">
        <f t="shared" ca="1" si="11"/>
        <v>NO</v>
      </c>
      <c r="AR57" s="177" t="s">
        <v>983</v>
      </c>
      <c r="AS57" s="438"/>
      <c r="AT57" s="1015"/>
    </row>
    <row r="58" spans="1:46" ht="47.25" customHeight="1" x14ac:dyDescent="0.25">
      <c r="A58" s="15">
        <v>1</v>
      </c>
      <c r="B58" s="15">
        <v>52</v>
      </c>
      <c r="C58" s="442"/>
      <c r="D58" s="442" t="str">
        <f t="shared" si="0"/>
        <v>2012</v>
      </c>
      <c r="E58" s="145" t="s">
        <v>37</v>
      </c>
      <c r="F58" s="145" t="s">
        <v>38</v>
      </c>
      <c r="G58" s="143">
        <v>830053669</v>
      </c>
      <c r="H58" s="145" t="s">
        <v>327</v>
      </c>
      <c r="I58" s="146">
        <v>22726000</v>
      </c>
      <c r="J58" s="134" t="s">
        <v>1088</v>
      </c>
      <c r="K58" s="152">
        <v>2012</v>
      </c>
      <c r="L58" s="551"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12"/>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4" t="s">
        <v>560</v>
      </c>
      <c r="AI58" s="174"/>
      <c r="AJ58" s="181" t="s">
        <v>600</v>
      </c>
      <c r="AK58" s="181" t="str">
        <f t="shared" ca="1" si="9"/>
        <v>TERMINO</v>
      </c>
      <c r="AL58" s="175" t="s">
        <v>575</v>
      </c>
      <c r="AM58" s="176" t="s">
        <v>390</v>
      </c>
      <c r="AN58" s="875" t="str">
        <f>IFERROR(VLOOKUP(E58,'liquidaciones '!$B$2:$C$1048576,2,0),"NO")</f>
        <v>LIQUIDADO</v>
      </c>
      <c r="AO58" s="983">
        <f>IFERROR(VLOOKUP(E58,'liquidaciones '!$B$2:$I$1048576,8,0),"")</f>
        <v>0</v>
      </c>
      <c r="AP58" s="340">
        <v>41977</v>
      </c>
      <c r="AQ58" s="177" t="str">
        <f t="shared" ca="1" si="11"/>
        <v>NO</v>
      </c>
      <c r="AR58" s="177" t="s">
        <v>1166</v>
      </c>
      <c r="AS58" s="438"/>
      <c r="AT58" s="1015"/>
    </row>
    <row r="59" spans="1:46" ht="47.25" customHeight="1" x14ac:dyDescent="0.25">
      <c r="A59" s="15">
        <v>1</v>
      </c>
      <c r="B59" s="15">
        <v>53</v>
      </c>
      <c r="C59" s="442"/>
      <c r="D59" s="442" t="str">
        <f t="shared" si="0"/>
        <v>2012</v>
      </c>
      <c r="E59" s="145" t="s">
        <v>9</v>
      </c>
      <c r="F59" s="145" t="s">
        <v>1019</v>
      </c>
      <c r="G59" s="143">
        <v>900552779</v>
      </c>
      <c r="H59" s="145" t="s">
        <v>315</v>
      </c>
      <c r="I59" s="146">
        <v>19116000</v>
      </c>
      <c r="J59" s="134" t="s">
        <v>1088</v>
      </c>
      <c r="K59" s="152">
        <v>2012</v>
      </c>
      <c r="L59" s="551"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12"/>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4" t="s">
        <v>562</v>
      </c>
      <c r="AI59" s="174"/>
      <c r="AJ59" s="181" t="s">
        <v>600</v>
      </c>
      <c r="AK59" s="181" t="str">
        <f t="shared" ca="1" si="9"/>
        <v>TERMINO</v>
      </c>
      <c r="AL59" s="181" t="s">
        <v>574</v>
      </c>
      <c r="AM59" s="176" t="s">
        <v>390</v>
      </c>
      <c r="AN59" s="875" t="str">
        <f>IFERROR(VLOOKUP(E59,'liquidaciones '!$B$2:$C$1048576,2,0),"NO")</f>
        <v>LIQUIDADO</v>
      </c>
      <c r="AO59" s="983">
        <f>IFERROR(VLOOKUP(E59,'liquidaciones '!$B$2:$I$1048576,8,0),"")</f>
        <v>0</v>
      </c>
      <c r="AP59" s="340">
        <v>42306</v>
      </c>
      <c r="AQ59" s="177" t="str">
        <f t="shared" ca="1" si="11"/>
        <v>NO</v>
      </c>
      <c r="AR59" s="177" t="s">
        <v>1166</v>
      </c>
      <c r="AS59" s="438"/>
      <c r="AT59" s="1015"/>
    </row>
    <row r="60" spans="1:46" ht="47.25" customHeight="1" x14ac:dyDescent="0.25">
      <c r="A60" s="15">
        <v>1</v>
      </c>
      <c r="B60" s="15">
        <v>54</v>
      </c>
      <c r="C60" s="442"/>
      <c r="D60" s="442" t="str">
        <f t="shared" si="0"/>
        <v>2012</v>
      </c>
      <c r="E60" s="132" t="s">
        <v>63</v>
      </c>
      <c r="F60" s="132" t="s">
        <v>64</v>
      </c>
      <c r="G60" s="143">
        <v>830143378</v>
      </c>
      <c r="H60" s="132" t="s">
        <v>337</v>
      </c>
      <c r="I60" s="134">
        <v>282073266</v>
      </c>
      <c r="J60" s="134" t="s">
        <v>1088</v>
      </c>
      <c r="K60" s="152">
        <v>2012</v>
      </c>
      <c r="L60" s="551"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12"/>
      <c r="Y60" s="42">
        <f t="shared" si="4"/>
        <v>1</v>
      </c>
      <c r="Z60" s="42">
        <f t="shared" ca="1" si="5"/>
        <v>1</v>
      </c>
      <c r="AA60" s="43">
        <f t="shared" ca="1" si="6"/>
        <v>0</v>
      </c>
      <c r="AB60" s="202" t="str">
        <f t="shared" ca="1" si="7"/>
        <v/>
      </c>
      <c r="AC60" s="44" t="str">
        <f t="shared" si="8"/>
        <v>SI</v>
      </c>
      <c r="AD60" s="44"/>
      <c r="AE60" s="173" t="s">
        <v>1257</v>
      </c>
      <c r="AF60" s="173" t="s">
        <v>1284</v>
      </c>
      <c r="AG60" s="173"/>
      <c r="AH60" s="284"/>
      <c r="AI60" s="174"/>
      <c r="AJ60" s="181" t="s">
        <v>600</v>
      </c>
      <c r="AK60" s="181" t="str">
        <f t="shared" ca="1" si="9"/>
        <v>TERMINO</v>
      </c>
      <c r="AL60" s="181" t="s">
        <v>573</v>
      </c>
      <c r="AM60" s="176" t="s">
        <v>390</v>
      </c>
      <c r="AN60" s="875" t="str">
        <f>IFERROR(VLOOKUP(E60,'liquidaciones '!$B$2:$C$1048576,2,0),"NO")</f>
        <v>LIQUIDADO</v>
      </c>
      <c r="AO60" s="983">
        <f>IFERROR(VLOOKUP(E60,'liquidaciones '!$B$2:$I$1048576,8,0),"")</f>
        <v>0</v>
      </c>
      <c r="AP60" s="340">
        <v>41968</v>
      </c>
      <c r="AQ60" s="177" t="str">
        <f t="shared" ca="1" si="11"/>
        <v>NO</v>
      </c>
      <c r="AR60" s="177" t="s">
        <v>982</v>
      </c>
      <c r="AS60" s="438"/>
      <c r="AT60" s="1015"/>
    </row>
    <row r="61" spans="1:46" ht="47.25" customHeight="1" x14ac:dyDescent="0.25">
      <c r="A61" s="15">
        <v>1</v>
      </c>
      <c r="B61" s="15">
        <v>55</v>
      </c>
      <c r="C61" s="442"/>
      <c r="D61" s="442" t="str">
        <f t="shared" si="0"/>
        <v>2012</v>
      </c>
      <c r="E61" s="142" t="s">
        <v>110</v>
      </c>
      <c r="F61" s="132" t="s">
        <v>111</v>
      </c>
      <c r="G61" s="133">
        <v>830126085</v>
      </c>
      <c r="H61" s="132" t="s">
        <v>1375</v>
      </c>
      <c r="I61" s="134">
        <v>50618751</v>
      </c>
      <c r="J61" s="134" t="s">
        <v>1088</v>
      </c>
      <c r="K61" s="152">
        <v>2012</v>
      </c>
      <c r="L61" s="551"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12"/>
      <c r="Y61" s="42">
        <f t="shared" si="4"/>
        <v>1</v>
      </c>
      <c r="Z61" s="42">
        <f t="shared" ca="1" si="5"/>
        <v>1</v>
      </c>
      <c r="AA61" s="43">
        <f t="shared" ca="1" si="6"/>
        <v>0</v>
      </c>
      <c r="AB61" s="202" t="str">
        <f t="shared" ca="1" si="7"/>
        <v/>
      </c>
      <c r="AC61" s="44" t="str">
        <f t="shared" si="8"/>
        <v>SI</v>
      </c>
      <c r="AD61" s="44"/>
      <c r="AE61" s="173" t="s">
        <v>1257</v>
      </c>
      <c r="AF61" s="173" t="s">
        <v>1284</v>
      </c>
      <c r="AG61" s="173"/>
      <c r="AH61" s="284"/>
      <c r="AI61" s="174"/>
      <c r="AJ61" s="181" t="s">
        <v>600</v>
      </c>
      <c r="AK61" s="181" t="str">
        <f t="shared" ca="1" si="9"/>
        <v>TERMINO</v>
      </c>
      <c r="AL61" s="181" t="s">
        <v>573</v>
      </c>
      <c r="AM61" s="176" t="s">
        <v>390</v>
      </c>
      <c r="AN61" s="875" t="str">
        <f>IFERROR(VLOOKUP(E61,'liquidaciones '!$B$2:$C$1048576,2,0),"NO")</f>
        <v>NO</v>
      </c>
      <c r="AO61" s="983" t="str">
        <f>IFERROR(VLOOKUP(E61,'liquidaciones '!$B$2:$I$1048576,8,0),"")</f>
        <v/>
      </c>
      <c r="AP61" s="340">
        <v>41984</v>
      </c>
      <c r="AQ61" s="177" t="str">
        <f t="shared" ca="1" si="11"/>
        <v>NO</v>
      </c>
      <c r="AR61" s="177" t="s">
        <v>982</v>
      </c>
      <c r="AS61" s="438"/>
      <c r="AT61" s="1015"/>
    </row>
    <row r="62" spans="1:46" ht="47.25" customHeight="1" x14ac:dyDescent="0.25">
      <c r="A62" s="15">
        <v>1</v>
      </c>
      <c r="B62" s="15">
        <v>56</v>
      </c>
      <c r="C62" s="442"/>
      <c r="D62" s="442" t="str">
        <f t="shared" si="0"/>
        <v>2012</v>
      </c>
      <c r="E62" s="132" t="s">
        <v>65</v>
      </c>
      <c r="F62" s="132" t="s">
        <v>66</v>
      </c>
      <c r="G62" s="143">
        <v>860015685</v>
      </c>
      <c r="H62" s="132" t="s">
        <v>459</v>
      </c>
      <c r="I62" s="134">
        <v>69900000</v>
      </c>
      <c r="J62" s="134" t="s">
        <v>1088</v>
      </c>
      <c r="K62" s="152">
        <v>2012</v>
      </c>
      <c r="L62" s="551"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12"/>
      <c r="Y62" s="42">
        <f t="shared" si="4"/>
        <v>1</v>
      </c>
      <c r="Z62" s="42">
        <f t="shared" ca="1" si="5"/>
        <v>1</v>
      </c>
      <c r="AA62" s="43">
        <f t="shared" ca="1" si="6"/>
        <v>0</v>
      </c>
      <c r="AB62" s="202" t="str">
        <f t="shared" ca="1" si="7"/>
        <v/>
      </c>
      <c r="AC62" s="44" t="str">
        <f t="shared" si="8"/>
        <v>SI</v>
      </c>
      <c r="AD62" s="44"/>
      <c r="AE62" s="173" t="s">
        <v>1257</v>
      </c>
      <c r="AF62" s="173" t="s">
        <v>1284</v>
      </c>
      <c r="AG62" s="173"/>
      <c r="AH62" s="284"/>
      <c r="AI62" s="174"/>
      <c r="AJ62" s="181" t="s">
        <v>600</v>
      </c>
      <c r="AK62" s="181" t="str">
        <f t="shared" ca="1" si="9"/>
        <v>TERMINO</v>
      </c>
      <c r="AL62" s="181" t="s">
        <v>573</v>
      </c>
      <c r="AM62" s="176" t="s">
        <v>390</v>
      </c>
      <c r="AN62" s="875" t="str">
        <f>IFERROR(VLOOKUP(E62,'liquidaciones '!$B$2:$C$1048576,2,0),"NO")</f>
        <v>LIQUIDADO</v>
      </c>
      <c r="AO62" s="983">
        <f>IFERROR(VLOOKUP(E62,'liquidaciones '!$B$2:$I$1048576,8,0),"")</f>
        <v>0</v>
      </c>
      <c r="AP62" s="340">
        <v>42017</v>
      </c>
      <c r="AQ62" s="177" t="str">
        <f t="shared" ca="1" si="11"/>
        <v>NO</v>
      </c>
      <c r="AR62" s="177" t="s">
        <v>1166</v>
      </c>
      <c r="AS62" s="438"/>
      <c r="AT62" s="1015"/>
    </row>
    <row r="63" spans="1:46" ht="47.25" customHeight="1" x14ac:dyDescent="0.25">
      <c r="A63" s="15">
        <v>1</v>
      </c>
      <c r="B63" s="15">
        <v>57</v>
      </c>
      <c r="C63" s="442"/>
      <c r="D63" s="442" t="str">
        <f t="shared" si="0"/>
        <v>2012</v>
      </c>
      <c r="E63" s="142" t="s">
        <v>69</v>
      </c>
      <c r="F63" s="132" t="s">
        <v>77</v>
      </c>
      <c r="G63" s="153">
        <v>860506170</v>
      </c>
      <c r="H63" s="132" t="s">
        <v>397</v>
      </c>
      <c r="I63" s="134">
        <v>500000000</v>
      </c>
      <c r="J63" s="134" t="s">
        <v>1088</v>
      </c>
      <c r="K63" s="152">
        <v>2012</v>
      </c>
      <c r="L63" s="551"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12"/>
      <c r="Y63" s="42">
        <f t="shared" si="4"/>
        <v>1</v>
      </c>
      <c r="Z63" s="42">
        <f t="shared" ca="1" si="5"/>
        <v>1</v>
      </c>
      <c r="AA63" s="43">
        <f t="shared" ca="1" si="6"/>
        <v>0</v>
      </c>
      <c r="AB63" s="202" t="str">
        <f t="shared" ca="1" si="7"/>
        <v/>
      </c>
      <c r="AC63" s="44" t="str">
        <f t="shared" si="8"/>
        <v>SI</v>
      </c>
      <c r="AD63" s="44"/>
      <c r="AE63" s="173" t="s">
        <v>1257</v>
      </c>
      <c r="AF63" s="173"/>
      <c r="AG63" s="173"/>
      <c r="AH63" s="284"/>
      <c r="AI63" s="174"/>
      <c r="AJ63" s="181" t="s">
        <v>600</v>
      </c>
      <c r="AK63" s="181" t="str">
        <f t="shared" ca="1" si="9"/>
        <v>TERMINO</v>
      </c>
      <c r="AL63" s="181" t="s">
        <v>582</v>
      </c>
      <c r="AM63" s="176" t="s">
        <v>390</v>
      </c>
      <c r="AN63" s="875" t="str">
        <f>IFERROR(VLOOKUP(E63,'liquidaciones '!$B$2:$C$1048576,2,0),"NO")</f>
        <v>NO</v>
      </c>
      <c r="AO63" s="983" t="str">
        <f>IFERROR(VLOOKUP(E63,'liquidaciones '!$B$2:$I$1048576,8,0),"")</f>
        <v/>
      </c>
      <c r="AP63" s="340"/>
      <c r="AQ63" s="177" t="str">
        <f t="shared" ca="1" si="11"/>
        <v>NO</v>
      </c>
      <c r="AR63" s="177" t="s">
        <v>982</v>
      </c>
      <c r="AS63" s="438"/>
      <c r="AT63" s="1015"/>
    </row>
    <row r="64" spans="1:46" ht="47.25" customHeight="1" x14ac:dyDescent="0.25">
      <c r="A64" s="15">
        <v>1</v>
      </c>
      <c r="B64" s="15">
        <v>58</v>
      </c>
      <c r="C64" s="442"/>
      <c r="D64" s="442" t="str">
        <f t="shared" si="0"/>
        <v>2012</v>
      </c>
      <c r="E64" s="142" t="s">
        <v>396</v>
      </c>
      <c r="F64" s="164" t="s">
        <v>203</v>
      </c>
      <c r="G64" s="153">
        <v>860049921</v>
      </c>
      <c r="H64" s="145" t="s">
        <v>346</v>
      </c>
      <c r="I64" s="146">
        <v>10440000</v>
      </c>
      <c r="J64" s="134" t="s">
        <v>1088</v>
      </c>
      <c r="K64" s="152">
        <v>2012</v>
      </c>
      <c r="L64" s="551"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12"/>
      <c r="Y64" s="42">
        <f t="shared" si="4"/>
        <v>1</v>
      </c>
      <c r="Z64" s="42">
        <f t="shared" ca="1" si="5"/>
        <v>1</v>
      </c>
      <c r="AA64" s="43">
        <f t="shared" ca="1" si="6"/>
        <v>0</v>
      </c>
      <c r="AB64" s="202" t="str">
        <f t="shared" ca="1" si="7"/>
        <v/>
      </c>
      <c r="AC64" s="44" t="str">
        <f t="shared" si="8"/>
        <v>SI</v>
      </c>
      <c r="AD64" s="44"/>
      <c r="AE64" s="173" t="s">
        <v>1257</v>
      </c>
      <c r="AF64" s="304" t="s">
        <v>1351</v>
      </c>
      <c r="AG64" s="173" t="s">
        <v>1432</v>
      </c>
      <c r="AH64" s="284" t="s">
        <v>563</v>
      </c>
      <c r="AI64" s="174"/>
      <c r="AJ64" s="181" t="s">
        <v>600</v>
      </c>
      <c r="AK64" s="181" t="str">
        <f t="shared" ca="1" si="9"/>
        <v>TERMINO</v>
      </c>
      <c r="AL64" s="181" t="s">
        <v>582</v>
      </c>
      <c r="AM64" s="176" t="s">
        <v>390</v>
      </c>
      <c r="AN64" s="875" t="str">
        <f>IFERROR(VLOOKUP(E64,'liquidaciones '!$B$2:$C$1048576,2,0),"NO")</f>
        <v>NO</v>
      </c>
      <c r="AO64" s="983" t="str">
        <f>IFERROR(VLOOKUP(E64,'liquidaciones '!$B$2:$I$1048576,8,0),"")</f>
        <v/>
      </c>
      <c r="AP64" s="340">
        <v>42221</v>
      </c>
      <c r="AQ64" s="177" t="str">
        <f t="shared" ca="1" si="11"/>
        <v>NO</v>
      </c>
      <c r="AR64" s="177" t="s">
        <v>1574</v>
      </c>
      <c r="AS64" s="438"/>
      <c r="AT64" s="1015"/>
    </row>
    <row r="65" spans="1:46" ht="47.25" customHeight="1" x14ac:dyDescent="0.25">
      <c r="A65" s="15">
        <v>1</v>
      </c>
      <c r="B65" s="15">
        <v>59</v>
      </c>
      <c r="C65" s="442"/>
      <c r="D65" s="442" t="str">
        <f t="shared" si="0"/>
        <v>2012</v>
      </c>
      <c r="E65" s="145" t="s">
        <v>47</v>
      </c>
      <c r="F65" s="145" t="s">
        <v>48</v>
      </c>
      <c r="G65" s="143">
        <v>830085352</v>
      </c>
      <c r="H65" s="145" t="s">
        <v>421</v>
      </c>
      <c r="I65" s="146">
        <v>24824832</v>
      </c>
      <c r="J65" s="134" t="s">
        <v>1088</v>
      </c>
      <c r="K65" s="152">
        <v>2012</v>
      </c>
      <c r="L65" s="551"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12"/>
      <c r="Y65" s="42">
        <f t="shared" si="4"/>
        <v>1</v>
      </c>
      <c r="Z65" s="42">
        <f t="shared" ca="1" si="5"/>
        <v>1</v>
      </c>
      <c r="AA65" s="43">
        <f t="shared" ca="1" si="6"/>
        <v>0</v>
      </c>
      <c r="AB65" s="202" t="str">
        <f t="shared" ca="1" si="7"/>
        <v/>
      </c>
      <c r="AC65" s="44" t="str">
        <f t="shared" si="8"/>
        <v>SI</v>
      </c>
      <c r="AD65" s="44"/>
      <c r="AE65" s="173" t="s">
        <v>1257</v>
      </c>
      <c r="AF65" s="173" t="s">
        <v>1142</v>
      </c>
      <c r="AG65" s="173"/>
      <c r="AH65" s="284"/>
      <c r="AI65" s="174"/>
      <c r="AJ65" s="181" t="s">
        <v>600</v>
      </c>
      <c r="AK65" s="181" t="str">
        <f t="shared" ca="1" si="9"/>
        <v>TERMINO</v>
      </c>
      <c r="AL65" s="181" t="s">
        <v>576</v>
      </c>
      <c r="AM65" s="176" t="s">
        <v>390</v>
      </c>
      <c r="AN65" s="875" t="str">
        <f>IFERROR(VLOOKUP(E65,'liquidaciones '!$B$2:$C$1048576,2,0),"NO")</f>
        <v>LIQUIDADO</v>
      </c>
      <c r="AO65" s="983">
        <f>IFERROR(VLOOKUP(E65,'liquidaciones '!$B$2:$I$1048576,8,0),"")</f>
        <v>0</v>
      </c>
      <c r="AP65" s="340">
        <v>41982</v>
      </c>
      <c r="AQ65" s="177" t="str">
        <f t="shared" ca="1" si="11"/>
        <v>NO</v>
      </c>
      <c r="AR65" s="177" t="s">
        <v>1574</v>
      </c>
      <c r="AS65" s="438"/>
      <c r="AT65" s="1015"/>
    </row>
    <row r="66" spans="1:46" ht="47.25" customHeight="1" x14ac:dyDescent="0.25">
      <c r="A66" s="15">
        <v>1</v>
      </c>
      <c r="B66" s="15">
        <v>60</v>
      </c>
      <c r="C66" s="442"/>
      <c r="D66" s="442" t="str">
        <f t="shared" si="0"/>
        <v>2012</v>
      </c>
      <c r="E66" s="132" t="s">
        <v>39</v>
      </c>
      <c r="F66" s="132" t="s">
        <v>1020</v>
      </c>
      <c r="G66" s="143">
        <v>900169179</v>
      </c>
      <c r="H66" s="132" t="s">
        <v>328</v>
      </c>
      <c r="I66" s="134">
        <v>810000</v>
      </c>
      <c r="J66" s="134" t="s">
        <v>1088</v>
      </c>
      <c r="K66" s="152">
        <v>2012</v>
      </c>
      <c r="L66" s="551"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12"/>
      <c r="Y66" s="42">
        <f t="shared" si="4"/>
        <v>1</v>
      </c>
      <c r="Z66" s="42">
        <f t="shared" ca="1" si="5"/>
        <v>1</v>
      </c>
      <c r="AA66" s="43">
        <f t="shared" ca="1" si="6"/>
        <v>0</v>
      </c>
      <c r="AB66" s="202" t="str">
        <f t="shared" ca="1" si="7"/>
        <v/>
      </c>
      <c r="AC66" s="44" t="str">
        <f t="shared" si="8"/>
        <v>SI</v>
      </c>
      <c r="AD66" s="44"/>
      <c r="AE66" s="173" t="s">
        <v>1257</v>
      </c>
      <c r="AF66" s="173" t="s">
        <v>1126</v>
      </c>
      <c r="AG66" s="173"/>
      <c r="AH66" s="284"/>
      <c r="AI66" s="174"/>
      <c r="AJ66" s="181" t="s">
        <v>600</v>
      </c>
      <c r="AK66" s="181" t="str">
        <f t="shared" ca="1" si="9"/>
        <v>TERMINO</v>
      </c>
      <c r="AL66" s="181" t="s">
        <v>582</v>
      </c>
      <c r="AM66" s="176" t="s">
        <v>390</v>
      </c>
      <c r="AN66" s="875" t="str">
        <f>IFERROR(VLOOKUP(E66,'liquidaciones '!$B$2:$C$1048576,2,0),"NO")</f>
        <v>NO</v>
      </c>
      <c r="AO66" s="983" t="str">
        <f>IFERROR(VLOOKUP(E66,'liquidaciones '!$B$2:$I$1048576,8,0),"")</f>
        <v/>
      </c>
      <c r="AP66" s="340"/>
      <c r="AQ66" s="177" t="str">
        <f t="shared" ca="1" si="11"/>
        <v>NO</v>
      </c>
      <c r="AR66" s="177" t="s">
        <v>1574</v>
      </c>
      <c r="AS66" s="438"/>
      <c r="AT66" s="1015"/>
    </row>
    <row r="67" spans="1:46" ht="47.25" customHeight="1" x14ac:dyDescent="0.25">
      <c r="A67" s="15">
        <v>1</v>
      </c>
      <c r="B67" s="15">
        <v>61</v>
      </c>
      <c r="C67" s="442"/>
      <c r="D67" s="442" t="str">
        <f t="shared" si="0"/>
        <v>2012</v>
      </c>
      <c r="E67" s="144" t="s">
        <v>49</v>
      </c>
      <c r="F67" s="145" t="s">
        <v>1021</v>
      </c>
      <c r="G67" s="143">
        <v>830042460</v>
      </c>
      <c r="H67" s="145" t="s">
        <v>460</v>
      </c>
      <c r="I67" s="146">
        <v>299287875</v>
      </c>
      <c r="J67" s="134" t="s">
        <v>1088</v>
      </c>
      <c r="K67" s="152">
        <v>2012</v>
      </c>
      <c r="L67" s="551"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12"/>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4"/>
      <c r="AI67" s="174"/>
      <c r="AJ67" s="181" t="s">
        <v>1344</v>
      </c>
      <c r="AK67" s="181" t="str">
        <f t="shared" ca="1" si="9"/>
        <v>TERMINO</v>
      </c>
      <c r="AL67" s="181" t="s">
        <v>574</v>
      </c>
      <c r="AM67" s="176" t="s">
        <v>390</v>
      </c>
      <c r="AN67" s="875" t="str">
        <f>IFERROR(VLOOKUP(E67,'liquidaciones '!$B$2:$C$1048576,2,0),"NO")</f>
        <v>NO</v>
      </c>
      <c r="AO67" s="983" t="str">
        <f>IFERROR(VLOOKUP(E67,'liquidaciones '!$B$2:$I$1048576,8,0),"")</f>
        <v/>
      </c>
      <c r="AP67" s="340">
        <v>41799</v>
      </c>
      <c r="AQ67" s="177" t="str">
        <f t="shared" ca="1" si="11"/>
        <v>NO</v>
      </c>
      <c r="AR67" s="177" t="s">
        <v>1574</v>
      </c>
      <c r="AS67" s="438"/>
      <c r="AT67" s="1015"/>
    </row>
    <row r="68" spans="1:46" ht="47.25" customHeight="1" x14ac:dyDescent="0.25">
      <c r="A68" s="15">
        <v>1</v>
      </c>
      <c r="B68" s="15">
        <v>62</v>
      </c>
      <c r="C68" s="442"/>
      <c r="D68" s="442" t="str">
        <f t="shared" si="0"/>
        <v>2012</v>
      </c>
      <c r="E68" s="145" t="s">
        <v>50</v>
      </c>
      <c r="F68" s="132" t="s">
        <v>1022</v>
      </c>
      <c r="G68" s="143">
        <v>830017796</v>
      </c>
      <c r="H68" s="145" t="s">
        <v>331</v>
      </c>
      <c r="I68" s="146">
        <v>1392000</v>
      </c>
      <c r="J68" s="134" t="s">
        <v>1088</v>
      </c>
      <c r="K68" s="152">
        <v>2012</v>
      </c>
      <c r="L68" s="551"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12"/>
      <c r="Y68" s="42">
        <f t="shared" si="4"/>
        <v>0</v>
      </c>
      <c r="Z68" s="42">
        <f t="shared" ca="1" si="5"/>
        <v>1</v>
      </c>
      <c r="AA68" s="43">
        <f t="shared" ca="1" si="6"/>
        <v>1</v>
      </c>
      <c r="AB68" s="202" t="str">
        <f t="shared" ca="1" si="7"/>
        <v/>
      </c>
      <c r="AC68" s="44" t="str">
        <f t="shared" si="8"/>
        <v>NO</v>
      </c>
      <c r="AD68" s="44"/>
      <c r="AE68" s="173" t="s">
        <v>1257</v>
      </c>
      <c r="AF68" s="173" t="s">
        <v>1171</v>
      </c>
      <c r="AG68" s="173" t="s">
        <v>1443</v>
      </c>
      <c r="AH68" s="284" t="s">
        <v>560</v>
      </c>
      <c r="AI68" s="174"/>
      <c r="AJ68" s="181" t="s">
        <v>600</v>
      </c>
      <c r="AK68" s="181" t="str">
        <f t="shared" ca="1" si="9"/>
        <v>TERMINO</v>
      </c>
      <c r="AL68" s="181" t="s">
        <v>576</v>
      </c>
      <c r="AM68" s="176" t="s">
        <v>390</v>
      </c>
      <c r="AN68" s="875" t="str">
        <f>IFERROR(VLOOKUP(E68,'liquidaciones '!$B$2:$C$1048576,2,0),"NO")</f>
        <v>NO</v>
      </c>
      <c r="AO68" s="983" t="str">
        <f>IFERROR(VLOOKUP(E68,'liquidaciones '!$B$2:$I$1048576,8,0),"")</f>
        <v/>
      </c>
      <c r="AP68" s="340"/>
      <c r="AQ68" s="177" t="str">
        <f t="shared" ca="1" si="11"/>
        <v>NO</v>
      </c>
      <c r="AR68" s="177" t="s">
        <v>1574</v>
      </c>
      <c r="AS68" s="438"/>
      <c r="AT68" s="1015"/>
    </row>
    <row r="69" spans="1:46" ht="47.25" customHeight="1" x14ac:dyDescent="0.25">
      <c r="A69" s="15">
        <v>1</v>
      </c>
      <c r="B69" s="15">
        <v>63</v>
      </c>
      <c r="C69" s="442"/>
      <c r="D69" s="442" t="str">
        <f t="shared" si="0"/>
        <v>2012</v>
      </c>
      <c r="E69" s="142" t="s">
        <v>119</v>
      </c>
      <c r="F69" s="132" t="s">
        <v>398</v>
      </c>
      <c r="G69" s="143">
        <v>830043839</v>
      </c>
      <c r="H69" s="132" t="s">
        <v>352</v>
      </c>
      <c r="I69" s="134">
        <v>4056000</v>
      </c>
      <c r="J69" s="134" t="s">
        <v>1088</v>
      </c>
      <c r="K69" s="152">
        <v>2012</v>
      </c>
      <c r="L69" s="551"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12"/>
      <c r="Y69" s="42">
        <f t="shared" si="4"/>
        <v>1</v>
      </c>
      <c r="Z69" s="42">
        <f t="shared" ca="1" si="5"/>
        <v>1</v>
      </c>
      <c r="AA69" s="43">
        <f t="shared" ca="1" si="6"/>
        <v>0</v>
      </c>
      <c r="AB69" s="202" t="str">
        <f t="shared" ca="1" si="7"/>
        <v/>
      </c>
      <c r="AC69" s="44" t="str">
        <f t="shared" si="8"/>
        <v>SI</v>
      </c>
      <c r="AD69" s="44"/>
      <c r="AE69" s="173" t="s">
        <v>1257</v>
      </c>
      <c r="AF69" s="173" t="s">
        <v>1512</v>
      </c>
      <c r="AG69" s="173" t="s">
        <v>1443</v>
      </c>
      <c r="AH69" s="284" t="s">
        <v>560</v>
      </c>
      <c r="AI69" s="174"/>
      <c r="AJ69" s="181" t="s">
        <v>600</v>
      </c>
      <c r="AK69" s="181" t="str">
        <f t="shared" ca="1" si="9"/>
        <v>TERMINO</v>
      </c>
      <c r="AL69" s="181" t="s">
        <v>576</v>
      </c>
      <c r="AM69" s="176" t="s">
        <v>390</v>
      </c>
      <c r="AN69" s="875" t="str">
        <f>IFERROR(VLOOKUP(E69,'liquidaciones '!$B$2:$C$1048576,2,0),"NO")</f>
        <v>NO</v>
      </c>
      <c r="AO69" s="983" t="str">
        <f>IFERROR(VLOOKUP(E69,'liquidaciones '!$B$2:$I$1048576,8,0),"")</f>
        <v/>
      </c>
      <c r="AP69" s="340">
        <v>42303</v>
      </c>
      <c r="AQ69" s="177" t="str">
        <f t="shared" ca="1" si="11"/>
        <v>NO</v>
      </c>
      <c r="AR69" s="177" t="s">
        <v>1574</v>
      </c>
      <c r="AS69" s="438"/>
      <c r="AT69" s="1015"/>
    </row>
    <row r="70" spans="1:46" ht="47.25" customHeight="1" x14ac:dyDescent="0.25">
      <c r="A70" s="15">
        <v>1</v>
      </c>
      <c r="B70" s="15">
        <v>64</v>
      </c>
      <c r="C70" s="442"/>
      <c r="D70" s="442" t="str">
        <f t="shared" si="0"/>
        <v>2012</v>
      </c>
      <c r="E70" s="145" t="s">
        <v>51</v>
      </c>
      <c r="F70" s="132" t="s">
        <v>1023</v>
      </c>
      <c r="G70" s="143">
        <v>900431177</v>
      </c>
      <c r="H70" s="145" t="s">
        <v>1376</v>
      </c>
      <c r="I70" s="146">
        <v>431745000</v>
      </c>
      <c r="J70" s="134" t="s">
        <v>1088</v>
      </c>
      <c r="K70" s="152">
        <v>2012</v>
      </c>
      <c r="L70" s="551"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12"/>
      <c r="Y70" s="42">
        <f t="shared" si="4"/>
        <v>1</v>
      </c>
      <c r="Z70" s="42">
        <f t="shared" ca="1" si="5"/>
        <v>1</v>
      </c>
      <c r="AA70" s="43">
        <f t="shared" ca="1" si="6"/>
        <v>0</v>
      </c>
      <c r="AB70" s="202" t="str">
        <f t="shared" ca="1" si="7"/>
        <v/>
      </c>
      <c r="AC70" s="44" t="str">
        <f t="shared" si="8"/>
        <v>SI</v>
      </c>
      <c r="AD70" s="44"/>
      <c r="AE70" s="173" t="s">
        <v>1257</v>
      </c>
      <c r="AF70" s="173" t="s">
        <v>1128</v>
      </c>
      <c r="AG70" s="173"/>
      <c r="AH70" s="284" t="s">
        <v>560</v>
      </c>
      <c r="AI70" s="174"/>
      <c r="AJ70" s="181" t="s">
        <v>600</v>
      </c>
      <c r="AK70" s="181" t="str">
        <f t="shared" ca="1" si="9"/>
        <v>TERMINO</v>
      </c>
      <c r="AL70" s="181" t="s">
        <v>573</v>
      </c>
      <c r="AM70" s="176" t="s">
        <v>390</v>
      </c>
      <c r="AN70" s="875" t="str">
        <f>IFERROR(VLOOKUP(E70,'liquidaciones '!$B$2:$C$1048576,2,0),"NO")</f>
        <v>NO</v>
      </c>
      <c r="AO70" s="983" t="str">
        <f>IFERROR(VLOOKUP(E70,'liquidaciones '!$B$2:$I$1048576,8,0),"")</f>
        <v/>
      </c>
      <c r="AP70" s="340"/>
      <c r="AQ70" s="177" t="str">
        <f t="shared" ca="1" si="11"/>
        <v>NO</v>
      </c>
      <c r="AR70" s="177" t="s">
        <v>1574</v>
      </c>
      <c r="AS70" s="438"/>
      <c r="AT70" s="1015"/>
    </row>
    <row r="71" spans="1:46" ht="47.25" customHeight="1" x14ac:dyDescent="0.25">
      <c r="A71" s="15">
        <v>1</v>
      </c>
      <c r="B71" s="15">
        <v>65</v>
      </c>
      <c r="C71" s="442"/>
      <c r="D71" s="442" t="str">
        <f t="shared" ref="D71:D134" si="13">K71&amp;C71</f>
        <v>2012</v>
      </c>
      <c r="E71" s="132" t="s">
        <v>597</v>
      </c>
      <c r="F71" s="132" t="s">
        <v>1024</v>
      </c>
      <c r="G71" s="143">
        <v>860066942</v>
      </c>
      <c r="H71" s="132" t="s">
        <v>338</v>
      </c>
      <c r="I71" s="134">
        <v>407400000</v>
      </c>
      <c r="J71" s="134" t="s">
        <v>1088</v>
      </c>
      <c r="K71" s="152">
        <v>2012</v>
      </c>
      <c r="L71" s="551"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12"/>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4" t="s">
        <v>560</v>
      </c>
      <c r="AI71" s="174"/>
      <c r="AJ71" s="181" t="s">
        <v>901</v>
      </c>
      <c r="AK71" s="181" t="str">
        <f t="shared" ref="AK71:AK134" ca="1" si="22">IF(T71&gt;=$F$3,"EN EJECUCIÓN","TERMINO")</f>
        <v>TERMINO</v>
      </c>
      <c r="AL71" s="181" t="s">
        <v>574</v>
      </c>
      <c r="AM71" s="176" t="s">
        <v>390</v>
      </c>
      <c r="AN71" s="875" t="str">
        <f>IFERROR(VLOOKUP(E71,'liquidaciones '!$B$2:$C$1048576,2,0),"NO")</f>
        <v>LIQUIDADO</v>
      </c>
      <c r="AO71" s="983">
        <f>IFERROR(VLOOKUP(E71,'liquidaciones '!$B$2:$I$1048576,8,0),"")</f>
        <v>0</v>
      </c>
      <c r="AP71" s="340">
        <v>42017</v>
      </c>
      <c r="AQ71" s="177" t="str">
        <f t="shared" ca="1" si="11"/>
        <v>NO</v>
      </c>
      <c r="AR71" s="177" t="s">
        <v>1574</v>
      </c>
      <c r="AS71" s="438"/>
      <c r="AT71" s="1015"/>
    </row>
    <row r="72" spans="1:46" ht="47.25" customHeight="1" x14ac:dyDescent="0.25">
      <c r="A72" s="15">
        <v>3</v>
      </c>
      <c r="B72" s="15">
        <v>66</v>
      </c>
      <c r="C72" s="442"/>
      <c r="D72" s="442" t="str">
        <f t="shared" si="13"/>
        <v>2012</v>
      </c>
      <c r="E72" s="132" t="s">
        <v>598</v>
      </c>
      <c r="F72" s="132" t="s">
        <v>1025</v>
      </c>
      <c r="G72" s="143">
        <v>80199707</v>
      </c>
      <c r="H72" s="132" t="s">
        <v>333</v>
      </c>
      <c r="I72" s="134">
        <v>37359000</v>
      </c>
      <c r="J72" s="134" t="s">
        <v>1088</v>
      </c>
      <c r="K72" s="152">
        <v>2012</v>
      </c>
      <c r="L72" s="551"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12"/>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4" t="s">
        <v>560</v>
      </c>
      <c r="AI72" s="174"/>
      <c r="AJ72" s="181" t="s">
        <v>600</v>
      </c>
      <c r="AK72" s="181" t="str">
        <f t="shared" ca="1" si="22"/>
        <v>TERMINO</v>
      </c>
      <c r="AL72" s="181" t="s">
        <v>576</v>
      </c>
      <c r="AM72" s="176" t="s">
        <v>390</v>
      </c>
      <c r="AN72" s="875" t="str">
        <f>IFERROR(VLOOKUP(E72,'liquidaciones '!$B$2:$C$1048576,2,0),"NO")</f>
        <v>NO</v>
      </c>
      <c r="AO72" s="983" t="str">
        <f>IFERROR(VLOOKUP(E72,'liquidaciones '!$B$2:$I$1048576,8,0),"")</f>
        <v/>
      </c>
      <c r="AP72" s="340">
        <v>42234</v>
      </c>
      <c r="AQ72" s="177" t="str">
        <f t="shared" ca="1" si="11"/>
        <v>NO</v>
      </c>
      <c r="AR72" s="177" t="s">
        <v>1574</v>
      </c>
      <c r="AS72" s="438"/>
      <c r="AT72" s="1015"/>
    </row>
    <row r="73" spans="1:46" ht="47.25" customHeight="1" x14ac:dyDescent="0.25">
      <c r="A73" s="15">
        <v>1</v>
      </c>
      <c r="B73" s="15">
        <v>67</v>
      </c>
      <c r="C73" s="442"/>
      <c r="D73" s="442" t="str">
        <f t="shared" si="13"/>
        <v>2012</v>
      </c>
      <c r="E73" s="145" t="s">
        <v>42</v>
      </c>
      <c r="F73" s="145" t="s">
        <v>43</v>
      </c>
      <c r="G73" s="143">
        <v>830100153</v>
      </c>
      <c r="H73" s="145" t="s">
        <v>1377</v>
      </c>
      <c r="I73" s="146">
        <v>20358000</v>
      </c>
      <c r="J73" s="134" t="s">
        <v>1088</v>
      </c>
      <c r="K73" s="152">
        <v>2012</v>
      </c>
      <c r="L73" s="551"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12"/>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4" t="s">
        <v>562</v>
      </c>
      <c r="AI73" s="174" t="s">
        <v>1507</v>
      </c>
      <c r="AJ73" s="181" t="s">
        <v>600</v>
      </c>
      <c r="AK73" s="181" t="str">
        <f t="shared" ca="1" si="22"/>
        <v>TERMINO</v>
      </c>
      <c r="AL73" s="181" t="s">
        <v>576</v>
      </c>
      <c r="AM73" s="176" t="s">
        <v>390</v>
      </c>
      <c r="AN73" s="875" t="str">
        <f>IFERROR(VLOOKUP(E73,'liquidaciones '!$B$2:$C$1048576,2,0),"NO")</f>
        <v>LIQUIDADO</v>
      </c>
      <c r="AO73" s="983">
        <f>IFERROR(VLOOKUP(E73,'liquidaciones '!$B$2:$I$1048576,8,0),"")</f>
        <v>0</v>
      </c>
      <c r="AP73" s="340">
        <v>42107</v>
      </c>
      <c r="AQ73" s="177" t="str">
        <f t="shared" ca="1" si="11"/>
        <v>NO</v>
      </c>
      <c r="AR73" s="177" t="s">
        <v>1574</v>
      </c>
      <c r="AS73" s="438"/>
      <c r="AT73" s="1015"/>
    </row>
    <row r="74" spans="1:46" ht="47.25" customHeight="1" x14ac:dyDescent="0.25">
      <c r="A74" s="15">
        <v>1</v>
      </c>
      <c r="B74" s="15">
        <v>68</v>
      </c>
      <c r="C74" s="442"/>
      <c r="D74" s="442" t="str">
        <f t="shared" si="13"/>
        <v>2012</v>
      </c>
      <c r="E74" s="145" t="s">
        <v>599</v>
      </c>
      <c r="F74" s="145" t="s">
        <v>1026</v>
      </c>
      <c r="G74" s="143">
        <v>860030197</v>
      </c>
      <c r="H74" s="145" t="s">
        <v>461</v>
      </c>
      <c r="I74" s="146">
        <v>6388708</v>
      </c>
      <c r="J74" s="134" t="s">
        <v>1088</v>
      </c>
      <c r="K74" s="152">
        <v>2012</v>
      </c>
      <c r="L74" s="551"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12"/>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4"/>
      <c r="AI74" s="174"/>
      <c r="AJ74" s="175" t="s">
        <v>901</v>
      </c>
      <c r="AK74" s="181" t="str">
        <f t="shared" ca="1" si="22"/>
        <v>TERMINO</v>
      </c>
      <c r="AL74" s="175"/>
      <c r="AM74" s="176" t="s">
        <v>390</v>
      </c>
      <c r="AN74" s="875" t="str">
        <f>IFERROR(VLOOKUP(E74,'liquidaciones '!$B$2:$C$1048576,2,0),"NO")</f>
        <v>NO</v>
      </c>
      <c r="AO74" s="983" t="str">
        <f>IFERROR(VLOOKUP(E74,'liquidaciones '!$B$2:$I$1048576,8,0),"")</f>
        <v/>
      </c>
      <c r="AP74" s="340">
        <v>42278</v>
      </c>
      <c r="AQ74" s="177" t="str">
        <f t="shared" ca="1" si="11"/>
        <v>NO</v>
      </c>
      <c r="AR74" s="177" t="s">
        <v>1574</v>
      </c>
      <c r="AS74" s="438"/>
      <c r="AT74" s="1015"/>
    </row>
    <row r="75" spans="1:46" ht="47.25" customHeight="1" x14ac:dyDescent="0.25">
      <c r="A75" s="15">
        <v>1</v>
      </c>
      <c r="B75" s="15">
        <v>69</v>
      </c>
      <c r="C75" s="442"/>
      <c r="D75" s="442" t="str">
        <f t="shared" si="13"/>
        <v>2012</v>
      </c>
      <c r="E75" s="132" t="s">
        <v>67</v>
      </c>
      <c r="F75" s="132" t="s">
        <v>68</v>
      </c>
      <c r="G75" s="143">
        <v>860007336</v>
      </c>
      <c r="H75" s="132" t="s">
        <v>462</v>
      </c>
      <c r="I75" s="134">
        <v>58300000</v>
      </c>
      <c r="J75" s="134" t="s">
        <v>1088</v>
      </c>
      <c r="K75" s="152">
        <v>2012</v>
      </c>
      <c r="L75" s="551"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12"/>
      <c r="Y75" s="42">
        <f t="shared" si="17"/>
        <v>1</v>
      </c>
      <c r="Z75" s="42">
        <f t="shared" ca="1" si="18"/>
        <v>1</v>
      </c>
      <c r="AA75" s="43">
        <f t="shared" ca="1" si="19"/>
        <v>0</v>
      </c>
      <c r="AB75" s="202" t="str">
        <f t="shared" ca="1" si="20"/>
        <v/>
      </c>
      <c r="AC75" s="44" t="str">
        <f t="shared" si="21"/>
        <v>SI</v>
      </c>
      <c r="AD75" s="44"/>
      <c r="AE75" s="173" t="s">
        <v>1257</v>
      </c>
      <c r="AF75" s="173" t="s">
        <v>1281</v>
      </c>
      <c r="AG75" s="173"/>
      <c r="AH75" s="284"/>
      <c r="AI75" s="174"/>
      <c r="AJ75" s="181" t="s">
        <v>600</v>
      </c>
      <c r="AK75" s="181" t="str">
        <f t="shared" ca="1" si="22"/>
        <v>TERMINO</v>
      </c>
      <c r="AL75" s="181" t="s">
        <v>574</v>
      </c>
      <c r="AM75" s="176" t="s">
        <v>390</v>
      </c>
      <c r="AN75" s="875" t="str">
        <f>IFERROR(VLOOKUP(E75,'liquidaciones '!$B$2:$C$1048576,2,0),"NO")</f>
        <v>LIQUIDADO</v>
      </c>
      <c r="AO75" s="983">
        <f>IFERROR(VLOOKUP(E75,'liquidaciones '!$B$2:$I$1048576,8,0),"")</f>
        <v>0</v>
      </c>
      <c r="AP75" s="340">
        <v>42121</v>
      </c>
      <c r="AQ75" s="177" t="str">
        <f t="shared" ca="1" si="11"/>
        <v>NO</v>
      </c>
      <c r="AR75" s="177" t="s">
        <v>1574</v>
      </c>
      <c r="AS75" s="438"/>
      <c r="AT75" s="1015"/>
    </row>
    <row r="76" spans="1:46" ht="47.25" customHeight="1" x14ac:dyDescent="0.25">
      <c r="A76" s="15">
        <v>1</v>
      </c>
      <c r="B76" s="15">
        <v>70</v>
      </c>
      <c r="C76" s="442"/>
      <c r="D76" s="442" t="str">
        <f t="shared" si="13"/>
        <v>2012</v>
      </c>
      <c r="E76" s="145" t="s">
        <v>74</v>
      </c>
      <c r="F76" s="145" t="s">
        <v>75</v>
      </c>
      <c r="G76" s="143">
        <v>800045878</v>
      </c>
      <c r="H76" s="145" t="s">
        <v>415</v>
      </c>
      <c r="I76" s="146">
        <v>293000000</v>
      </c>
      <c r="J76" s="134" t="s">
        <v>1088</v>
      </c>
      <c r="K76" s="152">
        <v>2012</v>
      </c>
      <c r="L76" s="551"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12"/>
      <c r="Y76" s="42">
        <f t="shared" si="17"/>
        <v>1</v>
      </c>
      <c r="Z76" s="42">
        <f t="shared" ca="1" si="18"/>
        <v>1</v>
      </c>
      <c r="AA76" s="43">
        <f t="shared" ca="1" si="19"/>
        <v>0</v>
      </c>
      <c r="AB76" s="202" t="str">
        <f t="shared" ca="1" si="20"/>
        <v/>
      </c>
      <c r="AC76" s="44" t="str">
        <f t="shared" si="21"/>
        <v>SI</v>
      </c>
      <c r="AD76" s="44"/>
      <c r="AE76" s="173" t="s">
        <v>1257</v>
      </c>
      <c r="AF76" s="173" t="s">
        <v>1130</v>
      </c>
      <c r="AG76" s="173"/>
      <c r="AH76" s="284"/>
      <c r="AI76" s="174"/>
      <c r="AJ76" s="181" t="s">
        <v>600</v>
      </c>
      <c r="AK76" s="181" t="str">
        <f t="shared" ca="1" si="22"/>
        <v>TERMINO</v>
      </c>
      <c r="AL76" s="181" t="s">
        <v>995</v>
      </c>
      <c r="AM76" s="176" t="s">
        <v>390</v>
      </c>
      <c r="AN76" s="875" t="str">
        <f>IFERROR(VLOOKUP(E76,'liquidaciones '!$B$2:$C$1048576,2,0),"NO")</f>
        <v>NO</v>
      </c>
      <c r="AO76" s="983" t="str">
        <f>IFERROR(VLOOKUP(E76,'liquidaciones '!$B$2:$I$1048576,8,0),"")</f>
        <v/>
      </c>
      <c r="AP76" s="340"/>
      <c r="AQ76" s="177" t="str">
        <f t="shared" ca="1" si="11"/>
        <v>NO</v>
      </c>
      <c r="AR76" s="177" t="s">
        <v>1574</v>
      </c>
      <c r="AS76" s="438"/>
      <c r="AT76" s="1015"/>
    </row>
    <row r="77" spans="1:46" ht="47.25" customHeight="1" x14ac:dyDescent="0.25">
      <c r="A77" s="15">
        <v>1</v>
      </c>
      <c r="B77" s="15">
        <v>71</v>
      </c>
      <c r="C77" s="442"/>
      <c r="D77" s="442" t="str">
        <f t="shared" si="13"/>
        <v>2012</v>
      </c>
      <c r="E77" s="132" t="s">
        <v>54</v>
      </c>
      <c r="F77" s="132" t="s">
        <v>55</v>
      </c>
      <c r="G77" s="143">
        <v>830050320</v>
      </c>
      <c r="H77" s="132" t="s">
        <v>334</v>
      </c>
      <c r="I77" s="134">
        <v>10032000</v>
      </c>
      <c r="J77" s="134" t="s">
        <v>2260</v>
      </c>
      <c r="K77" s="152">
        <v>2012</v>
      </c>
      <c r="L77" s="551"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12"/>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4" t="s">
        <v>560</v>
      </c>
      <c r="AI77" s="174"/>
      <c r="AJ77" s="181" t="s">
        <v>600</v>
      </c>
      <c r="AK77" s="181" t="str">
        <f t="shared" ca="1" si="22"/>
        <v>TERMINO</v>
      </c>
      <c r="AL77" s="181" t="s">
        <v>576</v>
      </c>
      <c r="AM77" s="176" t="s">
        <v>390</v>
      </c>
      <c r="AN77" s="875" t="str">
        <f>IFERROR(VLOOKUP(E77,'liquidaciones '!$B$2:$C$1048576,2,0),"NO")</f>
        <v>NO</v>
      </c>
      <c r="AO77" s="983" t="str">
        <f>IFERROR(VLOOKUP(E77,'liquidaciones '!$B$2:$I$1048576,8,0),"")</f>
        <v/>
      </c>
      <c r="AP77" s="340">
        <v>42321</v>
      </c>
      <c r="AQ77" s="177" t="str">
        <f t="shared" ca="1" si="11"/>
        <v>NO</v>
      </c>
      <c r="AR77" s="177" t="s">
        <v>1574</v>
      </c>
      <c r="AS77" s="438"/>
      <c r="AT77" s="1015"/>
    </row>
    <row r="78" spans="1:46" ht="47.25" customHeight="1" x14ac:dyDescent="0.25">
      <c r="A78" s="15">
        <v>1</v>
      </c>
      <c r="B78" s="15">
        <v>72</v>
      </c>
      <c r="C78" s="442"/>
      <c r="D78" s="442" t="str">
        <f t="shared" si="13"/>
        <v>2012</v>
      </c>
      <c r="E78" s="132" t="s">
        <v>11</v>
      </c>
      <c r="F78" s="132" t="s">
        <v>12</v>
      </c>
      <c r="G78" s="143">
        <v>805006014</v>
      </c>
      <c r="H78" s="132" t="s">
        <v>316</v>
      </c>
      <c r="I78" s="134">
        <v>1633200</v>
      </c>
      <c r="J78" s="134" t="s">
        <v>1088</v>
      </c>
      <c r="K78" s="135">
        <v>2012</v>
      </c>
      <c r="L78" s="551"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12"/>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4" t="s">
        <v>560</v>
      </c>
      <c r="AI78" s="174"/>
      <c r="AJ78" s="181" t="s">
        <v>600</v>
      </c>
      <c r="AK78" s="181" t="str">
        <f t="shared" ca="1" si="22"/>
        <v>TERMINO</v>
      </c>
      <c r="AL78" s="181" t="s">
        <v>576</v>
      </c>
      <c r="AM78" s="176" t="s">
        <v>390</v>
      </c>
      <c r="AN78" s="875" t="str">
        <f>IFERROR(VLOOKUP(E78,'liquidaciones '!$B$2:$C$1048576,2,0),"NO")</f>
        <v>NO</v>
      </c>
      <c r="AO78" s="983" t="str">
        <f>IFERROR(VLOOKUP(E78,'liquidaciones '!$B$2:$I$1048576,8,0),"")</f>
        <v/>
      </c>
      <c r="AP78" s="340"/>
      <c r="AQ78" s="177" t="str">
        <f t="shared" ca="1" si="11"/>
        <v>NO</v>
      </c>
      <c r="AR78" s="177" t="s">
        <v>1574</v>
      </c>
      <c r="AS78" s="438"/>
      <c r="AT78" s="1015"/>
    </row>
    <row r="79" spans="1:46" ht="65.25" customHeight="1" x14ac:dyDescent="0.25">
      <c r="B79" s="15">
        <v>73</v>
      </c>
      <c r="C79" s="442"/>
      <c r="D79" s="442" t="str">
        <f t="shared" si="13"/>
        <v>2013</v>
      </c>
      <c r="E79" s="139" t="s">
        <v>309</v>
      </c>
      <c r="F79" s="132" t="s">
        <v>77</v>
      </c>
      <c r="G79" s="133">
        <v>860506170</v>
      </c>
      <c r="H79" s="132" t="s">
        <v>1890</v>
      </c>
      <c r="I79" s="140">
        <v>398614000</v>
      </c>
      <c r="J79" s="134" t="s">
        <v>1088</v>
      </c>
      <c r="K79" s="157">
        <v>2013</v>
      </c>
      <c r="L79" s="551"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5"/>
      <c r="Y79" s="101">
        <f t="shared" si="17"/>
        <v>1</v>
      </c>
      <c r="Z79" s="42">
        <f t="shared" ca="1" si="18"/>
        <v>1</v>
      </c>
      <c r="AA79" s="102">
        <f t="shared" ca="1" si="19"/>
        <v>0</v>
      </c>
      <c r="AB79" s="202" t="str">
        <f t="shared" ca="1" si="20"/>
        <v/>
      </c>
      <c r="AC79" s="44" t="str">
        <f t="shared" si="21"/>
        <v>SI</v>
      </c>
      <c r="AD79" s="44"/>
      <c r="AE79" s="173"/>
      <c r="AF79" s="304" t="s">
        <v>1125</v>
      </c>
      <c r="AG79" s="173" t="s">
        <v>1443</v>
      </c>
      <c r="AH79" s="284" t="s">
        <v>562</v>
      </c>
      <c r="AI79" s="174" t="s">
        <v>1394</v>
      </c>
      <c r="AJ79" s="181" t="s">
        <v>901</v>
      </c>
      <c r="AK79" s="181" t="str">
        <f t="shared" ca="1" si="22"/>
        <v>TERMINO</v>
      </c>
      <c r="AL79" s="181" t="s">
        <v>582</v>
      </c>
      <c r="AM79" s="176" t="s">
        <v>390</v>
      </c>
      <c r="AN79" s="875" t="str">
        <f>IFERROR(VLOOKUP(E79,'liquidaciones '!$B$2:$C$1048576,2,0),"NO")</f>
        <v>NO</v>
      </c>
      <c r="AO79" s="983" t="str">
        <f>IFERROR(VLOOKUP(E79,'liquidaciones '!$B$2:$I$1048576,8,0),"")</f>
        <v>MANUEL ROJAS</v>
      </c>
      <c r="AP79" s="340"/>
      <c r="AQ79" s="177" t="str">
        <f t="shared" ref="AQ79:AQ142" ca="1" si="23">IF((TODAY()-T79&lt;900),"SI","NO")</f>
        <v>SI</v>
      </c>
      <c r="AR79" s="177" t="s">
        <v>1574</v>
      </c>
      <c r="AS79" s="438"/>
      <c r="AT79" s="1015"/>
    </row>
    <row r="80" spans="1:46" ht="47.25" customHeight="1" x14ac:dyDescent="0.25">
      <c r="A80" s="15">
        <v>1</v>
      </c>
      <c r="B80" s="15">
        <v>74</v>
      </c>
      <c r="C80" s="442"/>
      <c r="D80" s="442" t="str">
        <f t="shared" si="13"/>
        <v>2012</v>
      </c>
      <c r="E80" s="132" t="s">
        <v>45</v>
      </c>
      <c r="F80" s="132" t="s">
        <v>46</v>
      </c>
      <c r="G80" s="143">
        <v>900006611</v>
      </c>
      <c r="H80" s="132" t="s">
        <v>330</v>
      </c>
      <c r="I80" s="134">
        <v>1062500</v>
      </c>
      <c r="J80" s="134" t="s">
        <v>1088</v>
      </c>
      <c r="K80" s="135">
        <v>2012</v>
      </c>
      <c r="L80" s="551" t="s">
        <v>1088</v>
      </c>
      <c r="M80" s="136">
        <v>41292</v>
      </c>
      <c r="N80" s="136">
        <v>42052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42052</v>
      </c>
      <c r="U80" s="62">
        <f t="shared" si="15"/>
        <v>1062500</v>
      </c>
      <c r="V80" s="172">
        <f>VLOOKUP(E80,Modificaciones!$B$7:$AU$300,46,0)</f>
        <v>1062500</v>
      </c>
      <c r="W80" s="93">
        <f t="shared" si="16"/>
        <v>0</v>
      </c>
      <c r="X80" s="425"/>
      <c r="Y80" s="101">
        <f t="shared" si="17"/>
        <v>1</v>
      </c>
      <c r="Z80" s="42">
        <f t="shared" ca="1" si="18"/>
        <v>1</v>
      </c>
      <c r="AA80" s="103">
        <f t="shared" ca="1" si="19"/>
        <v>0</v>
      </c>
      <c r="AB80" s="202" t="str">
        <f t="shared" ca="1" si="20"/>
        <v/>
      </c>
      <c r="AC80" s="44" t="str">
        <f t="shared" si="21"/>
        <v>SI</v>
      </c>
      <c r="AD80" s="44"/>
      <c r="AE80" s="173" t="s">
        <v>1257</v>
      </c>
      <c r="AF80" s="173" t="s">
        <v>1289</v>
      </c>
      <c r="AG80" s="173"/>
      <c r="AH80" s="284"/>
      <c r="AI80" s="174"/>
      <c r="AJ80" s="181" t="s">
        <v>600</v>
      </c>
      <c r="AK80" s="181" t="str">
        <f t="shared" ca="1" si="22"/>
        <v>TERMINO</v>
      </c>
      <c r="AL80" s="181" t="s">
        <v>576</v>
      </c>
      <c r="AM80" s="176" t="s">
        <v>391</v>
      </c>
      <c r="AN80" s="875" t="str">
        <f>IFERROR(VLOOKUP(E80,'liquidaciones '!$B$2:$C$1048576,2,0),"NO")</f>
        <v>NO</v>
      </c>
      <c r="AO80" s="983" t="str">
        <f>IFERROR(VLOOKUP(E80,'liquidaciones '!$B$2:$I$1048576,8,0),"")</f>
        <v/>
      </c>
      <c r="AP80" s="338"/>
      <c r="AQ80" s="177" t="str">
        <f t="shared" ca="1" si="23"/>
        <v>NO</v>
      </c>
      <c r="AR80" s="177" t="s">
        <v>1574</v>
      </c>
      <c r="AS80" s="438"/>
      <c r="AT80" s="1015"/>
    </row>
    <row r="81" spans="1:46" ht="69" customHeight="1" x14ac:dyDescent="0.25">
      <c r="A81" s="15">
        <v>2</v>
      </c>
      <c r="B81" s="15">
        <v>75</v>
      </c>
      <c r="C81" s="442"/>
      <c r="D81" s="442" t="str">
        <f t="shared" si="13"/>
        <v>2012</v>
      </c>
      <c r="E81" s="132" t="s">
        <v>25</v>
      </c>
      <c r="F81" s="132" t="s">
        <v>26</v>
      </c>
      <c r="G81" s="143">
        <v>830039811</v>
      </c>
      <c r="H81" s="2" t="s">
        <v>1378</v>
      </c>
      <c r="I81" s="134">
        <v>80074800</v>
      </c>
      <c r="J81" s="134" t="s">
        <v>1088</v>
      </c>
      <c r="K81" s="135">
        <v>2012</v>
      </c>
      <c r="L81" s="551"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12"/>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4" t="s">
        <v>560</v>
      </c>
      <c r="AI81" s="174"/>
      <c r="AJ81" s="181" t="s">
        <v>1027</v>
      </c>
      <c r="AK81" s="181" t="str">
        <f t="shared" ca="1" si="22"/>
        <v>TERMINO</v>
      </c>
      <c r="AL81" s="181" t="s">
        <v>574</v>
      </c>
      <c r="AM81" s="176" t="s">
        <v>390</v>
      </c>
      <c r="AN81" s="875" t="str">
        <f>IFERROR(VLOOKUP(E81,'liquidaciones '!$B$2:$C$1048576,2,0),"NO")</f>
        <v>NO</v>
      </c>
      <c r="AO81" s="983" t="str">
        <f>IFERROR(VLOOKUP(E81,'liquidaciones '!$B$2:$I$1048576,8,0),"")</f>
        <v/>
      </c>
      <c r="AP81" s="340">
        <v>42236</v>
      </c>
      <c r="AQ81" s="177" t="str">
        <f t="shared" ca="1" si="23"/>
        <v>NO</v>
      </c>
      <c r="AR81" s="177" t="s">
        <v>1574</v>
      </c>
      <c r="AS81" s="438"/>
      <c r="AT81" s="1015"/>
    </row>
    <row r="82" spans="1:46" ht="47.25" customHeight="1" x14ac:dyDescent="0.25">
      <c r="A82" s="15">
        <v>3</v>
      </c>
      <c r="B82" s="15">
        <v>76</v>
      </c>
      <c r="C82" s="442"/>
      <c r="D82" s="442" t="str">
        <f t="shared" si="13"/>
        <v>2012</v>
      </c>
      <c r="E82" s="145" t="s">
        <v>52</v>
      </c>
      <c r="F82" s="145" t="s">
        <v>53</v>
      </c>
      <c r="G82" s="153">
        <v>4831</v>
      </c>
      <c r="H82" s="145" t="s">
        <v>332</v>
      </c>
      <c r="I82" s="146">
        <v>13806000</v>
      </c>
      <c r="J82" s="134" t="s">
        <v>1088</v>
      </c>
      <c r="K82" s="135">
        <v>2012</v>
      </c>
      <c r="L82" s="551"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12"/>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4" t="s">
        <v>560</v>
      </c>
      <c r="AI82" s="174" t="s">
        <v>1320</v>
      </c>
      <c r="AJ82" s="181" t="s">
        <v>600</v>
      </c>
      <c r="AK82" s="181" t="str">
        <f t="shared" ca="1" si="22"/>
        <v>TERMINO</v>
      </c>
      <c r="AL82" s="181" t="s">
        <v>576</v>
      </c>
      <c r="AM82" s="176" t="s">
        <v>390</v>
      </c>
      <c r="AN82" s="875" t="str">
        <f>IFERROR(VLOOKUP(E82,'liquidaciones '!$B$2:$C$1048576,2,0),"NO")</f>
        <v>LIQUIDADO</v>
      </c>
      <c r="AO82" s="983">
        <f>IFERROR(VLOOKUP(E82,'liquidaciones '!$B$2:$I$1048576,8,0),"")</f>
        <v>0</v>
      </c>
      <c r="AP82" s="340">
        <v>42004</v>
      </c>
      <c r="AQ82" s="177" t="str">
        <f t="shared" ca="1" si="23"/>
        <v>NO</v>
      </c>
      <c r="AR82" s="177" t="s">
        <v>1574</v>
      </c>
      <c r="AS82" s="438"/>
      <c r="AT82" s="1015"/>
    </row>
    <row r="83" spans="1:46" ht="47.25" customHeight="1" x14ac:dyDescent="0.25">
      <c r="A83" s="15">
        <v>1</v>
      </c>
      <c r="B83" s="15">
        <v>77</v>
      </c>
      <c r="C83" s="442"/>
      <c r="D83" s="442" t="str">
        <f t="shared" si="13"/>
        <v>2012</v>
      </c>
      <c r="E83" s="132" t="s">
        <v>4</v>
      </c>
      <c r="F83" s="132" t="s">
        <v>1028</v>
      </c>
      <c r="G83" s="133">
        <v>860053274</v>
      </c>
      <c r="H83" s="132" t="s">
        <v>312</v>
      </c>
      <c r="I83" s="134">
        <v>59046000</v>
      </c>
      <c r="J83" s="134" t="s">
        <v>1088</v>
      </c>
      <c r="K83" s="135">
        <v>2012</v>
      </c>
      <c r="L83" s="551"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12"/>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4" t="s">
        <v>560</v>
      </c>
      <c r="AI83" s="179" t="s">
        <v>1380</v>
      </c>
      <c r="AJ83" s="181" t="s">
        <v>600</v>
      </c>
      <c r="AK83" s="181" t="str">
        <f t="shared" ca="1" si="22"/>
        <v>TERMINO</v>
      </c>
      <c r="AL83" s="181" t="s">
        <v>921</v>
      </c>
      <c r="AM83" s="176" t="s">
        <v>390</v>
      </c>
      <c r="AN83" s="875" t="str">
        <f>IFERROR(VLOOKUP(E83,'liquidaciones '!$B$2:$C$1048576,2,0),"NO")</f>
        <v>LIQUIDADO</v>
      </c>
      <c r="AO83" s="983">
        <f>IFERROR(VLOOKUP(E83,'liquidaciones '!$B$2:$I$1048576,8,0),"")</f>
        <v>0</v>
      </c>
      <c r="AP83" s="340">
        <v>42023</v>
      </c>
      <c r="AQ83" s="177" t="str">
        <f t="shared" ca="1" si="23"/>
        <v>NO</v>
      </c>
      <c r="AR83" s="177" t="s">
        <v>1574</v>
      </c>
      <c r="AS83" s="438"/>
      <c r="AT83" s="1015"/>
    </row>
    <row r="84" spans="1:46" ht="47.25" customHeight="1" x14ac:dyDescent="0.25">
      <c r="A84" s="15">
        <v>1</v>
      </c>
      <c r="B84" s="15">
        <v>78</v>
      </c>
      <c r="C84" s="442"/>
      <c r="D84" s="442" t="str">
        <f t="shared" si="13"/>
        <v>2012</v>
      </c>
      <c r="E84" s="145" t="s">
        <v>71</v>
      </c>
      <c r="F84" s="145" t="s">
        <v>1029</v>
      </c>
      <c r="G84" s="143">
        <v>860066942</v>
      </c>
      <c r="H84" s="145" t="s">
        <v>339</v>
      </c>
      <c r="I84" s="146">
        <v>49500000</v>
      </c>
      <c r="J84" s="134" t="s">
        <v>1088</v>
      </c>
      <c r="K84" s="135">
        <v>2012</v>
      </c>
      <c r="L84" s="551"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12"/>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4" t="s">
        <v>560</v>
      </c>
      <c r="AI84" s="174"/>
      <c r="AJ84" s="181" t="s">
        <v>600</v>
      </c>
      <c r="AK84" s="181" t="str">
        <f t="shared" ca="1" si="22"/>
        <v>TERMINO</v>
      </c>
      <c r="AL84" s="181" t="s">
        <v>574</v>
      </c>
      <c r="AM84" s="176" t="s">
        <v>390</v>
      </c>
      <c r="AN84" s="875" t="str">
        <f>IFERROR(VLOOKUP(E84,'liquidaciones '!$B$2:$C$1048576,2,0),"NO")</f>
        <v>LIQUIDADO</v>
      </c>
      <c r="AO84" s="983">
        <f>IFERROR(VLOOKUP(E84,'liquidaciones '!$B$2:$I$1048576,8,0),"")</f>
        <v>0</v>
      </c>
      <c r="AP84" s="340">
        <v>42150</v>
      </c>
      <c r="AQ84" s="177" t="str">
        <f t="shared" ca="1" si="23"/>
        <v>NO</v>
      </c>
      <c r="AR84" s="177" t="s">
        <v>1574</v>
      </c>
      <c r="AS84" s="438"/>
      <c r="AT84" s="1015"/>
    </row>
    <row r="85" spans="1:46" ht="47.25" customHeight="1" x14ac:dyDescent="0.25">
      <c r="A85" s="15">
        <v>2</v>
      </c>
      <c r="B85" s="15">
        <v>79</v>
      </c>
      <c r="C85" s="442"/>
      <c r="D85" s="442" t="str">
        <f t="shared" si="13"/>
        <v>2012</v>
      </c>
      <c r="E85" s="142" t="s">
        <v>116</v>
      </c>
      <c r="F85" s="132" t="s">
        <v>418</v>
      </c>
      <c r="G85" s="143">
        <v>891501783</v>
      </c>
      <c r="H85" s="132" t="s">
        <v>350</v>
      </c>
      <c r="I85" s="134">
        <v>36990000</v>
      </c>
      <c r="J85" s="134" t="s">
        <v>1088</v>
      </c>
      <c r="K85" s="135">
        <v>2012</v>
      </c>
      <c r="L85" s="551"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12"/>
      <c r="Y85" s="42">
        <f t="shared" si="17"/>
        <v>1</v>
      </c>
      <c r="Z85" s="42">
        <f t="shared" ca="1" si="18"/>
        <v>1</v>
      </c>
      <c r="AA85" s="43">
        <f t="shared" ca="1" si="19"/>
        <v>0</v>
      </c>
      <c r="AB85" s="202" t="str">
        <f t="shared" ca="1" si="20"/>
        <v/>
      </c>
      <c r="AC85" s="44" t="str">
        <f t="shared" si="21"/>
        <v>SI</v>
      </c>
      <c r="AD85" s="44"/>
      <c r="AE85" s="173" t="s">
        <v>1258</v>
      </c>
      <c r="AF85" s="173" t="s">
        <v>1465</v>
      </c>
      <c r="AG85" s="173"/>
      <c r="AH85" s="284"/>
      <c r="AI85" s="174"/>
      <c r="AJ85" s="181" t="s">
        <v>600</v>
      </c>
      <c r="AK85" s="181" t="str">
        <f t="shared" ca="1" si="22"/>
        <v>TERMINO</v>
      </c>
      <c r="AL85" s="181" t="s">
        <v>576</v>
      </c>
      <c r="AM85" s="176" t="s">
        <v>390</v>
      </c>
      <c r="AN85" s="875" t="str">
        <f>IFERROR(VLOOKUP(E85,'liquidaciones '!$B$2:$C$1048576,2,0),"NO")</f>
        <v>NO</v>
      </c>
      <c r="AO85" s="983" t="str">
        <f>IFERROR(VLOOKUP(E85,'liquidaciones '!$B$2:$I$1048576,8,0),"")</f>
        <v/>
      </c>
      <c r="AP85" s="340">
        <v>42249</v>
      </c>
      <c r="AQ85" s="177" t="str">
        <f t="shared" ca="1" si="23"/>
        <v>NO</v>
      </c>
      <c r="AR85" s="177" t="s">
        <v>1574</v>
      </c>
      <c r="AS85" s="438"/>
      <c r="AT85" s="1015"/>
    </row>
    <row r="86" spans="1:46" ht="47.25" customHeight="1" x14ac:dyDescent="0.25">
      <c r="A86" s="15">
        <v>1</v>
      </c>
      <c r="B86" s="15">
        <v>80</v>
      </c>
      <c r="C86" s="442"/>
      <c r="D86" s="442" t="str">
        <f t="shared" si="13"/>
        <v>2012</v>
      </c>
      <c r="E86" s="142" t="s">
        <v>122</v>
      </c>
      <c r="F86" s="132" t="s">
        <v>244</v>
      </c>
      <c r="G86" s="143">
        <v>800058607</v>
      </c>
      <c r="H86" s="132" t="s">
        <v>354</v>
      </c>
      <c r="I86" s="134">
        <v>85314724</v>
      </c>
      <c r="J86" s="134" t="s">
        <v>1088</v>
      </c>
      <c r="K86" s="135">
        <v>2012</v>
      </c>
      <c r="L86" s="551"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12"/>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4" t="s">
        <v>560</v>
      </c>
      <c r="AI86" s="174"/>
      <c r="AJ86" s="181" t="s">
        <v>600</v>
      </c>
      <c r="AK86" s="181" t="str">
        <f t="shared" ca="1" si="22"/>
        <v>TERMINO</v>
      </c>
      <c r="AL86" s="175"/>
      <c r="AM86" s="176" t="s">
        <v>390</v>
      </c>
      <c r="AN86" s="875" t="str">
        <f>IFERROR(VLOOKUP(E86,'liquidaciones '!$B$2:$C$1048576,2,0),"NO")</f>
        <v>NO</v>
      </c>
      <c r="AO86" s="983" t="str">
        <f>IFERROR(VLOOKUP(E86,'liquidaciones '!$B$2:$I$1048576,8,0),"")</f>
        <v/>
      </c>
      <c r="AP86" s="340"/>
      <c r="AQ86" s="177" t="str">
        <f t="shared" ca="1" si="23"/>
        <v>NO</v>
      </c>
      <c r="AR86" s="177" t="s">
        <v>1574</v>
      </c>
      <c r="AS86" s="438"/>
      <c r="AT86" s="1015"/>
    </row>
    <row r="87" spans="1:46" ht="47.25" customHeight="1" x14ac:dyDescent="0.25">
      <c r="A87" s="15">
        <v>4</v>
      </c>
      <c r="B87" s="15">
        <v>81</v>
      </c>
      <c r="C87" s="442"/>
      <c r="D87" s="442" t="str">
        <f t="shared" si="13"/>
        <v>2013</v>
      </c>
      <c r="E87" s="132" t="s">
        <v>78</v>
      </c>
      <c r="F87" s="132" t="s">
        <v>79</v>
      </c>
      <c r="G87" s="143">
        <v>830017209</v>
      </c>
      <c r="H87" s="132" t="s">
        <v>340</v>
      </c>
      <c r="I87" s="134">
        <v>123000000</v>
      </c>
      <c r="J87" s="134" t="s">
        <v>1088</v>
      </c>
      <c r="K87" s="135">
        <v>2013</v>
      </c>
      <c r="L87" s="551"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6"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4" t="s">
        <v>560</v>
      </c>
      <c r="AI87" s="174"/>
      <c r="AJ87" s="181" t="s">
        <v>600</v>
      </c>
      <c r="AK87" s="181" t="str">
        <f t="shared" ca="1" si="22"/>
        <v>TERMINO</v>
      </c>
      <c r="AL87" s="181" t="s">
        <v>575</v>
      </c>
      <c r="AM87" s="176" t="s">
        <v>390</v>
      </c>
      <c r="AN87" s="875" t="str">
        <f>IFERROR(VLOOKUP(E87,'liquidaciones '!$B$2:$C$1048576,2,0),"NO")</f>
        <v>EN TRÁMITE</v>
      </c>
      <c r="AO87" s="983">
        <f>IFERROR(VLOOKUP(E87,'liquidaciones '!$B$2:$I$1048576,8,0),"")</f>
        <v>0</v>
      </c>
      <c r="AP87" s="340"/>
      <c r="AQ87" s="177" t="str">
        <f t="shared" ca="1" si="23"/>
        <v>NO</v>
      </c>
      <c r="AR87" s="177" t="s">
        <v>1574</v>
      </c>
      <c r="AS87" s="438"/>
      <c r="AT87" s="1015"/>
    </row>
    <row r="88" spans="1:46" ht="47.25" customHeight="1" x14ac:dyDescent="0.25">
      <c r="A88" s="15">
        <v>4</v>
      </c>
      <c r="B88" s="15">
        <v>82</v>
      </c>
      <c r="C88" s="442"/>
      <c r="D88" s="442" t="str">
        <f t="shared" si="13"/>
        <v>2013</v>
      </c>
      <c r="E88" s="132" t="s">
        <v>80</v>
      </c>
      <c r="F88" s="132" t="s">
        <v>81</v>
      </c>
      <c r="G88" s="143">
        <v>900241832</v>
      </c>
      <c r="H88" s="132" t="s">
        <v>1073</v>
      </c>
      <c r="I88" s="134">
        <v>1113600</v>
      </c>
      <c r="J88" s="134" t="s">
        <v>1088</v>
      </c>
      <c r="K88" s="135">
        <v>2013</v>
      </c>
      <c r="L88" s="551"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5"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4"/>
      <c r="AI88" s="174"/>
      <c r="AJ88" s="181" t="s">
        <v>901</v>
      </c>
      <c r="AK88" s="181" t="str">
        <f t="shared" ca="1" si="22"/>
        <v>TERMINO</v>
      </c>
      <c r="AL88" s="181" t="s">
        <v>576</v>
      </c>
      <c r="AM88" s="176" t="s">
        <v>390</v>
      </c>
      <c r="AN88" s="875" t="str">
        <f>IFERROR(VLOOKUP(E88,'liquidaciones '!$B$2:$C$1048576,2,0),"NO")</f>
        <v>LIQUIDADO</v>
      </c>
      <c r="AO88" s="983">
        <f>IFERROR(VLOOKUP(E88,'liquidaciones '!$B$2:$I$1048576,8,0),"")</f>
        <v>0</v>
      </c>
      <c r="AP88" s="340">
        <v>41999</v>
      </c>
      <c r="AQ88" s="177" t="str">
        <f t="shared" ca="1" si="23"/>
        <v>NO</v>
      </c>
      <c r="AR88" s="177" t="s">
        <v>1574</v>
      </c>
      <c r="AS88" s="438"/>
      <c r="AT88" s="1015"/>
    </row>
    <row r="89" spans="1:46" ht="47.25" customHeight="1" x14ac:dyDescent="0.25">
      <c r="A89" s="15">
        <v>4</v>
      </c>
      <c r="B89" s="15">
        <v>83</v>
      </c>
      <c r="C89" s="442"/>
      <c r="D89" s="442" t="str">
        <f t="shared" si="13"/>
        <v>2013</v>
      </c>
      <c r="E89" s="132" t="s">
        <v>82</v>
      </c>
      <c r="F89" s="132" t="s">
        <v>1030</v>
      </c>
      <c r="G89" s="133">
        <v>830122370</v>
      </c>
      <c r="H89" s="132" t="s">
        <v>463</v>
      </c>
      <c r="I89" s="134">
        <v>4967474</v>
      </c>
      <c r="J89" s="134" t="s">
        <v>2261</v>
      </c>
      <c r="K89" s="135">
        <v>2013</v>
      </c>
      <c r="L89" s="551"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5"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4" t="s">
        <v>1469</v>
      </c>
      <c r="AG89" s="173"/>
      <c r="AH89" s="284"/>
      <c r="AI89" s="174"/>
      <c r="AJ89" s="181" t="s">
        <v>901</v>
      </c>
      <c r="AK89" s="181" t="str">
        <f t="shared" ca="1" si="22"/>
        <v>TERMINO</v>
      </c>
      <c r="AL89" s="181" t="s">
        <v>576</v>
      </c>
      <c r="AM89" s="176" t="s">
        <v>390</v>
      </c>
      <c r="AN89" s="875" t="str">
        <f>IFERROR(VLOOKUP(E89,'liquidaciones '!$B$2:$C$1048576,2,0),"NO")</f>
        <v>LIQUIDADO</v>
      </c>
      <c r="AO89" s="983">
        <f>IFERROR(VLOOKUP(E89,'liquidaciones '!$B$2:$I$1048576,8,0),"")</f>
        <v>0</v>
      </c>
      <c r="AP89" s="340">
        <v>42321</v>
      </c>
      <c r="AQ89" s="177" t="str">
        <f t="shared" ca="1" si="23"/>
        <v>NO</v>
      </c>
      <c r="AR89" s="177" t="s">
        <v>1574</v>
      </c>
      <c r="AS89" s="438"/>
      <c r="AT89" s="1015"/>
    </row>
    <row r="90" spans="1:46" ht="47.25" customHeight="1" x14ac:dyDescent="0.25">
      <c r="A90" s="15">
        <v>4</v>
      </c>
      <c r="B90" s="15">
        <v>84</v>
      </c>
      <c r="C90" s="442"/>
      <c r="D90" s="442" t="str">
        <f t="shared" si="13"/>
        <v>2013</v>
      </c>
      <c r="E90" s="132" t="s">
        <v>83</v>
      </c>
      <c r="F90" s="132" t="s">
        <v>84</v>
      </c>
      <c r="G90" s="133">
        <v>860025639</v>
      </c>
      <c r="H90" s="132" t="s">
        <v>320</v>
      </c>
      <c r="I90" s="134">
        <v>15913500</v>
      </c>
      <c r="J90" s="134" t="s">
        <v>1088</v>
      </c>
      <c r="K90" s="135">
        <v>2013</v>
      </c>
      <c r="L90" s="551"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5"/>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4" t="s">
        <v>560</v>
      </c>
      <c r="AI90" s="174"/>
      <c r="AJ90" s="181" t="s">
        <v>901</v>
      </c>
      <c r="AK90" s="181" t="str">
        <f t="shared" ca="1" si="22"/>
        <v>TERMINO</v>
      </c>
      <c r="AL90" s="181" t="s">
        <v>582</v>
      </c>
      <c r="AM90" s="176" t="s">
        <v>390</v>
      </c>
      <c r="AN90" s="875" t="str">
        <f>IFERROR(VLOOKUP(E90,'liquidaciones '!$B$2:$C$1048576,2,0),"NO")</f>
        <v>LIQUIDADO</v>
      </c>
      <c r="AO90" s="983">
        <f>IFERROR(VLOOKUP(E90,'liquidaciones '!$B$2:$I$1048576,8,0),"")</f>
        <v>0</v>
      </c>
      <c r="AP90" s="340"/>
      <c r="AQ90" s="177" t="str">
        <f t="shared" ca="1" si="23"/>
        <v>NO</v>
      </c>
      <c r="AR90" s="177" t="s">
        <v>1574</v>
      </c>
      <c r="AS90" s="438"/>
      <c r="AT90" s="1015"/>
    </row>
    <row r="91" spans="1:46" ht="47.25" customHeight="1" x14ac:dyDescent="0.25">
      <c r="A91" s="15">
        <v>4</v>
      </c>
      <c r="B91" s="15">
        <v>85</v>
      </c>
      <c r="C91" s="442"/>
      <c r="D91" s="442" t="str">
        <f t="shared" si="13"/>
        <v>2013</v>
      </c>
      <c r="E91" s="132" t="s">
        <v>85</v>
      </c>
      <c r="F91" s="132" t="s">
        <v>86</v>
      </c>
      <c r="G91" s="143">
        <v>860001022</v>
      </c>
      <c r="H91" s="132" t="s">
        <v>341</v>
      </c>
      <c r="I91" s="134">
        <v>1197000</v>
      </c>
      <c r="J91" s="134" t="s">
        <v>1088</v>
      </c>
      <c r="K91" s="135">
        <v>2013</v>
      </c>
      <c r="L91" s="551"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12"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4"/>
      <c r="AI91" s="174"/>
      <c r="AJ91" s="181" t="s">
        <v>901</v>
      </c>
      <c r="AK91" s="181" t="str">
        <f t="shared" ca="1" si="22"/>
        <v>TERMINO</v>
      </c>
      <c r="AL91" s="181" t="s">
        <v>582</v>
      </c>
      <c r="AM91" s="176" t="s">
        <v>390</v>
      </c>
      <c r="AN91" s="875" t="str">
        <f>IFERROR(VLOOKUP(E91,'liquidaciones '!$B$2:$C$1048576,2,0),"NO")</f>
        <v>EN TRÁMITE</v>
      </c>
      <c r="AO91" s="983">
        <f>IFERROR(VLOOKUP(E91,'liquidaciones '!$B$2:$I$1048576,8,0),"")</f>
        <v>0</v>
      </c>
      <c r="AP91" s="340"/>
      <c r="AQ91" s="177" t="str">
        <f t="shared" ca="1" si="23"/>
        <v>NO</v>
      </c>
      <c r="AR91" s="177" t="s">
        <v>1574</v>
      </c>
      <c r="AS91" s="438"/>
      <c r="AT91" s="1015"/>
    </row>
    <row r="92" spans="1:46" ht="47.25" customHeight="1" x14ac:dyDescent="0.25">
      <c r="A92" s="15">
        <v>4</v>
      </c>
      <c r="B92" s="15">
        <v>86</v>
      </c>
      <c r="C92" s="442"/>
      <c r="D92" s="442" t="str">
        <f t="shared" si="13"/>
        <v>2013</v>
      </c>
      <c r="E92" s="132" t="s">
        <v>87</v>
      </c>
      <c r="F92" s="132" t="s">
        <v>435</v>
      </c>
      <c r="G92" s="143">
        <v>900152368</v>
      </c>
      <c r="H92" s="132" t="s">
        <v>318</v>
      </c>
      <c r="I92" s="134">
        <v>8360000</v>
      </c>
      <c r="J92" s="134" t="s">
        <v>1088</v>
      </c>
      <c r="K92" s="135">
        <v>2013</v>
      </c>
      <c r="L92" s="551"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5"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4"/>
      <c r="AI92" s="174"/>
      <c r="AJ92" s="181" t="s">
        <v>901</v>
      </c>
      <c r="AK92" s="181" t="str">
        <f t="shared" ca="1" si="22"/>
        <v>TERMINO</v>
      </c>
      <c r="AL92" s="181" t="s">
        <v>576</v>
      </c>
      <c r="AM92" s="176" t="s">
        <v>390</v>
      </c>
      <c r="AN92" s="875" t="str">
        <f>IFERROR(VLOOKUP(E92,'liquidaciones '!$B$2:$C$1048576,2,0),"NO")</f>
        <v>LIQUIDADO</v>
      </c>
      <c r="AO92" s="983">
        <f>IFERROR(VLOOKUP(E92,'liquidaciones '!$B$2:$I$1048576,8,0),"")</f>
        <v>0</v>
      </c>
      <c r="AP92" s="340">
        <v>42017</v>
      </c>
      <c r="AQ92" s="177" t="str">
        <f t="shared" ca="1" si="23"/>
        <v>NO</v>
      </c>
      <c r="AR92" s="177" t="s">
        <v>1574</v>
      </c>
      <c r="AS92" s="438"/>
      <c r="AT92" s="1015"/>
    </row>
    <row r="93" spans="1:46" ht="47.25" customHeight="1" x14ac:dyDescent="0.25">
      <c r="A93" s="15">
        <v>4</v>
      </c>
      <c r="B93" s="15">
        <v>87</v>
      </c>
      <c r="C93" s="442"/>
      <c r="D93" s="442" t="str">
        <f t="shared" si="13"/>
        <v>2013</v>
      </c>
      <c r="E93" s="132" t="s">
        <v>88</v>
      </c>
      <c r="F93" s="132" t="s">
        <v>1031</v>
      </c>
      <c r="G93" s="133">
        <v>800249557</v>
      </c>
      <c r="H93" s="132" t="s">
        <v>342</v>
      </c>
      <c r="I93" s="134">
        <v>3700000</v>
      </c>
      <c r="J93" s="134" t="s">
        <v>1088</v>
      </c>
      <c r="K93" s="135">
        <v>2013</v>
      </c>
      <c r="L93" s="551"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5"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4"/>
      <c r="AI93" s="174"/>
      <c r="AJ93" s="181" t="s">
        <v>901</v>
      </c>
      <c r="AK93" s="181" t="str">
        <f t="shared" ca="1" si="22"/>
        <v>TERMINO</v>
      </c>
      <c r="AL93" s="181" t="s">
        <v>582</v>
      </c>
      <c r="AM93" s="176" t="s">
        <v>390</v>
      </c>
      <c r="AN93" s="875" t="str">
        <f>IFERROR(VLOOKUP(E93,'liquidaciones '!$B$2:$C$1048576,2,0),"NO")</f>
        <v>LIQUIDADO</v>
      </c>
      <c r="AO93" s="983">
        <f>IFERROR(VLOOKUP(E93,'liquidaciones '!$B$2:$I$1048576,8,0),"")</f>
        <v>0</v>
      </c>
      <c r="AP93" s="340">
        <v>41950</v>
      </c>
      <c r="AQ93" s="177" t="str">
        <f t="shared" ca="1" si="23"/>
        <v>NO</v>
      </c>
      <c r="AR93" s="177" t="s">
        <v>1574</v>
      </c>
      <c r="AS93" s="438"/>
      <c r="AT93" s="1015"/>
    </row>
    <row r="94" spans="1:46" ht="47.25" customHeight="1" x14ac:dyDescent="0.25">
      <c r="A94" s="15">
        <v>4</v>
      </c>
      <c r="B94" s="15">
        <v>88</v>
      </c>
      <c r="C94" s="442"/>
      <c r="D94" s="442" t="str">
        <f t="shared" si="13"/>
        <v>2013</v>
      </c>
      <c r="E94" s="132" t="s">
        <v>91</v>
      </c>
      <c r="F94" s="132" t="s">
        <v>1032</v>
      </c>
      <c r="G94" s="133">
        <v>79843891</v>
      </c>
      <c r="H94" s="132" t="s">
        <v>464</v>
      </c>
      <c r="I94" s="134">
        <v>50000000</v>
      </c>
      <c r="J94" s="134" t="s">
        <v>1088</v>
      </c>
      <c r="K94" s="135">
        <v>2013</v>
      </c>
      <c r="L94" s="551"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12"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4"/>
      <c r="AI94" s="174"/>
      <c r="AJ94" s="181" t="s">
        <v>901</v>
      </c>
      <c r="AK94" s="181" t="str">
        <f t="shared" ca="1" si="22"/>
        <v>TERMINO</v>
      </c>
      <c r="AL94" s="181" t="s">
        <v>582</v>
      </c>
      <c r="AM94" s="176" t="s">
        <v>391</v>
      </c>
      <c r="AN94" s="875" t="str">
        <f>IFERROR(VLOOKUP(E94,'liquidaciones '!$B$2:$C$1048576,2,0),"NO")</f>
        <v>NO</v>
      </c>
      <c r="AO94" s="983" t="str">
        <f>IFERROR(VLOOKUP(E94,'liquidaciones '!$B$2:$I$1048576,8,0),"")</f>
        <v/>
      </c>
      <c r="AP94" s="338">
        <v>41702</v>
      </c>
      <c r="AQ94" s="177" t="str">
        <f t="shared" ca="1" si="23"/>
        <v>NO</v>
      </c>
      <c r="AR94" s="177" t="s">
        <v>1574</v>
      </c>
      <c r="AS94" s="438"/>
      <c r="AT94" s="1015"/>
    </row>
    <row r="95" spans="1:46" ht="47.25" customHeight="1" x14ac:dyDescent="0.25">
      <c r="A95" s="15">
        <v>4</v>
      </c>
      <c r="B95" s="15">
        <v>89</v>
      </c>
      <c r="C95" s="442"/>
      <c r="D95" s="442" t="str">
        <f t="shared" si="13"/>
        <v>2013</v>
      </c>
      <c r="E95" s="132" t="s">
        <v>93</v>
      </c>
      <c r="F95" s="132" t="s">
        <v>1033</v>
      </c>
      <c r="G95" s="133">
        <v>51931422</v>
      </c>
      <c r="H95" s="132" t="s">
        <v>343</v>
      </c>
      <c r="I95" s="134">
        <v>41600000</v>
      </c>
      <c r="J95" s="134" t="s">
        <v>1088</v>
      </c>
      <c r="K95" s="135">
        <v>2013</v>
      </c>
      <c r="L95" s="551"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12"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4"/>
      <c r="AI95" s="174"/>
      <c r="AJ95" s="181" t="s">
        <v>901</v>
      </c>
      <c r="AK95" s="181" t="str">
        <f t="shared" ca="1" si="22"/>
        <v>TERMINO</v>
      </c>
      <c r="AL95" s="181" t="s">
        <v>582</v>
      </c>
      <c r="AM95" s="176" t="s">
        <v>391</v>
      </c>
      <c r="AN95" s="875" t="str">
        <f>IFERROR(VLOOKUP(E95,'liquidaciones '!$B$2:$C$1048576,2,0),"NO")</f>
        <v>NO</v>
      </c>
      <c r="AO95" s="983" t="str">
        <f>IFERROR(VLOOKUP(E95,'liquidaciones '!$B$2:$I$1048576,8,0),"")</f>
        <v/>
      </c>
      <c r="AP95" s="338">
        <v>41845</v>
      </c>
      <c r="AQ95" s="177" t="str">
        <f t="shared" ca="1" si="23"/>
        <v>NO</v>
      </c>
      <c r="AR95" s="177" t="s">
        <v>1574</v>
      </c>
      <c r="AS95" s="438"/>
      <c r="AT95" s="1015"/>
    </row>
    <row r="96" spans="1:46" ht="47.25" customHeight="1" x14ac:dyDescent="0.25">
      <c r="A96" s="15">
        <v>4</v>
      </c>
      <c r="B96" s="15">
        <v>90</v>
      </c>
      <c r="C96" s="442"/>
      <c r="D96" s="442" t="str">
        <f t="shared" si="13"/>
        <v>2013</v>
      </c>
      <c r="E96" s="132" t="s">
        <v>94</v>
      </c>
      <c r="F96" s="132" t="s">
        <v>433</v>
      </c>
      <c r="G96" s="137">
        <v>899999115</v>
      </c>
      <c r="H96" s="132" t="s">
        <v>344</v>
      </c>
      <c r="I96" s="134">
        <v>160000000</v>
      </c>
      <c r="J96" s="134" t="s">
        <v>1088</v>
      </c>
      <c r="K96" s="135">
        <v>2013</v>
      </c>
      <c r="L96" s="551"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5"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4"/>
      <c r="AI96" s="174"/>
      <c r="AJ96" s="181" t="s">
        <v>996</v>
      </c>
      <c r="AK96" s="181" t="str">
        <f t="shared" ca="1" si="22"/>
        <v>TERMINO</v>
      </c>
      <c r="AL96" s="181" t="s">
        <v>582</v>
      </c>
      <c r="AM96" s="176" t="s">
        <v>390</v>
      </c>
      <c r="AN96" s="875" t="str">
        <f>IFERROR(VLOOKUP(E96,'liquidaciones '!$B$2:$C$1048576,2,0),"NO")</f>
        <v>NO</v>
      </c>
      <c r="AO96" s="983" t="str">
        <f>IFERROR(VLOOKUP(E96,'liquidaciones '!$B$2:$I$1048576,8,0),"")</f>
        <v/>
      </c>
      <c r="AP96" s="340"/>
      <c r="AQ96" s="177" t="str">
        <f t="shared" ca="1" si="23"/>
        <v>NO</v>
      </c>
      <c r="AR96" s="177" t="s">
        <v>1574</v>
      </c>
      <c r="AS96" s="438"/>
      <c r="AT96" s="1015"/>
    </row>
    <row r="97" spans="1:46" ht="47.25" customHeight="1" x14ac:dyDescent="0.25">
      <c r="A97" s="15">
        <v>4</v>
      </c>
      <c r="B97" s="15">
        <v>91</v>
      </c>
      <c r="C97" s="442"/>
      <c r="D97" s="442" t="str">
        <f t="shared" si="13"/>
        <v>2013</v>
      </c>
      <c r="E97" s="132" t="s">
        <v>95</v>
      </c>
      <c r="F97" s="132" t="s">
        <v>41</v>
      </c>
      <c r="G97" s="143">
        <v>830034865</v>
      </c>
      <c r="H97" s="132" t="s">
        <v>458</v>
      </c>
      <c r="I97" s="134">
        <v>55784000</v>
      </c>
      <c r="J97" s="134" t="s">
        <v>1088</v>
      </c>
      <c r="K97" s="135">
        <v>2013</v>
      </c>
      <c r="L97" s="551"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12"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4"/>
      <c r="AI97" s="174"/>
      <c r="AJ97" s="181" t="s">
        <v>901</v>
      </c>
      <c r="AK97" s="181" t="str">
        <f t="shared" ca="1" si="22"/>
        <v>TERMINO</v>
      </c>
      <c r="AL97" s="181" t="s">
        <v>577</v>
      </c>
      <c r="AM97" s="176" t="s">
        <v>390</v>
      </c>
      <c r="AN97" s="875" t="str">
        <f>IFERROR(VLOOKUP(E97,'liquidaciones '!$B$2:$C$1048576,2,0),"NO")</f>
        <v>LIQUIDADO</v>
      </c>
      <c r="AO97" s="983">
        <f>IFERROR(VLOOKUP(E97,'liquidaciones '!$B$2:$I$1048576,8,0),"")</f>
        <v>0</v>
      </c>
      <c r="AP97" s="340">
        <v>42150</v>
      </c>
      <c r="AQ97" s="177" t="str">
        <f t="shared" ca="1" si="23"/>
        <v>NO</v>
      </c>
      <c r="AR97" s="177" t="s">
        <v>1574</v>
      </c>
      <c r="AS97" s="438"/>
      <c r="AT97" s="1015"/>
    </row>
    <row r="98" spans="1:46" ht="47.25" customHeight="1" x14ac:dyDescent="0.25">
      <c r="A98" s="15">
        <v>4</v>
      </c>
      <c r="B98" s="15">
        <v>92</v>
      </c>
      <c r="C98" s="442"/>
      <c r="D98" s="442" t="str">
        <f t="shared" si="13"/>
        <v>2013</v>
      </c>
      <c r="E98" s="132" t="s">
        <v>96</v>
      </c>
      <c r="F98" s="132" t="s">
        <v>3</v>
      </c>
      <c r="G98" s="143">
        <v>830095213</v>
      </c>
      <c r="H98" s="132" t="s">
        <v>456</v>
      </c>
      <c r="I98" s="134">
        <v>351295000</v>
      </c>
      <c r="J98" s="134" t="s">
        <v>1088</v>
      </c>
      <c r="K98" s="135">
        <v>2013</v>
      </c>
      <c r="L98" s="551"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12"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4" t="s">
        <v>560</v>
      </c>
      <c r="AI98" s="174" t="s">
        <v>1320</v>
      </c>
      <c r="AJ98" s="181" t="s">
        <v>901</v>
      </c>
      <c r="AK98" s="181" t="str">
        <f t="shared" ca="1" si="22"/>
        <v>TERMINO</v>
      </c>
      <c r="AL98" s="181" t="s">
        <v>574</v>
      </c>
      <c r="AM98" s="176" t="s">
        <v>390</v>
      </c>
      <c r="AN98" s="875" t="str">
        <f>IFERROR(VLOOKUP(E98,'liquidaciones '!$B$2:$C$1048576,2,0),"NO")</f>
        <v>LIQUIDADO</v>
      </c>
      <c r="AO98" s="983">
        <f>IFERROR(VLOOKUP(E98,'liquidaciones '!$B$2:$I$1048576,8,0),"")</f>
        <v>0</v>
      </c>
      <c r="AP98" s="340"/>
      <c r="AQ98" s="177" t="str">
        <f t="shared" ca="1" si="23"/>
        <v>NO</v>
      </c>
      <c r="AR98" s="177" t="s">
        <v>1574</v>
      </c>
      <c r="AS98" s="438"/>
      <c r="AT98" s="1015"/>
    </row>
    <row r="99" spans="1:46" ht="47.25" customHeight="1" x14ac:dyDescent="0.25">
      <c r="A99" s="15">
        <v>4</v>
      </c>
      <c r="B99" s="15">
        <v>93</v>
      </c>
      <c r="C99" s="442"/>
      <c r="D99" s="442" t="str">
        <f t="shared" si="13"/>
        <v>2013</v>
      </c>
      <c r="E99" s="132" t="s">
        <v>97</v>
      </c>
      <c r="F99" s="132" t="s">
        <v>98</v>
      </c>
      <c r="G99" s="133">
        <v>830070625</v>
      </c>
      <c r="H99" s="132" t="s">
        <v>345</v>
      </c>
      <c r="I99" s="134">
        <v>2096276</v>
      </c>
      <c r="J99" s="134" t="s">
        <v>1088</v>
      </c>
      <c r="K99" s="135">
        <v>2013</v>
      </c>
      <c r="L99" s="551"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5"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4" t="s">
        <v>560</v>
      </c>
      <c r="AI99" s="174"/>
      <c r="AJ99" s="181" t="s">
        <v>901</v>
      </c>
      <c r="AK99" s="181" t="str">
        <f t="shared" ca="1" si="22"/>
        <v>TERMINO</v>
      </c>
      <c r="AL99" s="181" t="s">
        <v>576</v>
      </c>
      <c r="AM99" s="176" t="s">
        <v>390</v>
      </c>
      <c r="AN99" s="875" t="str">
        <f>IFERROR(VLOOKUP(E99,'liquidaciones '!$B$2:$C$1048576,2,0),"NO")</f>
        <v>LIQUIDADO</v>
      </c>
      <c r="AO99" s="983">
        <f>IFERROR(VLOOKUP(E99,'liquidaciones '!$B$2:$I$1048576,8,0),"")</f>
        <v>0</v>
      </c>
      <c r="AP99" s="340">
        <v>41982</v>
      </c>
      <c r="AQ99" s="177" t="str">
        <f t="shared" ca="1" si="23"/>
        <v>NO</v>
      </c>
      <c r="AR99" s="177" t="s">
        <v>1574</v>
      </c>
      <c r="AS99" s="438"/>
      <c r="AT99" s="1015"/>
    </row>
    <row r="100" spans="1:46" ht="47.25" customHeight="1" x14ac:dyDescent="0.25">
      <c r="A100" s="15">
        <v>4</v>
      </c>
      <c r="B100" s="15">
        <v>94</v>
      </c>
      <c r="C100" s="442"/>
      <c r="D100" s="442" t="str">
        <f t="shared" si="13"/>
        <v>2013</v>
      </c>
      <c r="E100" s="132" t="s">
        <v>99</v>
      </c>
      <c r="F100" s="132" t="s">
        <v>100</v>
      </c>
      <c r="G100" s="133">
        <v>860019063</v>
      </c>
      <c r="H100" s="132" t="s">
        <v>465</v>
      </c>
      <c r="I100" s="134">
        <v>12594000</v>
      </c>
      <c r="J100" s="134" t="s">
        <v>1088</v>
      </c>
      <c r="K100" s="135">
        <v>2013</v>
      </c>
      <c r="L100" s="551"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5"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4" t="s">
        <v>560</v>
      </c>
      <c r="AI100" s="174"/>
      <c r="AJ100" s="181" t="s">
        <v>901</v>
      </c>
      <c r="AK100" s="181" t="str">
        <f t="shared" ca="1" si="22"/>
        <v>TERMINO</v>
      </c>
      <c r="AL100" s="181" t="s">
        <v>576</v>
      </c>
      <c r="AM100" s="176" t="s">
        <v>390</v>
      </c>
      <c r="AN100" s="875" t="str">
        <f>IFERROR(VLOOKUP(E100,'liquidaciones '!$B$2:$C$1048576,2,0),"NO")</f>
        <v>NO</v>
      </c>
      <c r="AO100" s="983" t="str">
        <f>IFERROR(VLOOKUP(E100,'liquidaciones '!$B$2:$I$1048576,8,0),"")</f>
        <v/>
      </c>
      <c r="AP100" s="340"/>
      <c r="AQ100" s="177" t="str">
        <f t="shared" ca="1" si="23"/>
        <v>NO</v>
      </c>
      <c r="AR100" s="177" t="s">
        <v>1574</v>
      </c>
      <c r="AS100" s="438"/>
      <c r="AT100" s="1015"/>
    </row>
    <row r="101" spans="1:46" ht="47.25" customHeight="1" x14ac:dyDescent="0.25">
      <c r="A101" s="15">
        <v>4</v>
      </c>
      <c r="B101" s="15">
        <v>95</v>
      </c>
      <c r="C101" s="442"/>
      <c r="D101" s="442" t="str">
        <f t="shared" si="13"/>
        <v>2013</v>
      </c>
      <c r="E101" s="132" t="s">
        <v>121</v>
      </c>
      <c r="F101" s="132" t="s">
        <v>15</v>
      </c>
      <c r="G101" s="133">
        <v>830067096</v>
      </c>
      <c r="H101" s="132" t="s">
        <v>353</v>
      </c>
      <c r="I101" s="140">
        <v>7740000</v>
      </c>
      <c r="J101" s="134" t="s">
        <v>1088</v>
      </c>
      <c r="K101" s="135">
        <v>2013</v>
      </c>
      <c r="L101" s="551"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5"/>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4"/>
      <c r="AI101" s="174"/>
      <c r="AJ101" s="181" t="s">
        <v>901</v>
      </c>
      <c r="AK101" s="181" t="str">
        <f t="shared" ca="1" si="22"/>
        <v>TERMINO</v>
      </c>
      <c r="AL101" s="181" t="s">
        <v>582</v>
      </c>
      <c r="AM101" s="176" t="s">
        <v>390</v>
      </c>
      <c r="AN101" s="875" t="str">
        <f>IFERROR(VLOOKUP(E101,'liquidaciones '!$B$2:$C$1048576,2,0),"NO")</f>
        <v>LIQUIDADO</v>
      </c>
      <c r="AO101" s="983">
        <f>IFERROR(VLOOKUP(E101,'liquidaciones '!$B$2:$I$1048576,8,0),"")</f>
        <v>0</v>
      </c>
      <c r="AP101" s="340">
        <v>42004</v>
      </c>
      <c r="AQ101" s="177" t="str">
        <f t="shared" ca="1" si="23"/>
        <v>NO</v>
      </c>
      <c r="AR101" s="177" t="s">
        <v>1574</v>
      </c>
      <c r="AS101" s="438"/>
      <c r="AT101" s="1015"/>
    </row>
    <row r="102" spans="1:46" ht="47.25" customHeight="1" x14ac:dyDescent="0.25">
      <c r="A102" s="15">
        <v>4</v>
      </c>
      <c r="B102" s="15">
        <v>96</v>
      </c>
      <c r="C102" s="442"/>
      <c r="D102" s="442" t="str">
        <f t="shared" si="13"/>
        <v>2013</v>
      </c>
      <c r="E102" s="132" t="s">
        <v>123</v>
      </c>
      <c r="F102" s="132" t="s">
        <v>124</v>
      </c>
      <c r="G102" s="143">
        <v>52353202</v>
      </c>
      <c r="H102" s="132" t="s">
        <v>464</v>
      </c>
      <c r="I102" s="134">
        <v>50000000</v>
      </c>
      <c r="J102" s="134" t="s">
        <v>1088</v>
      </c>
      <c r="K102" s="135">
        <v>2013</v>
      </c>
      <c r="L102" s="551"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12"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4"/>
      <c r="AI102" s="174"/>
      <c r="AJ102" s="181" t="s">
        <v>901</v>
      </c>
      <c r="AK102" s="181" t="str">
        <f t="shared" ca="1" si="22"/>
        <v>TERMINO</v>
      </c>
      <c r="AL102" s="181" t="s">
        <v>582</v>
      </c>
      <c r="AM102" s="176" t="s">
        <v>391</v>
      </c>
      <c r="AN102" s="875" t="str">
        <f>IFERROR(VLOOKUP(E102,'liquidaciones '!$B$2:$C$1048576,2,0),"NO")</f>
        <v>LIQUIDADO</v>
      </c>
      <c r="AO102" s="983">
        <f>IFERROR(VLOOKUP(E102,'liquidaciones '!$B$2:$I$1048576,8,0),"")</f>
        <v>0</v>
      </c>
      <c r="AP102" s="339">
        <v>42117</v>
      </c>
      <c r="AQ102" s="177" t="str">
        <f t="shared" ca="1" si="23"/>
        <v>NO</v>
      </c>
      <c r="AR102" s="177" t="s">
        <v>1574</v>
      </c>
      <c r="AS102" s="438"/>
      <c r="AT102" s="1015"/>
    </row>
    <row r="103" spans="1:46" ht="47.25" customHeight="1" x14ac:dyDescent="0.25">
      <c r="A103" s="15">
        <v>4</v>
      </c>
      <c r="B103" s="15">
        <v>97</v>
      </c>
      <c r="C103" s="442"/>
      <c r="D103" s="442" t="str">
        <f t="shared" si="13"/>
        <v>2013</v>
      </c>
      <c r="E103" s="132" t="s">
        <v>125</v>
      </c>
      <c r="F103" s="132" t="s">
        <v>126</v>
      </c>
      <c r="G103" s="133">
        <v>900333228</v>
      </c>
      <c r="H103" s="132" t="s">
        <v>466</v>
      </c>
      <c r="I103" s="134">
        <v>9366000</v>
      </c>
      <c r="J103" s="134" t="s">
        <v>1088</v>
      </c>
      <c r="K103" s="135">
        <v>2013</v>
      </c>
      <c r="L103" s="551"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5"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4" t="s">
        <v>560</v>
      </c>
      <c r="AI103" s="174" t="s">
        <v>1381</v>
      </c>
      <c r="AJ103" s="181" t="s">
        <v>906</v>
      </c>
      <c r="AK103" s="181" t="str">
        <f t="shared" ca="1" si="22"/>
        <v>TERMINO</v>
      </c>
      <c r="AL103" s="181" t="s">
        <v>576</v>
      </c>
      <c r="AM103" s="176" t="s">
        <v>390</v>
      </c>
      <c r="AN103" s="875" t="str">
        <f>IFERROR(VLOOKUP(E103,'liquidaciones '!$B$2:$C$1048576,2,0),"NO")</f>
        <v>EN TRÁMITE</v>
      </c>
      <c r="AO103" s="983">
        <f>IFERROR(VLOOKUP(E103,'liquidaciones '!$B$2:$I$1048576,8,0),"")</f>
        <v>0</v>
      </c>
      <c r="AP103" s="340">
        <v>42333</v>
      </c>
      <c r="AQ103" s="177" t="str">
        <f t="shared" ca="1" si="23"/>
        <v>NO</v>
      </c>
      <c r="AR103" s="177" t="s">
        <v>1574</v>
      </c>
      <c r="AS103" s="438"/>
      <c r="AT103" s="1015"/>
    </row>
    <row r="104" spans="1:46" ht="47.25" customHeight="1" x14ac:dyDescent="0.25">
      <c r="A104" s="15">
        <v>4</v>
      </c>
      <c r="B104" s="15">
        <v>98</v>
      </c>
      <c r="C104" s="442"/>
      <c r="D104" s="442" t="str">
        <f t="shared" si="13"/>
        <v>2013</v>
      </c>
      <c r="E104" s="132" t="s">
        <v>129</v>
      </c>
      <c r="F104" s="132" t="s">
        <v>1019</v>
      </c>
      <c r="G104" s="133">
        <v>900611595</v>
      </c>
      <c r="H104" s="132" t="s">
        <v>315</v>
      </c>
      <c r="I104" s="134">
        <v>22300000</v>
      </c>
      <c r="J104" s="134" t="s">
        <v>1088</v>
      </c>
      <c r="K104" s="135">
        <v>2013</v>
      </c>
      <c r="L104" s="551"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12"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4" t="s">
        <v>562</v>
      </c>
      <c r="AI104" s="174"/>
      <c r="AJ104" s="181" t="s">
        <v>901</v>
      </c>
      <c r="AK104" s="181" t="str">
        <f t="shared" ca="1" si="22"/>
        <v>TERMINO</v>
      </c>
      <c r="AL104" s="181" t="s">
        <v>574</v>
      </c>
      <c r="AM104" s="176" t="s">
        <v>390</v>
      </c>
      <c r="AN104" s="875" t="str">
        <f>IFERROR(VLOOKUP(E104,'liquidaciones '!$B$2:$C$1048576,2,0),"NO")</f>
        <v>NO</v>
      </c>
      <c r="AO104" s="983" t="str">
        <f>IFERROR(VLOOKUP(E104,'liquidaciones '!$B$2:$I$1048576,8,0),"")</f>
        <v/>
      </c>
      <c r="AP104" s="340">
        <v>42290</v>
      </c>
      <c r="AQ104" s="177" t="str">
        <f t="shared" ca="1" si="23"/>
        <v>NO</v>
      </c>
      <c r="AR104" s="177" t="s">
        <v>1574</v>
      </c>
      <c r="AS104" s="438"/>
      <c r="AT104" s="1015"/>
    </row>
    <row r="105" spans="1:46" ht="47.25" customHeight="1" x14ac:dyDescent="0.25">
      <c r="A105" s="15">
        <v>4</v>
      </c>
      <c r="B105" s="15">
        <v>99</v>
      </c>
      <c r="C105" s="442"/>
      <c r="D105" s="442" t="str">
        <f t="shared" si="13"/>
        <v>2013</v>
      </c>
      <c r="E105" s="142" t="s">
        <v>89</v>
      </c>
      <c r="F105" s="132" t="s">
        <v>90</v>
      </c>
      <c r="G105" s="133">
        <v>830109807</v>
      </c>
      <c r="H105" s="132" t="s">
        <v>467</v>
      </c>
      <c r="I105" s="134">
        <v>1030000</v>
      </c>
      <c r="J105" s="134" t="s">
        <v>1088</v>
      </c>
      <c r="K105" s="135">
        <v>2013</v>
      </c>
      <c r="L105" s="551"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12"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4"/>
      <c r="AI105" s="174"/>
      <c r="AJ105" s="181" t="s">
        <v>901</v>
      </c>
      <c r="AK105" s="181" t="str">
        <f t="shared" ca="1" si="22"/>
        <v>TERMINO</v>
      </c>
      <c r="AL105" s="181" t="s">
        <v>576</v>
      </c>
      <c r="AM105" s="176" t="s">
        <v>390</v>
      </c>
      <c r="AN105" s="875" t="str">
        <f>IFERROR(VLOOKUP(E105,'liquidaciones '!$B$2:$C$1048576,2,0),"NO")</f>
        <v>LIQUIDADO</v>
      </c>
      <c r="AO105" s="983">
        <f>IFERROR(VLOOKUP(E105,'liquidaciones '!$B$2:$I$1048576,8,0),"")</f>
        <v>0</v>
      </c>
      <c r="AP105" s="340">
        <v>41982</v>
      </c>
      <c r="AQ105" s="177" t="str">
        <f t="shared" ca="1" si="23"/>
        <v>NO</v>
      </c>
      <c r="AR105" s="177" t="s">
        <v>1574</v>
      </c>
      <c r="AS105" s="438"/>
      <c r="AT105" s="1015"/>
    </row>
    <row r="106" spans="1:46" ht="47.25" customHeight="1" x14ac:dyDescent="0.25">
      <c r="A106" s="15">
        <v>4</v>
      </c>
      <c r="B106" s="15">
        <v>100</v>
      </c>
      <c r="C106" s="442"/>
      <c r="D106" s="442" t="str">
        <f t="shared" si="13"/>
        <v>2013</v>
      </c>
      <c r="E106" s="142" t="s">
        <v>130</v>
      </c>
      <c r="F106" s="207" t="s">
        <v>1112</v>
      </c>
      <c r="G106" s="133">
        <v>830005370</v>
      </c>
      <c r="H106" s="132" t="s">
        <v>468</v>
      </c>
      <c r="I106" s="134">
        <v>1379939352</v>
      </c>
      <c r="J106" s="134" t="s">
        <v>1088</v>
      </c>
      <c r="K106" s="135">
        <v>2013</v>
      </c>
      <c r="L106" s="551"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12"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4" t="s">
        <v>564</v>
      </c>
      <c r="AI106" s="174" t="s">
        <v>1382</v>
      </c>
      <c r="AJ106" s="181" t="s">
        <v>901</v>
      </c>
      <c r="AK106" s="181" t="str">
        <f t="shared" ca="1" si="22"/>
        <v>TERMINO</v>
      </c>
      <c r="AL106" s="181" t="s">
        <v>582</v>
      </c>
      <c r="AM106" s="176" t="s">
        <v>390</v>
      </c>
      <c r="AN106" s="875" t="str">
        <f>IFERROR(VLOOKUP(E106,'liquidaciones '!$B$2:$C$1048576,2,0),"NO")</f>
        <v>LIQUIDADO</v>
      </c>
      <c r="AO106" s="983">
        <f>IFERROR(VLOOKUP(E106,'liquidaciones '!$B$2:$I$1048576,8,0),"")</f>
        <v>0</v>
      </c>
      <c r="AP106" s="340">
        <v>42051</v>
      </c>
      <c r="AQ106" s="177" t="str">
        <f t="shared" ca="1" si="23"/>
        <v>NO</v>
      </c>
      <c r="AR106" s="177" t="s">
        <v>1574</v>
      </c>
      <c r="AS106" s="438"/>
      <c r="AT106" s="1015"/>
    </row>
    <row r="107" spans="1:46" ht="47.25" customHeight="1" x14ac:dyDescent="0.25">
      <c r="A107" s="15">
        <v>4</v>
      </c>
      <c r="B107" s="15">
        <v>101</v>
      </c>
      <c r="C107" s="442"/>
      <c r="D107" s="442" t="str">
        <f t="shared" si="13"/>
        <v>2013</v>
      </c>
      <c r="E107" s="132" t="s">
        <v>132</v>
      </c>
      <c r="F107" s="132" t="s">
        <v>27</v>
      </c>
      <c r="G107" s="143">
        <v>860009759</v>
      </c>
      <c r="H107" s="132" t="s">
        <v>450</v>
      </c>
      <c r="I107" s="134">
        <v>849000</v>
      </c>
      <c r="J107" s="134" t="s">
        <v>1088</v>
      </c>
      <c r="K107" s="135">
        <v>2013</v>
      </c>
      <c r="L107" s="551"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12" t="s">
        <v>1108</v>
      </c>
      <c r="Y107" s="42">
        <f t="shared" si="17"/>
        <v>1</v>
      </c>
      <c r="Z107" s="42">
        <f t="shared" ca="1" si="18"/>
        <v>1</v>
      </c>
      <c r="AA107" s="43">
        <f t="shared" ca="1" si="19"/>
        <v>0</v>
      </c>
      <c r="AB107" s="202" t="str">
        <f t="shared" ca="1" si="20"/>
        <v/>
      </c>
      <c r="AC107" s="44" t="str">
        <f t="shared" si="21"/>
        <v>SI</v>
      </c>
      <c r="AD107" s="44"/>
      <c r="AE107" s="173" t="s">
        <v>1257</v>
      </c>
      <c r="AF107" s="304" t="s">
        <v>1126</v>
      </c>
      <c r="AG107" s="173" t="s">
        <v>1431</v>
      </c>
      <c r="AH107" s="284" t="s">
        <v>564</v>
      </c>
      <c r="AI107" s="174" t="s">
        <v>1382</v>
      </c>
      <c r="AJ107" s="181" t="s">
        <v>901</v>
      </c>
      <c r="AK107" s="181" t="str">
        <f t="shared" ca="1" si="22"/>
        <v>TERMINO</v>
      </c>
      <c r="AL107" s="181" t="s">
        <v>582</v>
      </c>
      <c r="AM107" s="176" t="s">
        <v>390</v>
      </c>
      <c r="AN107" s="875" t="str">
        <f>IFERROR(VLOOKUP(E107,'liquidaciones '!$B$2:$C$1048576,2,0),"NO")</f>
        <v>NO</v>
      </c>
      <c r="AO107" s="983" t="str">
        <f>IFERROR(VLOOKUP(E107,'liquidaciones '!$B$2:$I$1048576,8,0),"")</f>
        <v/>
      </c>
      <c r="AP107" s="340">
        <v>42286</v>
      </c>
      <c r="AQ107" s="177" t="str">
        <f t="shared" ca="1" si="23"/>
        <v>NO</v>
      </c>
      <c r="AR107" s="177" t="s">
        <v>1574</v>
      </c>
      <c r="AS107" s="438"/>
      <c r="AT107" s="1015"/>
    </row>
    <row r="108" spans="1:46" ht="47.25" customHeight="1" x14ac:dyDescent="0.25">
      <c r="A108" s="15">
        <v>4</v>
      </c>
      <c r="B108" s="15">
        <v>102</v>
      </c>
      <c r="C108" s="442"/>
      <c r="D108" s="442" t="str">
        <f t="shared" si="13"/>
        <v>2013</v>
      </c>
      <c r="E108" s="132" t="s">
        <v>133</v>
      </c>
      <c r="F108" s="132" t="s">
        <v>134</v>
      </c>
      <c r="G108" s="133">
        <v>830101973</v>
      </c>
      <c r="H108" s="132" t="s">
        <v>356</v>
      </c>
      <c r="I108" s="134">
        <v>15000000</v>
      </c>
      <c r="J108" s="134" t="s">
        <v>1088</v>
      </c>
      <c r="K108" s="135">
        <v>2013</v>
      </c>
      <c r="L108" s="551"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12"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4"/>
      <c r="AI108" s="174"/>
      <c r="AJ108" s="181" t="s">
        <v>901</v>
      </c>
      <c r="AK108" s="181" t="str">
        <f t="shared" ca="1" si="22"/>
        <v>TERMINO</v>
      </c>
      <c r="AL108" s="181" t="s">
        <v>576</v>
      </c>
      <c r="AM108" s="176" t="s">
        <v>390</v>
      </c>
      <c r="AN108" s="875" t="str">
        <f>IFERROR(VLOOKUP(E108,'liquidaciones '!$B$2:$C$1048576,2,0),"NO")</f>
        <v>LIQUIDADO</v>
      </c>
      <c r="AO108" s="983">
        <f>IFERROR(VLOOKUP(E108,'liquidaciones '!$B$2:$I$1048576,8,0),"")</f>
        <v>0</v>
      </c>
      <c r="AP108" s="340">
        <v>42004</v>
      </c>
      <c r="AQ108" s="177" t="str">
        <f t="shared" ca="1" si="23"/>
        <v>NO</v>
      </c>
      <c r="AR108" s="177" t="s">
        <v>1574</v>
      </c>
      <c r="AS108" s="438"/>
      <c r="AT108" s="1015"/>
    </row>
    <row r="109" spans="1:46" ht="47.25" customHeight="1" x14ac:dyDescent="0.25">
      <c r="A109" s="15">
        <v>4</v>
      </c>
      <c r="B109" s="15">
        <v>103</v>
      </c>
      <c r="C109" s="442"/>
      <c r="D109" s="442" t="str">
        <f t="shared" si="13"/>
        <v>2013</v>
      </c>
      <c r="E109" s="132" t="s">
        <v>135</v>
      </c>
      <c r="F109" s="132" t="s">
        <v>38</v>
      </c>
      <c r="G109" s="133">
        <v>830053669</v>
      </c>
      <c r="H109" s="132" t="s">
        <v>327</v>
      </c>
      <c r="I109" s="134">
        <v>31904847</v>
      </c>
      <c r="J109" s="134" t="s">
        <v>1088</v>
      </c>
      <c r="K109" s="135">
        <v>2013</v>
      </c>
      <c r="L109" s="551"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12"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4" t="s">
        <v>560</v>
      </c>
      <c r="AI109" s="174"/>
      <c r="AJ109" s="181" t="s">
        <v>901</v>
      </c>
      <c r="AK109" s="181" t="str">
        <f t="shared" ca="1" si="22"/>
        <v>TERMINO</v>
      </c>
      <c r="AL109" s="181" t="s">
        <v>921</v>
      </c>
      <c r="AM109" s="176" t="s">
        <v>390</v>
      </c>
      <c r="AN109" s="875" t="str">
        <f>IFERROR(VLOOKUP(E109,'liquidaciones '!$B$2:$C$1048576,2,0),"NO")</f>
        <v>LIQUIDADO</v>
      </c>
      <c r="AO109" s="983">
        <f>IFERROR(VLOOKUP(E109,'liquidaciones '!$B$2:$I$1048576,8,0),"")</f>
        <v>0</v>
      </c>
      <c r="AP109" s="340"/>
      <c r="AQ109" s="177" t="str">
        <f t="shared" ca="1" si="23"/>
        <v>NO</v>
      </c>
      <c r="AR109" s="177" t="s">
        <v>1574</v>
      </c>
      <c r="AS109" s="438"/>
      <c r="AT109" s="1015"/>
    </row>
    <row r="110" spans="1:46" ht="47.25" customHeight="1" x14ac:dyDescent="0.25">
      <c r="A110" s="15">
        <v>4</v>
      </c>
      <c r="B110" s="15">
        <v>104</v>
      </c>
      <c r="C110" s="442"/>
      <c r="D110" s="442" t="str">
        <f t="shared" si="13"/>
        <v>2013</v>
      </c>
      <c r="E110" s="132" t="s">
        <v>136</v>
      </c>
      <c r="F110" s="132" t="s">
        <v>137</v>
      </c>
      <c r="G110" s="133">
        <v>230802</v>
      </c>
      <c r="H110" s="132" t="s">
        <v>469</v>
      </c>
      <c r="I110" s="134">
        <v>40000000</v>
      </c>
      <c r="J110" s="134" t="s">
        <v>1088</v>
      </c>
      <c r="K110" s="135">
        <v>2013</v>
      </c>
      <c r="L110" s="551"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12"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4"/>
      <c r="AI110" s="174"/>
      <c r="AJ110" s="173" t="s">
        <v>901</v>
      </c>
      <c r="AK110" s="181" t="str">
        <f t="shared" ca="1" si="22"/>
        <v>TERMINO</v>
      </c>
      <c r="AL110" s="181" t="s">
        <v>582</v>
      </c>
      <c r="AM110" s="176" t="s">
        <v>391</v>
      </c>
      <c r="AN110" s="875" t="str">
        <f>IFERROR(VLOOKUP(E110,'liquidaciones '!$B$2:$C$1048576,2,0),"NO")</f>
        <v>NO</v>
      </c>
      <c r="AO110" s="983" t="str">
        <f>IFERROR(VLOOKUP(E110,'liquidaciones '!$B$2:$I$1048576,8,0),"")</f>
        <v/>
      </c>
      <c r="AP110" s="338">
        <v>42325</v>
      </c>
      <c r="AQ110" s="177" t="str">
        <f t="shared" ca="1" si="23"/>
        <v>NO</v>
      </c>
      <c r="AR110" s="177" t="s">
        <v>1574</v>
      </c>
      <c r="AS110" s="438"/>
      <c r="AT110" s="1015"/>
    </row>
    <row r="111" spans="1:46" ht="47.25" customHeight="1" x14ac:dyDescent="0.25">
      <c r="A111" s="15">
        <v>4</v>
      </c>
      <c r="B111" s="15">
        <v>105</v>
      </c>
      <c r="C111" s="442"/>
      <c r="D111" s="442" t="str">
        <f t="shared" si="13"/>
        <v>2013</v>
      </c>
      <c r="E111" s="139" t="s">
        <v>202</v>
      </c>
      <c r="F111" s="164" t="s">
        <v>203</v>
      </c>
      <c r="G111" s="133">
        <v>860049921</v>
      </c>
      <c r="H111" s="132" t="s">
        <v>470</v>
      </c>
      <c r="I111" s="140">
        <v>4524000</v>
      </c>
      <c r="J111" s="134" t="s">
        <v>1088</v>
      </c>
      <c r="K111" s="157">
        <v>2013</v>
      </c>
      <c r="L111" s="551"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5" t="s">
        <v>1401</v>
      </c>
      <c r="Y111" s="42">
        <f t="shared" si="17"/>
        <v>1</v>
      </c>
      <c r="Z111" s="42">
        <f t="shared" ca="1" si="18"/>
        <v>1</v>
      </c>
      <c r="AA111" s="43">
        <f t="shared" ca="1" si="19"/>
        <v>0</v>
      </c>
      <c r="AB111" s="202" t="str">
        <f t="shared" ca="1" si="20"/>
        <v/>
      </c>
      <c r="AC111" s="44" t="str">
        <f t="shared" si="21"/>
        <v>SI</v>
      </c>
      <c r="AD111" s="44"/>
      <c r="AE111" s="173" t="s">
        <v>1257</v>
      </c>
      <c r="AF111" s="304" t="s">
        <v>1351</v>
      </c>
      <c r="AG111" s="173"/>
      <c r="AH111" s="284"/>
      <c r="AI111" s="174"/>
      <c r="AJ111" s="173" t="s">
        <v>901</v>
      </c>
      <c r="AK111" s="181" t="str">
        <f t="shared" ca="1" si="22"/>
        <v>TERMINO</v>
      </c>
      <c r="AL111" s="181" t="s">
        <v>582</v>
      </c>
      <c r="AM111" s="176" t="s">
        <v>390</v>
      </c>
      <c r="AN111" s="875" t="str">
        <f>IFERROR(VLOOKUP(E111,'liquidaciones '!$B$2:$C$1048576,2,0),"NO")</f>
        <v>LIQUIDADO</v>
      </c>
      <c r="AO111" s="983">
        <f>IFERROR(VLOOKUP(E111,'liquidaciones '!$B$2:$I$1048576,8,0),"")</f>
        <v>0</v>
      </c>
      <c r="AP111" s="342">
        <v>41905</v>
      </c>
      <c r="AQ111" s="177" t="str">
        <f t="shared" ca="1" si="23"/>
        <v>NO</v>
      </c>
      <c r="AR111" s="177" t="s">
        <v>1574</v>
      </c>
      <c r="AS111" s="438"/>
      <c r="AT111" s="1015"/>
    </row>
    <row r="112" spans="1:46" ht="47.25" customHeight="1" x14ac:dyDescent="0.25">
      <c r="A112" s="15">
        <v>4</v>
      </c>
      <c r="B112" s="15">
        <v>106</v>
      </c>
      <c r="C112" s="442"/>
      <c r="D112" s="442" t="str">
        <f t="shared" si="13"/>
        <v>2013</v>
      </c>
      <c r="E112" s="132" t="s">
        <v>138</v>
      </c>
      <c r="F112" s="132" t="s">
        <v>1034</v>
      </c>
      <c r="G112" s="133">
        <v>79887061</v>
      </c>
      <c r="H112" s="132" t="s">
        <v>357</v>
      </c>
      <c r="I112" s="134">
        <v>20800000</v>
      </c>
      <c r="J112" s="134" t="s">
        <v>1088</v>
      </c>
      <c r="K112" s="135">
        <v>2013</v>
      </c>
      <c r="L112" s="551"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12"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4" t="s">
        <v>560</v>
      </c>
      <c r="AI112" s="174"/>
      <c r="AJ112" s="173" t="s">
        <v>901</v>
      </c>
      <c r="AK112" s="181" t="str">
        <f t="shared" ca="1" si="22"/>
        <v>TERMINO</v>
      </c>
      <c r="AL112" s="181" t="s">
        <v>582</v>
      </c>
      <c r="AM112" s="176" t="s">
        <v>391</v>
      </c>
      <c r="AN112" s="875" t="str">
        <f>IFERROR(VLOOKUP(E112,'liquidaciones '!$B$2:$C$1048576,2,0),"NO")</f>
        <v>LIQUIDADO</v>
      </c>
      <c r="AO112" s="983">
        <f>IFERROR(VLOOKUP(E112,'liquidaciones '!$B$2:$I$1048576,8,0),"")</f>
        <v>0</v>
      </c>
      <c r="AP112" s="338">
        <v>41712</v>
      </c>
      <c r="AQ112" s="177" t="str">
        <f t="shared" ca="1" si="23"/>
        <v>NO</v>
      </c>
      <c r="AR112" s="177" t="s">
        <v>1574</v>
      </c>
      <c r="AS112" s="438"/>
      <c r="AT112" s="1015"/>
    </row>
    <row r="113" spans="1:46" ht="47.25" customHeight="1" x14ac:dyDescent="0.25">
      <c r="A113" s="15">
        <v>4</v>
      </c>
      <c r="B113" s="15">
        <v>107</v>
      </c>
      <c r="C113" s="442"/>
      <c r="D113" s="442" t="str">
        <f t="shared" si="13"/>
        <v>2013</v>
      </c>
      <c r="E113" s="132" t="s">
        <v>139</v>
      </c>
      <c r="F113" s="132" t="s">
        <v>140</v>
      </c>
      <c r="G113" s="133">
        <v>51721571</v>
      </c>
      <c r="H113" s="132" t="s">
        <v>1053</v>
      </c>
      <c r="I113" s="134">
        <v>28000000</v>
      </c>
      <c r="J113" s="134" t="s">
        <v>1088</v>
      </c>
      <c r="K113" s="135">
        <v>2013</v>
      </c>
      <c r="L113" s="551"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12"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4"/>
      <c r="AI113" s="174"/>
      <c r="AJ113" s="173" t="s">
        <v>901</v>
      </c>
      <c r="AK113" s="181" t="str">
        <f t="shared" ca="1" si="22"/>
        <v>TERMINO</v>
      </c>
      <c r="AL113" s="181" t="s">
        <v>582</v>
      </c>
      <c r="AM113" s="176" t="s">
        <v>391</v>
      </c>
      <c r="AN113" s="875" t="str">
        <f>IFERROR(VLOOKUP(E113,'liquidaciones '!$B$2:$C$1048576,2,0),"NO")</f>
        <v>NO</v>
      </c>
      <c r="AO113" s="983" t="str">
        <f>IFERROR(VLOOKUP(E113,'liquidaciones '!$B$2:$I$1048576,8,0),"")</f>
        <v/>
      </c>
      <c r="AP113" s="338"/>
      <c r="AQ113" s="177" t="str">
        <f t="shared" ca="1" si="23"/>
        <v>NO</v>
      </c>
      <c r="AR113" s="177" t="s">
        <v>1574</v>
      </c>
      <c r="AS113" s="438"/>
      <c r="AT113" s="1015"/>
    </row>
    <row r="114" spans="1:46" ht="47.25" customHeight="1" x14ac:dyDescent="0.25">
      <c r="A114" s="15">
        <v>4</v>
      </c>
      <c r="B114" s="15">
        <v>108</v>
      </c>
      <c r="C114" s="442"/>
      <c r="D114" s="442" t="str">
        <f t="shared" si="13"/>
        <v>2013</v>
      </c>
      <c r="E114" s="132" t="s">
        <v>141</v>
      </c>
      <c r="F114" s="132" t="s">
        <v>142</v>
      </c>
      <c r="G114" s="133">
        <v>800026212</v>
      </c>
      <c r="H114" s="132" t="s">
        <v>471</v>
      </c>
      <c r="I114" s="134">
        <v>266580829</v>
      </c>
      <c r="J114" s="134" t="s">
        <v>1088</v>
      </c>
      <c r="K114" s="135">
        <v>2013</v>
      </c>
      <c r="L114" s="551"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5"/>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4" t="s">
        <v>560</v>
      </c>
      <c r="AI114" s="174"/>
      <c r="AJ114" s="173" t="s">
        <v>901</v>
      </c>
      <c r="AK114" s="181" t="str">
        <f t="shared" ca="1" si="22"/>
        <v>TERMINO</v>
      </c>
      <c r="AL114" s="181" t="s">
        <v>921</v>
      </c>
      <c r="AM114" s="176" t="s">
        <v>390</v>
      </c>
      <c r="AN114" s="875" t="str">
        <f>IFERROR(VLOOKUP(E114,'liquidaciones '!$B$2:$C$1048576,2,0),"NO")</f>
        <v>LIQUIDADO</v>
      </c>
      <c r="AO114" s="983">
        <f>IFERROR(VLOOKUP(E114,'liquidaciones '!$B$2:$I$1048576,8,0),"")</f>
        <v>0</v>
      </c>
      <c r="AP114" s="338">
        <v>42118</v>
      </c>
      <c r="AQ114" s="177" t="str">
        <f t="shared" ca="1" si="23"/>
        <v>NO</v>
      </c>
      <c r="AR114" s="177" t="s">
        <v>1574</v>
      </c>
      <c r="AS114" s="438"/>
      <c r="AT114" s="1015"/>
    </row>
    <row r="115" spans="1:46" ht="47.25" customHeight="1" x14ac:dyDescent="0.25">
      <c r="A115" s="15">
        <v>4</v>
      </c>
      <c r="B115" s="15">
        <v>109</v>
      </c>
      <c r="C115" s="442"/>
      <c r="D115" s="442" t="str">
        <f t="shared" si="13"/>
        <v>2013</v>
      </c>
      <c r="E115" s="132" t="s">
        <v>143</v>
      </c>
      <c r="F115" s="132" t="s">
        <v>144</v>
      </c>
      <c r="G115" s="133">
        <v>900450570</v>
      </c>
      <c r="H115" s="132" t="s">
        <v>358</v>
      </c>
      <c r="I115" s="134">
        <v>232000000</v>
      </c>
      <c r="J115" s="134" t="s">
        <v>1088</v>
      </c>
      <c r="K115" s="135">
        <v>2013</v>
      </c>
      <c r="L115" s="551"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12"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4" t="s">
        <v>560</v>
      </c>
      <c r="AI115" s="174" t="s">
        <v>1320</v>
      </c>
      <c r="AJ115" s="173" t="s">
        <v>901</v>
      </c>
      <c r="AK115" s="181" t="str">
        <f t="shared" ca="1" si="22"/>
        <v>TERMINO</v>
      </c>
      <c r="AL115" s="181" t="s">
        <v>582</v>
      </c>
      <c r="AM115" s="176" t="s">
        <v>390</v>
      </c>
      <c r="AN115" s="875" t="str">
        <f>IFERROR(VLOOKUP(E115,'liquidaciones '!$B$2:$C$1048576,2,0),"NO")</f>
        <v>LIQUIDADO</v>
      </c>
      <c r="AO115" s="983">
        <f>IFERROR(VLOOKUP(E115,'liquidaciones '!$B$2:$I$1048576,8,0),"")</f>
        <v>0</v>
      </c>
      <c r="AP115" s="342">
        <v>42081</v>
      </c>
      <c r="AQ115" s="177" t="str">
        <f t="shared" ca="1" si="23"/>
        <v>NO</v>
      </c>
      <c r="AR115" s="177" t="s">
        <v>1574</v>
      </c>
      <c r="AS115" s="438"/>
      <c r="AT115" s="1015"/>
    </row>
    <row r="116" spans="1:46" s="235" customFormat="1" ht="47.25" customHeight="1" x14ac:dyDescent="0.25">
      <c r="A116" s="15">
        <v>4</v>
      </c>
      <c r="B116" s="404">
        <v>110</v>
      </c>
      <c r="C116" s="445"/>
      <c r="D116" s="442" t="str">
        <f t="shared" si="13"/>
        <v>2013</v>
      </c>
      <c r="E116" s="132" t="s">
        <v>145</v>
      </c>
      <c r="F116" s="132" t="s">
        <v>43</v>
      </c>
      <c r="G116" s="133">
        <v>830100153</v>
      </c>
      <c r="H116" s="132" t="s">
        <v>1462</v>
      </c>
      <c r="I116" s="134">
        <v>23246000</v>
      </c>
      <c r="J116" s="134" t="s">
        <v>1088</v>
      </c>
      <c r="K116" s="135">
        <v>2013</v>
      </c>
      <c r="L116" s="551"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7"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4"/>
      <c r="AI116" s="233" t="s">
        <v>1507</v>
      </c>
      <c r="AJ116" s="232" t="s">
        <v>901</v>
      </c>
      <c r="AK116" s="181" t="str">
        <f t="shared" ca="1" si="22"/>
        <v>TERMINO</v>
      </c>
      <c r="AL116" s="181" t="s">
        <v>576</v>
      </c>
      <c r="AM116" s="234" t="s">
        <v>390</v>
      </c>
      <c r="AN116" s="875" t="str">
        <f>IFERROR(VLOOKUP(E116,'liquidaciones '!$B$2:$C$1048576,2,0),"NO")</f>
        <v>LIQUIDADO</v>
      </c>
      <c r="AO116" s="983">
        <f>IFERROR(VLOOKUP(E116,'liquidaciones '!$B$2:$I$1048576,8,0),"")</f>
        <v>0</v>
      </c>
      <c r="AP116" s="343">
        <v>42004</v>
      </c>
      <c r="AQ116" s="177" t="str">
        <f t="shared" ca="1" si="23"/>
        <v>NO</v>
      </c>
      <c r="AR116" s="177" t="s">
        <v>1574</v>
      </c>
      <c r="AS116" s="438"/>
      <c r="AT116" s="1016"/>
    </row>
    <row r="117" spans="1:46" ht="47.25" customHeight="1" x14ac:dyDescent="0.25">
      <c r="A117" s="15">
        <v>4</v>
      </c>
      <c r="B117" s="15">
        <v>111</v>
      </c>
      <c r="C117" s="442"/>
      <c r="D117" s="442" t="str">
        <f t="shared" si="13"/>
        <v>2013</v>
      </c>
      <c r="E117" s="132" t="s">
        <v>146</v>
      </c>
      <c r="F117" s="132" t="s">
        <v>1018</v>
      </c>
      <c r="G117" s="133">
        <v>900548648</v>
      </c>
      <c r="H117" s="132" t="s">
        <v>313</v>
      </c>
      <c r="I117" s="134">
        <v>301200000</v>
      </c>
      <c r="J117" s="134" t="s">
        <v>1088</v>
      </c>
      <c r="K117" s="135">
        <v>2013</v>
      </c>
      <c r="L117" s="551"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5"/>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4" t="s">
        <v>560</v>
      </c>
      <c r="AI117" s="174" t="s">
        <v>1380</v>
      </c>
      <c r="AJ117" s="173" t="s">
        <v>905</v>
      </c>
      <c r="AK117" s="181" t="str">
        <f t="shared" ca="1" si="22"/>
        <v>TERMINO</v>
      </c>
      <c r="AL117" s="181" t="s">
        <v>921</v>
      </c>
      <c r="AM117" s="176" t="s">
        <v>390</v>
      </c>
      <c r="AN117" s="875" t="str">
        <f>IFERROR(VLOOKUP(E117,'liquidaciones '!$B$2:$C$1048576,2,0),"NO")</f>
        <v>LIQUIDADO</v>
      </c>
      <c r="AO117" s="983">
        <f>IFERROR(VLOOKUP(E117,'liquidaciones '!$B$2:$I$1048576,8,0),"")</f>
        <v>0</v>
      </c>
      <c r="AP117" s="342"/>
      <c r="AQ117" s="177" t="str">
        <f t="shared" ca="1" si="23"/>
        <v>NO</v>
      </c>
      <c r="AR117" s="177" t="s">
        <v>1574</v>
      </c>
      <c r="AS117" s="438"/>
      <c r="AT117" s="1015"/>
    </row>
    <row r="118" spans="1:46" ht="47.25" customHeight="1" x14ac:dyDescent="0.25">
      <c r="A118" s="15">
        <v>4</v>
      </c>
      <c r="B118" s="15">
        <v>112</v>
      </c>
      <c r="C118" s="442"/>
      <c r="D118" s="442" t="str">
        <f t="shared" si="13"/>
        <v>2013</v>
      </c>
      <c r="E118" s="132" t="s">
        <v>147</v>
      </c>
      <c r="F118" s="132" t="s">
        <v>148</v>
      </c>
      <c r="G118" s="133">
        <v>80422654</v>
      </c>
      <c r="H118" s="132" t="s">
        <v>472</v>
      </c>
      <c r="I118" s="134">
        <v>15797970</v>
      </c>
      <c r="J118" s="134" t="s">
        <v>1088</v>
      </c>
      <c r="K118" s="135">
        <v>2013</v>
      </c>
      <c r="L118" s="551"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5"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4"/>
      <c r="AI118" s="174"/>
      <c r="AJ118" s="173" t="s">
        <v>901</v>
      </c>
      <c r="AK118" s="181" t="str">
        <f t="shared" ca="1" si="22"/>
        <v>TERMINO</v>
      </c>
      <c r="AL118" s="181" t="s">
        <v>576</v>
      </c>
      <c r="AM118" s="176" t="s">
        <v>390</v>
      </c>
      <c r="AN118" s="875" t="str">
        <f>IFERROR(VLOOKUP(E118,'liquidaciones '!$B$2:$C$1048576,2,0),"NO")</f>
        <v>NO</v>
      </c>
      <c r="AO118" s="983" t="str">
        <f>IFERROR(VLOOKUP(E118,'liquidaciones '!$B$2:$I$1048576,8,0),"")</f>
        <v/>
      </c>
      <c r="AP118" s="342"/>
      <c r="AQ118" s="177" t="str">
        <f t="shared" ca="1" si="23"/>
        <v>NO</v>
      </c>
      <c r="AR118" s="177" t="s">
        <v>1574</v>
      </c>
      <c r="AS118" s="438"/>
      <c r="AT118" s="1015"/>
    </row>
    <row r="119" spans="1:46" ht="47.25" customHeight="1" x14ac:dyDescent="0.25">
      <c r="A119" s="15">
        <v>4</v>
      </c>
      <c r="B119" s="15">
        <v>113</v>
      </c>
      <c r="C119" s="442"/>
      <c r="D119" s="442" t="str">
        <f t="shared" si="13"/>
        <v>2013</v>
      </c>
      <c r="E119" s="142" t="s">
        <v>155</v>
      </c>
      <c r="F119" s="132" t="s">
        <v>1035</v>
      </c>
      <c r="G119" s="133">
        <v>4098836</v>
      </c>
      <c r="H119" s="132" t="s">
        <v>359</v>
      </c>
      <c r="I119" s="140">
        <v>23989000</v>
      </c>
      <c r="J119" s="134" t="s">
        <v>1088</v>
      </c>
      <c r="K119" s="135">
        <v>2013</v>
      </c>
      <c r="L119" s="551"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5"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4" t="s">
        <v>559</v>
      </c>
      <c r="AI119" s="174"/>
      <c r="AJ119" s="173" t="s">
        <v>901</v>
      </c>
      <c r="AK119" s="181" t="str">
        <f t="shared" ca="1" si="22"/>
        <v>TERMINO</v>
      </c>
      <c r="AL119" s="181" t="s">
        <v>582</v>
      </c>
      <c r="AM119" s="176" t="s">
        <v>391</v>
      </c>
      <c r="AN119" s="875" t="str">
        <f>IFERROR(VLOOKUP(E119,'liquidaciones '!$B$2:$C$1048576,2,0),"NO")</f>
        <v>NO</v>
      </c>
      <c r="AO119" s="983" t="str">
        <f>IFERROR(VLOOKUP(E119,'liquidaciones '!$B$2:$I$1048576,8,0),"")</f>
        <v/>
      </c>
      <c r="AP119" s="338">
        <v>41710</v>
      </c>
      <c r="AQ119" s="177" t="str">
        <f t="shared" ca="1" si="23"/>
        <v>NO</v>
      </c>
      <c r="AR119" s="177" t="s">
        <v>1574</v>
      </c>
      <c r="AS119" s="438"/>
      <c r="AT119" s="1015"/>
    </row>
    <row r="120" spans="1:46" ht="47.25" customHeight="1" x14ac:dyDescent="0.25">
      <c r="A120" s="15">
        <v>4</v>
      </c>
      <c r="B120" s="15">
        <v>114</v>
      </c>
      <c r="C120" s="442"/>
      <c r="D120" s="442" t="str">
        <f t="shared" si="13"/>
        <v>2013</v>
      </c>
      <c r="E120" s="142" t="s">
        <v>156</v>
      </c>
      <c r="F120" s="132" t="s">
        <v>53</v>
      </c>
      <c r="G120" s="133">
        <v>4831</v>
      </c>
      <c r="H120" s="132" t="s">
        <v>332</v>
      </c>
      <c r="I120" s="134">
        <v>13576000</v>
      </c>
      <c r="J120" s="134" t="s">
        <v>1088</v>
      </c>
      <c r="K120" s="135">
        <v>2013</v>
      </c>
      <c r="L120" s="551"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12"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4" t="s">
        <v>560</v>
      </c>
      <c r="AI120" s="174" t="s">
        <v>1320</v>
      </c>
      <c r="AJ120" s="173" t="s">
        <v>901</v>
      </c>
      <c r="AK120" s="181" t="str">
        <f t="shared" ca="1" si="22"/>
        <v>TERMINO</v>
      </c>
      <c r="AL120" s="181" t="s">
        <v>576</v>
      </c>
      <c r="AM120" s="176" t="s">
        <v>390</v>
      </c>
      <c r="AN120" s="875" t="str">
        <f>IFERROR(VLOOKUP(E120,'liquidaciones '!$B$2:$C$1048576,2,0),"NO")</f>
        <v>LIQUIDADO</v>
      </c>
      <c r="AO120" s="983">
        <f>IFERROR(VLOOKUP(E120,'liquidaciones '!$B$2:$I$1048576,8,0),"")</f>
        <v>0</v>
      </c>
      <c r="AP120" s="342">
        <v>42012</v>
      </c>
      <c r="AQ120" s="177" t="str">
        <f t="shared" ca="1" si="23"/>
        <v>NO</v>
      </c>
      <c r="AR120" s="177" t="s">
        <v>1574</v>
      </c>
      <c r="AS120" s="438"/>
      <c r="AT120" s="1015"/>
    </row>
    <row r="121" spans="1:46" ht="47.25" customHeight="1" x14ac:dyDescent="0.25">
      <c r="A121" s="15">
        <v>4</v>
      </c>
      <c r="B121" s="15">
        <v>115</v>
      </c>
      <c r="C121" s="442"/>
      <c r="D121" s="442" t="str">
        <f t="shared" si="13"/>
        <v>2013</v>
      </c>
      <c r="E121" s="142" t="s">
        <v>157</v>
      </c>
      <c r="F121" s="132" t="s">
        <v>158</v>
      </c>
      <c r="G121" s="133">
        <v>900090485</v>
      </c>
      <c r="H121" s="132" t="s">
        <v>473</v>
      </c>
      <c r="I121" s="134">
        <v>6499930</v>
      </c>
      <c r="J121" s="134" t="s">
        <v>1088</v>
      </c>
      <c r="K121" s="135">
        <v>2013</v>
      </c>
      <c r="L121" s="551"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5"/>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4"/>
      <c r="AI121" s="174"/>
      <c r="AJ121" s="173" t="s">
        <v>901</v>
      </c>
      <c r="AK121" s="181" t="str">
        <f t="shared" ca="1" si="22"/>
        <v>TERMINO</v>
      </c>
      <c r="AL121" s="181" t="s">
        <v>576</v>
      </c>
      <c r="AM121" s="176" t="s">
        <v>391</v>
      </c>
      <c r="AN121" s="875" t="str">
        <f>IFERROR(VLOOKUP(E121,'liquidaciones '!$B$2:$C$1048576,2,0),"NO")</f>
        <v>NO</v>
      </c>
      <c r="AO121" s="983" t="str">
        <f>IFERROR(VLOOKUP(E121,'liquidaciones '!$B$2:$I$1048576,8,0),"")</f>
        <v/>
      </c>
      <c r="AP121" s="338"/>
      <c r="AQ121" s="177" t="str">
        <f t="shared" ca="1" si="23"/>
        <v>NO</v>
      </c>
      <c r="AR121" s="177" t="s">
        <v>1574</v>
      </c>
      <c r="AS121" s="438"/>
      <c r="AT121" s="1015"/>
    </row>
    <row r="122" spans="1:46" ht="47.25" customHeight="1" x14ac:dyDescent="0.25">
      <c r="A122" s="15">
        <v>4</v>
      </c>
      <c r="B122" s="15">
        <v>116</v>
      </c>
      <c r="C122" s="442"/>
      <c r="D122" s="442" t="str">
        <f t="shared" si="13"/>
        <v>2013</v>
      </c>
      <c r="E122" s="142" t="s">
        <v>159</v>
      </c>
      <c r="F122" s="132" t="s">
        <v>160</v>
      </c>
      <c r="G122" s="143">
        <v>804002433</v>
      </c>
      <c r="H122" s="132" t="s">
        <v>474</v>
      </c>
      <c r="I122" s="134">
        <v>2367000</v>
      </c>
      <c r="J122" s="134" t="s">
        <v>1088</v>
      </c>
      <c r="K122" s="135">
        <v>2013</v>
      </c>
      <c r="L122" s="551"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5"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4"/>
      <c r="AI122" s="174"/>
      <c r="AJ122" s="173" t="s">
        <v>901</v>
      </c>
      <c r="AK122" s="181" t="str">
        <f t="shared" ca="1" si="22"/>
        <v>TERMINO</v>
      </c>
      <c r="AL122" s="181" t="s">
        <v>576</v>
      </c>
      <c r="AM122" s="176" t="s">
        <v>390</v>
      </c>
      <c r="AN122" s="875" t="str">
        <f>IFERROR(VLOOKUP(E122,'liquidaciones '!$B$2:$C$1048576,2,0),"NO")</f>
        <v>LIQUIDADO</v>
      </c>
      <c r="AO122" s="983">
        <f>IFERROR(VLOOKUP(E122,'liquidaciones '!$B$2:$I$1048576,8,0),"")</f>
        <v>0</v>
      </c>
      <c r="AP122" s="342">
        <v>41939</v>
      </c>
      <c r="AQ122" s="177" t="str">
        <f t="shared" ca="1" si="23"/>
        <v>NO</v>
      </c>
      <c r="AR122" s="177" t="s">
        <v>1574</v>
      </c>
      <c r="AS122" s="438"/>
      <c r="AT122" s="1015"/>
    </row>
    <row r="123" spans="1:46" ht="47.25" customHeight="1" x14ac:dyDescent="0.25">
      <c r="A123" s="15">
        <v>4</v>
      </c>
      <c r="B123" s="15">
        <v>117</v>
      </c>
      <c r="C123" s="442"/>
      <c r="D123" s="442" t="str">
        <f t="shared" si="13"/>
        <v>2013</v>
      </c>
      <c r="E123" s="142" t="s">
        <v>164</v>
      </c>
      <c r="F123" s="132" t="s">
        <v>165</v>
      </c>
      <c r="G123" s="133">
        <v>900629446</v>
      </c>
      <c r="H123" s="132" t="s">
        <v>1445</v>
      </c>
      <c r="I123" s="134">
        <v>269441460</v>
      </c>
      <c r="J123" s="134" t="s">
        <v>1088</v>
      </c>
      <c r="K123" s="135">
        <v>2013</v>
      </c>
      <c r="L123" s="551"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12"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4"/>
      <c r="AI123" s="174"/>
      <c r="AJ123" s="173" t="s">
        <v>903</v>
      </c>
      <c r="AK123" s="181" t="str">
        <f t="shared" ca="1" si="22"/>
        <v>TERMINO</v>
      </c>
      <c r="AL123" s="181" t="s">
        <v>574</v>
      </c>
      <c r="AM123" s="176" t="s">
        <v>390</v>
      </c>
      <c r="AN123" s="875" t="str">
        <f>IFERROR(VLOOKUP(E123,'liquidaciones '!$B$2:$C$1048576,2,0),"NO")</f>
        <v>NO</v>
      </c>
      <c r="AO123" s="983" t="str">
        <f>IFERROR(VLOOKUP(E123,'liquidaciones '!$B$2:$I$1048576,8,0),"")</f>
        <v/>
      </c>
      <c r="AP123" s="342">
        <v>42179</v>
      </c>
      <c r="AQ123" s="177" t="str">
        <f t="shared" ca="1" si="23"/>
        <v>NO</v>
      </c>
      <c r="AR123" s="177" t="s">
        <v>1574</v>
      </c>
      <c r="AS123" s="438"/>
      <c r="AT123" s="1015"/>
    </row>
    <row r="124" spans="1:46" ht="47.25" customHeight="1" x14ac:dyDescent="0.25">
      <c r="A124" s="15">
        <v>4</v>
      </c>
      <c r="B124" s="15">
        <v>118</v>
      </c>
      <c r="C124" s="442"/>
      <c r="D124" s="442" t="str">
        <f t="shared" si="13"/>
        <v>2013</v>
      </c>
      <c r="E124" s="139" t="s">
        <v>190</v>
      </c>
      <c r="F124" s="132" t="s">
        <v>29</v>
      </c>
      <c r="G124" s="133">
        <v>860536029</v>
      </c>
      <c r="H124" s="132" t="s">
        <v>404</v>
      </c>
      <c r="I124" s="140">
        <v>840000</v>
      </c>
      <c r="J124" s="134" t="s">
        <v>1088</v>
      </c>
      <c r="K124" s="157">
        <v>2013</v>
      </c>
      <c r="L124" s="551"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12"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4"/>
      <c r="AI124" s="174"/>
      <c r="AJ124" s="173" t="s">
        <v>901</v>
      </c>
      <c r="AK124" s="181" t="str">
        <f t="shared" ca="1" si="22"/>
        <v>TERMINO</v>
      </c>
      <c r="AL124" s="181" t="s">
        <v>582</v>
      </c>
      <c r="AM124" s="176" t="s">
        <v>390</v>
      </c>
      <c r="AN124" s="875" t="str">
        <f>IFERROR(VLOOKUP(E124,'liquidaciones '!$B$2:$C$1048576,2,0),"NO")</f>
        <v>NO</v>
      </c>
      <c r="AO124" s="983" t="str">
        <f>IFERROR(VLOOKUP(E124,'liquidaciones '!$B$2:$I$1048576,8,0),"")</f>
        <v/>
      </c>
      <c r="AP124" s="342">
        <v>42152</v>
      </c>
      <c r="AQ124" s="177" t="str">
        <f t="shared" ca="1" si="23"/>
        <v>NO</v>
      </c>
      <c r="AR124" s="177" t="s">
        <v>1574</v>
      </c>
      <c r="AS124" s="438"/>
      <c r="AT124" s="1015"/>
    </row>
    <row r="125" spans="1:46" ht="47.25" customHeight="1" x14ac:dyDescent="0.25">
      <c r="A125" s="15">
        <v>4</v>
      </c>
      <c r="B125" s="15">
        <v>119</v>
      </c>
      <c r="C125" s="442"/>
      <c r="D125" s="442" t="str">
        <f t="shared" si="13"/>
        <v>2013</v>
      </c>
      <c r="E125" s="142" t="s">
        <v>166</v>
      </c>
      <c r="F125" s="132" t="s">
        <v>1025</v>
      </c>
      <c r="G125" s="143">
        <v>80199707</v>
      </c>
      <c r="H125" s="132" t="s">
        <v>333</v>
      </c>
      <c r="I125" s="134">
        <v>38271000</v>
      </c>
      <c r="J125" s="134" t="s">
        <v>1088</v>
      </c>
      <c r="K125" s="135">
        <v>2013</v>
      </c>
      <c r="L125" s="551"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12"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4" t="s">
        <v>560</v>
      </c>
      <c r="AI125" s="174"/>
      <c r="AJ125" s="173" t="s">
        <v>901</v>
      </c>
      <c r="AK125" s="181" t="str">
        <f t="shared" ca="1" si="22"/>
        <v>TERMINO</v>
      </c>
      <c r="AL125" s="181" t="s">
        <v>576</v>
      </c>
      <c r="AM125" s="176" t="s">
        <v>390</v>
      </c>
      <c r="AN125" s="875" t="str">
        <f>IFERROR(VLOOKUP(E125,'liquidaciones '!$B$2:$C$1048576,2,0),"NO")</f>
        <v>LIQUIDADO</v>
      </c>
      <c r="AO125" s="983">
        <f>IFERROR(VLOOKUP(E125,'liquidaciones '!$B$2:$I$1048576,8,0),"")</f>
        <v>0</v>
      </c>
      <c r="AP125" s="342">
        <v>42011</v>
      </c>
      <c r="AQ125" s="177" t="str">
        <f t="shared" ca="1" si="23"/>
        <v>NO</v>
      </c>
      <c r="AR125" s="177" t="s">
        <v>1574</v>
      </c>
      <c r="AS125" s="438"/>
      <c r="AT125" s="1015"/>
    </row>
    <row r="126" spans="1:46" ht="47.25" customHeight="1" x14ac:dyDescent="0.25">
      <c r="A126" s="15">
        <v>4</v>
      </c>
      <c r="B126" s="15">
        <v>120</v>
      </c>
      <c r="C126" s="442"/>
      <c r="D126" s="442" t="str">
        <f t="shared" si="13"/>
        <v>2013</v>
      </c>
      <c r="E126" s="139" t="s">
        <v>175</v>
      </c>
      <c r="F126" s="132" t="s">
        <v>176</v>
      </c>
      <c r="G126" s="143">
        <v>890903407</v>
      </c>
      <c r="H126" s="132" t="s">
        <v>475</v>
      </c>
      <c r="I126" s="140">
        <v>4001000</v>
      </c>
      <c r="J126" s="134" t="s">
        <v>1088</v>
      </c>
      <c r="K126" s="157">
        <v>2013</v>
      </c>
      <c r="L126" s="551"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5" t="s">
        <v>1403</v>
      </c>
      <c r="Y126" s="42">
        <f t="shared" si="17"/>
        <v>1</v>
      </c>
      <c r="Z126" s="42">
        <f t="shared" ca="1" si="18"/>
        <v>1</v>
      </c>
      <c r="AA126" s="43">
        <f t="shared" ca="1" si="19"/>
        <v>0</v>
      </c>
      <c r="AB126" s="202" t="str">
        <f t="shared" ca="1" si="20"/>
        <v/>
      </c>
      <c r="AC126" s="44" t="str">
        <f t="shared" si="21"/>
        <v>SI</v>
      </c>
      <c r="AD126" s="44"/>
      <c r="AE126" s="173" t="s">
        <v>1257</v>
      </c>
      <c r="AF126" s="304" t="s">
        <v>1513</v>
      </c>
      <c r="AG126" s="173"/>
      <c r="AH126" s="284" t="s">
        <v>559</v>
      </c>
      <c r="AI126" s="174" t="s">
        <v>1391</v>
      </c>
      <c r="AJ126" s="173" t="s">
        <v>901</v>
      </c>
      <c r="AK126" s="181" t="str">
        <f t="shared" ca="1" si="22"/>
        <v>TERMINO</v>
      </c>
      <c r="AL126" s="181" t="s">
        <v>576</v>
      </c>
      <c r="AM126" s="176" t="s">
        <v>390</v>
      </c>
      <c r="AN126" s="875" t="str">
        <f>IFERROR(VLOOKUP(E126,'liquidaciones '!$B$2:$C$1048576,2,0),"NO")</f>
        <v>LIQUIDADO</v>
      </c>
      <c r="AO126" s="983">
        <f>IFERROR(VLOOKUP(E126,'liquidaciones '!$B$2:$I$1048576,8,0),"")</f>
        <v>0</v>
      </c>
      <c r="AP126" s="342"/>
      <c r="AQ126" s="177" t="str">
        <f t="shared" ca="1" si="23"/>
        <v>NO</v>
      </c>
      <c r="AR126" s="177"/>
      <c r="AS126" s="438"/>
      <c r="AT126" s="1015"/>
    </row>
    <row r="127" spans="1:46" ht="47.25" customHeight="1" x14ac:dyDescent="0.25">
      <c r="A127" s="15">
        <v>4</v>
      </c>
      <c r="B127" s="15">
        <v>121</v>
      </c>
      <c r="C127" s="442"/>
      <c r="D127" s="442" t="str">
        <f t="shared" si="13"/>
        <v>2013</v>
      </c>
      <c r="E127" s="139" t="s">
        <v>197</v>
      </c>
      <c r="F127" s="155" t="s">
        <v>198</v>
      </c>
      <c r="G127" s="133">
        <v>900268429</v>
      </c>
      <c r="H127" s="132" t="s">
        <v>476</v>
      </c>
      <c r="I127" s="140">
        <v>10222000</v>
      </c>
      <c r="J127" s="134" t="s">
        <v>1088</v>
      </c>
      <c r="K127" s="157">
        <v>2013</v>
      </c>
      <c r="L127" s="551"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5"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4"/>
      <c r="AI127" s="174"/>
      <c r="AJ127" s="173" t="s">
        <v>901</v>
      </c>
      <c r="AK127" s="181" t="str">
        <f t="shared" ca="1" si="22"/>
        <v>TERMINO</v>
      </c>
      <c r="AL127" s="181" t="s">
        <v>576</v>
      </c>
      <c r="AM127" s="176" t="s">
        <v>390</v>
      </c>
      <c r="AN127" s="875" t="str">
        <f>IFERROR(VLOOKUP(E127,'liquidaciones '!$B$2:$C$1048576,2,0),"NO")</f>
        <v>LIQUIDADO</v>
      </c>
      <c r="AO127" s="983">
        <f>IFERROR(VLOOKUP(E127,'liquidaciones '!$B$2:$I$1048576,8,0),"")</f>
        <v>0</v>
      </c>
      <c r="AP127" s="342">
        <v>41975</v>
      </c>
      <c r="AQ127" s="177" t="str">
        <f t="shared" ca="1" si="23"/>
        <v>NO</v>
      </c>
      <c r="AR127" s="177" t="s">
        <v>983</v>
      </c>
      <c r="AS127" s="438"/>
      <c r="AT127" s="1015"/>
    </row>
    <row r="128" spans="1:46" ht="54" customHeight="1" x14ac:dyDescent="0.25">
      <c r="A128" s="15">
        <v>4</v>
      </c>
      <c r="B128" s="15">
        <v>122</v>
      </c>
      <c r="C128" s="442"/>
      <c r="D128" s="442" t="str">
        <f t="shared" si="13"/>
        <v>2013</v>
      </c>
      <c r="E128" s="142" t="s">
        <v>167</v>
      </c>
      <c r="F128" s="132" t="s">
        <v>1516</v>
      </c>
      <c r="G128" s="133">
        <v>80117116</v>
      </c>
      <c r="H128" s="132" t="s">
        <v>361</v>
      </c>
      <c r="I128" s="134">
        <v>23989000</v>
      </c>
      <c r="J128" s="134" t="s">
        <v>1088</v>
      </c>
      <c r="K128" s="135">
        <v>2013</v>
      </c>
      <c r="L128" s="551"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12"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4" t="s">
        <v>564</v>
      </c>
      <c r="AI128" s="174"/>
      <c r="AJ128" s="173" t="s">
        <v>901</v>
      </c>
      <c r="AK128" s="181" t="str">
        <f t="shared" ca="1" si="22"/>
        <v>TERMINO</v>
      </c>
      <c r="AL128" s="181" t="s">
        <v>582</v>
      </c>
      <c r="AM128" s="176" t="s">
        <v>391</v>
      </c>
      <c r="AN128" s="875" t="str">
        <f>IFERROR(VLOOKUP(E128,'liquidaciones '!$B$2:$C$1048576,2,0),"NO")</f>
        <v>NO</v>
      </c>
      <c r="AO128" s="983" t="str">
        <f>IFERROR(VLOOKUP(E128,'liquidaciones '!$B$2:$I$1048576,8,0),"")</f>
        <v/>
      </c>
      <c r="AP128" s="338">
        <v>41708</v>
      </c>
      <c r="AQ128" s="177" t="str">
        <f t="shared" ca="1" si="23"/>
        <v>NO</v>
      </c>
      <c r="AR128" s="177" t="s">
        <v>981</v>
      </c>
      <c r="AS128" s="438"/>
      <c r="AT128" s="1015"/>
    </row>
    <row r="129" spans="1:46" ht="47.25" customHeight="1" x14ac:dyDescent="0.25">
      <c r="A129" s="15">
        <v>4</v>
      </c>
      <c r="B129" s="15">
        <v>123</v>
      </c>
      <c r="C129" s="442"/>
      <c r="D129" s="442" t="str">
        <f t="shared" si="13"/>
        <v>2013</v>
      </c>
      <c r="E129" s="139" t="s">
        <v>178</v>
      </c>
      <c r="F129" s="132" t="s">
        <v>33</v>
      </c>
      <c r="G129" s="133">
        <v>860509265</v>
      </c>
      <c r="H129" s="132" t="s">
        <v>477</v>
      </c>
      <c r="I129" s="160">
        <v>795000</v>
      </c>
      <c r="J129" s="134" t="s">
        <v>1088</v>
      </c>
      <c r="K129" s="157">
        <v>2013</v>
      </c>
      <c r="L129" s="551"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12"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4"/>
      <c r="AI129" s="174"/>
      <c r="AJ129" s="173" t="s">
        <v>901</v>
      </c>
      <c r="AK129" s="181" t="str">
        <f t="shared" ca="1" si="22"/>
        <v>TERMINO</v>
      </c>
      <c r="AL129" s="181" t="s">
        <v>582</v>
      </c>
      <c r="AM129" s="176" t="s">
        <v>390</v>
      </c>
      <c r="AN129" s="875" t="str">
        <f>IFERROR(VLOOKUP(E129,'liquidaciones '!$B$2:$C$1048576,2,0),"NO")</f>
        <v>NO</v>
      </c>
      <c r="AO129" s="983" t="str">
        <f>IFERROR(VLOOKUP(E129,'liquidaciones '!$B$2:$I$1048576,8,0),"")</f>
        <v/>
      </c>
      <c r="AP129" s="342">
        <v>42307</v>
      </c>
      <c r="AQ129" s="177" t="str">
        <f t="shared" ca="1" si="23"/>
        <v>NO</v>
      </c>
      <c r="AR129" s="177" t="s">
        <v>1511</v>
      </c>
      <c r="AS129" s="438"/>
      <c r="AT129" s="1015"/>
    </row>
    <row r="130" spans="1:46" ht="47.25" customHeight="1" x14ac:dyDescent="0.25">
      <c r="A130" s="15">
        <v>4</v>
      </c>
      <c r="B130" s="15">
        <v>124</v>
      </c>
      <c r="C130" s="442"/>
      <c r="D130" s="442" t="str">
        <f t="shared" si="13"/>
        <v>2013</v>
      </c>
      <c r="E130" s="139" t="s">
        <v>189</v>
      </c>
      <c r="F130" s="132" t="s">
        <v>13</v>
      </c>
      <c r="G130" s="133">
        <v>860007590</v>
      </c>
      <c r="H130" s="132" t="s">
        <v>478</v>
      </c>
      <c r="I130" s="140">
        <v>936000</v>
      </c>
      <c r="J130" s="134" t="s">
        <v>1088</v>
      </c>
      <c r="K130" s="157">
        <v>2013</v>
      </c>
      <c r="L130" s="551"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12"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4"/>
      <c r="AI130" s="174"/>
      <c r="AJ130" s="173" t="s">
        <v>901</v>
      </c>
      <c r="AK130" s="181" t="str">
        <f t="shared" ca="1" si="22"/>
        <v>TERMINO</v>
      </c>
      <c r="AL130" s="181" t="s">
        <v>582</v>
      </c>
      <c r="AM130" s="176" t="s">
        <v>390</v>
      </c>
      <c r="AN130" s="875" t="str">
        <f>IFERROR(VLOOKUP(E130,'liquidaciones '!$B$2:$C$1048576,2,0),"NO")</f>
        <v>NO</v>
      </c>
      <c r="AO130" s="983" t="str">
        <f>IFERROR(VLOOKUP(E130,'liquidaciones '!$B$2:$I$1048576,8,0),"")</f>
        <v/>
      </c>
      <c r="AP130" s="342"/>
      <c r="AQ130" s="177" t="str">
        <f t="shared" ca="1" si="23"/>
        <v>NO</v>
      </c>
      <c r="AR130" s="177" t="s">
        <v>1511</v>
      </c>
      <c r="AS130" s="438"/>
      <c r="AT130" s="1015"/>
    </row>
    <row r="131" spans="1:46" ht="47.25" customHeight="1" x14ac:dyDescent="0.25">
      <c r="A131" s="15">
        <v>4</v>
      </c>
      <c r="B131" s="15">
        <v>125</v>
      </c>
      <c r="C131" s="442"/>
      <c r="D131" s="442" t="str">
        <f t="shared" si="13"/>
        <v>2013</v>
      </c>
      <c r="E131" s="142" t="s">
        <v>168</v>
      </c>
      <c r="F131" s="132" t="s">
        <v>169</v>
      </c>
      <c r="G131" s="133">
        <v>1016050827</v>
      </c>
      <c r="H131" s="132" t="s">
        <v>362</v>
      </c>
      <c r="I131" s="140">
        <v>3847300</v>
      </c>
      <c r="J131" s="134" t="s">
        <v>1088</v>
      </c>
      <c r="K131" s="135">
        <v>2013</v>
      </c>
      <c r="L131" s="551"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5"/>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4" t="s">
        <v>562</v>
      </c>
      <c r="AI131" s="308" t="s">
        <v>1474</v>
      </c>
      <c r="AJ131" s="173" t="s">
        <v>901</v>
      </c>
      <c r="AK131" s="181" t="str">
        <f t="shared" ca="1" si="22"/>
        <v>TERMINO</v>
      </c>
      <c r="AL131" s="181" t="s">
        <v>576</v>
      </c>
      <c r="AM131" s="176" t="s">
        <v>390</v>
      </c>
      <c r="AN131" s="875" t="str">
        <f>IFERROR(VLOOKUP(E131,'liquidaciones '!$B$2:$C$1048576,2,0),"NO")</f>
        <v>EN TRÁMITE</v>
      </c>
      <c r="AO131" s="983">
        <f>IFERROR(VLOOKUP(E131,'liquidaciones '!$B$2:$I$1048576,8,0),"")</f>
        <v>0</v>
      </c>
      <c r="AP131" s="342"/>
      <c r="AQ131" s="177" t="str">
        <f t="shared" ca="1" si="23"/>
        <v>NO</v>
      </c>
      <c r="AR131" s="177" t="s">
        <v>1166</v>
      </c>
      <c r="AS131" s="438"/>
      <c r="AT131" s="1015"/>
    </row>
    <row r="132" spans="1:46" ht="47.25" customHeight="1" x14ac:dyDescent="0.25">
      <c r="A132" s="15">
        <v>4</v>
      </c>
      <c r="B132" s="15">
        <v>126</v>
      </c>
      <c r="C132" s="442"/>
      <c r="D132" s="442" t="str">
        <f t="shared" si="13"/>
        <v>2013</v>
      </c>
      <c r="E132" s="139" t="s">
        <v>172</v>
      </c>
      <c r="F132" s="132" t="s">
        <v>152</v>
      </c>
      <c r="G132" s="133">
        <v>800015583</v>
      </c>
      <c r="H132" s="132" t="s">
        <v>364</v>
      </c>
      <c r="I132" s="160">
        <v>46411000</v>
      </c>
      <c r="J132" s="134" t="s">
        <v>1088</v>
      </c>
      <c r="K132" s="157">
        <v>2013</v>
      </c>
      <c r="L132" s="551"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5"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4" t="s">
        <v>560</v>
      </c>
      <c r="AI132" s="174"/>
      <c r="AJ132" s="173" t="s">
        <v>901</v>
      </c>
      <c r="AK132" s="181" t="str">
        <f t="shared" ca="1" si="22"/>
        <v>TERMINO</v>
      </c>
      <c r="AL132" s="181" t="s">
        <v>921</v>
      </c>
      <c r="AM132" s="176" t="s">
        <v>390</v>
      </c>
      <c r="AN132" s="875" t="str">
        <f>IFERROR(VLOOKUP(E132,'liquidaciones '!$B$2:$C$1048576,2,0),"NO")</f>
        <v>NO</v>
      </c>
      <c r="AO132" s="983" t="str">
        <f>IFERROR(VLOOKUP(E132,'liquidaciones '!$B$2:$I$1048576,8,0),"")</f>
        <v/>
      </c>
      <c r="AP132" s="342"/>
      <c r="AQ132" s="177" t="str">
        <f t="shared" ca="1" si="23"/>
        <v>NO</v>
      </c>
      <c r="AR132" s="177" t="s">
        <v>1574</v>
      </c>
      <c r="AS132" s="438"/>
      <c r="AT132" s="1015"/>
    </row>
    <row r="133" spans="1:46" ht="47.25" customHeight="1" x14ac:dyDescent="0.25">
      <c r="A133" s="15">
        <v>4</v>
      </c>
      <c r="B133" s="15">
        <v>127</v>
      </c>
      <c r="C133" s="442"/>
      <c r="D133" s="442" t="str">
        <f t="shared" si="13"/>
        <v>2013</v>
      </c>
      <c r="E133" s="139" t="s">
        <v>173</v>
      </c>
      <c r="F133" s="132" t="s">
        <v>174</v>
      </c>
      <c r="G133" s="133">
        <v>830047489</v>
      </c>
      <c r="H133" s="132" t="s">
        <v>365</v>
      </c>
      <c r="I133" s="140">
        <v>4393120</v>
      </c>
      <c r="J133" s="134" t="s">
        <v>1088</v>
      </c>
      <c r="K133" s="157">
        <v>2013</v>
      </c>
      <c r="L133" s="551"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5"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4" t="s">
        <v>560</v>
      </c>
      <c r="AI133" s="174" t="s">
        <v>1381</v>
      </c>
      <c r="AJ133" s="173" t="s">
        <v>901</v>
      </c>
      <c r="AK133" s="181" t="str">
        <f t="shared" ca="1" si="22"/>
        <v>TERMINO</v>
      </c>
      <c r="AL133" s="181" t="s">
        <v>576</v>
      </c>
      <c r="AM133" s="176" t="s">
        <v>390</v>
      </c>
      <c r="AN133" s="875" t="str">
        <f>IFERROR(VLOOKUP(E133,'liquidaciones '!$B$2:$C$1048576,2,0),"NO")</f>
        <v>LIQUIDADO</v>
      </c>
      <c r="AO133" s="983">
        <f>IFERROR(VLOOKUP(E133,'liquidaciones '!$B$2:$I$1048576,8,0),"")</f>
        <v>0</v>
      </c>
      <c r="AP133" s="342">
        <v>42025</v>
      </c>
      <c r="AQ133" s="177" t="str">
        <f t="shared" ca="1" si="23"/>
        <v>NO</v>
      </c>
      <c r="AR133" s="177" t="s">
        <v>1056</v>
      </c>
      <c r="AS133" s="438"/>
      <c r="AT133" s="1015"/>
    </row>
    <row r="134" spans="1:46" ht="47.25" customHeight="1" x14ac:dyDescent="0.25">
      <c r="A134" s="15">
        <v>4</v>
      </c>
      <c r="B134" s="15">
        <v>128</v>
      </c>
      <c r="C134" s="442"/>
      <c r="D134" s="442" t="str">
        <f t="shared" si="13"/>
        <v>2013</v>
      </c>
      <c r="E134" s="139" t="s">
        <v>187</v>
      </c>
      <c r="F134" s="132" t="s">
        <v>188</v>
      </c>
      <c r="G134" s="143">
        <v>900055635</v>
      </c>
      <c r="H134" s="132" t="s">
        <v>479</v>
      </c>
      <c r="I134" s="140">
        <v>16804000</v>
      </c>
      <c r="J134" s="134" t="s">
        <v>1088</v>
      </c>
      <c r="K134" s="157">
        <v>2013</v>
      </c>
      <c r="L134" s="551"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12"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4" t="s">
        <v>560</v>
      </c>
      <c r="AI134" s="174" t="s">
        <v>1320</v>
      </c>
      <c r="AJ134" s="173" t="s">
        <v>901</v>
      </c>
      <c r="AK134" s="181" t="str">
        <f t="shared" ca="1" si="22"/>
        <v>TERMINO</v>
      </c>
      <c r="AL134" s="181" t="s">
        <v>576</v>
      </c>
      <c r="AM134" s="176" t="s">
        <v>390</v>
      </c>
      <c r="AN134" s="875" t="str">
        <f>IFERROR(VLOOKUP(E134,'liquidaciones '!$B$2:$C$1048576,2,0),"NO")</f>
        <v>EN TRÁMITE</v>
      </c>
      <c r="AO134" s="983">
        <f>IFERROR(VLOOKUP(E134,'liquidaciones '!$B$2:$I$1048576,8,0),"")</f>
        <v>0</v>
      </c>
      <c r="AP134" s="342"/>
      <c r="AQ134" s="177" t="str">
        <f t="shared" ca="1" si="23"/>
        <v>NO</v>
      </c>
      <c r="AR134" s="177" t="s">
        <v>1573</v>
      </c>
      <c r="AS134" s="438"/>
      <c r="AT134" s="1015"/>
    </row>
    <row r="135" spans="1:46" ht="47.25" customHeight="1" x14ac:dyDescent="0.25">
      <c r="A135" s="15">
        <v>4</v>
      </c>
      <c r="B135" s="15">
        <v>129</v>
      </c>
      <c r="C135" s="442"/>
      <c r="D135" s="442" t="str">
        <f t="shared" ref="D135:D198" si="25">K135&amp;C135</f>
        <v>2013</v>
      </c>
      <c r="E135" s="139" t="s">
        <v>183</v>
      </c>
      <c r="F135" s="132" t="s">
        <v>184</v>
      </c>
      <c r="G135" s="133">
        <v>800230639</v>
      </c>
      <c r="H135" s="132" t="s">
        <v>480</v>
      </c>
      <c r="I135" s="140">
        <v>86923131</v>
      </c>
      <c r="J135" s="134" t="s">
        <v>1088</v>
      </c>
      <c r="K135" s="157">
        <v>2013</v>
      </c>
      <c r="L135" s="551"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5"/>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4" t="s">
        <v>1167</v>
      </c>
      <c r="AG135" s="173" t="s">
        <v>1440</v>
      </c>
      <c r="AH135" s="284" t="s">
        <v>560</v>
      </c>
      <c r="AI135" s="174"/>
      <c r="AJ135" s="173" t="s">
        <v>904</v>
      </c>
      <c r="AK135" s="181" t="str">
        <f t="shared" ref="AK135:AK198" ca="1" si="34">IF(T135&gt;=$F$3,"EN EJECUCIÓN","TERMINO")</f>
        <v>TERMINO</v>
      </c>
      <c r="AL135" s="181" t="s">
        <v>576</v>
      </c>
      <c r="AM135" s="176" t="s">
        <v>390</v>
      </c>
      <c r="AN135" s="875" t="str">
        <f>IFERROR(VLOOKUP(E135,'liquidaciones '!$B$2:$C$1048576,2,0),"NO")</f>
        <v>EN TRÁMITE</v>
      </c>
      <c r="AO135" s="983">
        <f>IFERROR(VLOOKUP(E135,'liquidaciones '!$B$2:$I$1048576,8,0),"")</f>
        <v>0</v>
      </c>
      <c r="AP135" s="342"/>
      <c r="AQ135" s="177" t="str">
        <f t="shared" ca="1" si="23"/>
        <v>NO</v>
      </c>
      <c r="AR135" s="177" t="s">
        <v>1995</v>
      </c>
      <c r="AS135" s="438"/>
      <c r="AT135" s="1015"/>
    </row>
    <row r="136" spans="1:46" ht="47.25" customHeight="1" x14ac:dyDescent="0.25">
      <c r="A136" s="15">
        <v>4</v>
      </c>
      <c r="B136" s="15">
        <v>130</v>
      </c>
      <c r="C136" s="442"/>
      <c r="D136" s="442" t="str">
        <f t="shared" si="25"/>
        <v>2013</v>
      </c>
      <c r="E136" s="139" t="s">
        <v>185</v>
      </c>
      <c r="F136" s="132" t="s">
        <v>186</v>
      </c>
      <c r="G136" s="143">
        <v>800039398</v>
      </c>
      <c r="H136" s="132" t="s">
        <v>481</v>
      </c>
      <c r="I136" s="140">
        <v>45056000</v>
      </c>
      <c r="J136" s="134" t="s">
        <v>1088</v>
      </c>
      <c r="K136" s="157">
        <v>2013</v>
      </c>
      <c r="L136" s="551"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5"/>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4" t="s">
        <v>560</v>
      </c>
      <c r="AI136" s="174"/>
      <c r="AJ136" s="173" t="s">
        <v>901</v>
      </c>
      <c r="AK136" s="181" t="str">
        <f t="shared" ca="1" si="34"/>
        <v>TERMINO</v>
      </c>
      <c r="AL136" s="173" t="s">
        <v>575</v>
      </c>
      <c r="AM136" s="176" t="s">
        <v>390</v>
      </c>
      <c r="AN136" s="875" t="str">
        <f>IFERROR(VLOOKUP(E136,'liquidaciones '!$B$2:$C$1048576,2,0),"NO")</f>
        <v>LIQUIDADO</v>
      </c>
      <c r="AO136" s="983">
        <f>IFERROR(VLOOKUP(E136,'liquidaciones '!$B$2:$I$1048576,8,0),"")</f>
        <v>0</v>
      </c>
      <c r="AP136" s="342">
        <v>42004</v>
      </c>
      <c r="AQ136" s="177" t="str">
        <f t="shared" ca="1" si="23"/>
        <v>NO</v>
      </c>
      <c r="AR136" s="177" t="s">
        <v>981</v>
      </c>
      <c r="AS136" s="438"/>
      <c r="AT136" s="1015"/>
    </row>
    <row r="137" spans="1:46" ht="47.25" customHeight="1" x14ac:dyDescent="0.25">
      <c r="A137" s="15">
        <v>4</v>
      </c>
      <c r="B137" s="15">
        <v>131</v>
      </c>
      <c r="C137" s="442"/>
      <c r="D137" s="442" t="str">
        <f t="shared" si="25"/>
        <v>2013</v>
      </c>
      <c r="E137" s="161" t="s">
        <v>195</v>
      </c>
      <c r="F137" s="132" t="s">
        <v>1037</v>
      </c>
      <c r="G137" s="133">
        <v>860066942</v>
      </c>
      <c r="H137" s="132" t="s">
        <v>482</v>
      </c>
      <c r="I137" s="140">
        <v>76223000</v>
      </c>
      <c r="J137" s="134" t="s">
        <v>1088</v>
      </c>
      <c r="K137" s="157">
        <v>2013</v>
      </c>
      <c r="L137" s="551"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5"/>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4" t="s">
        <v>560</v>
      </c>
      <c r="AI137" s="174"/>
      <c r="AJ137" s="173" t="s">
        <v>901</v>
      </c>
      <c r="AK137" s="181" t="str">
        <f t="shared" ca="1" si="34"/>
        <v>TERMINO</v>
      </c>
      <c r="AL137" s="181" t="s">
        <v>574</v>
      </c>
      <c r="AM137" s="176" t="s">
        <v>390</v>
      </c>
      <c r="AN137" s="875" t="str">
        <f>IFERROR(VLOOKUP(E137,'liquidaciones '!$B$2:$C$1048576,2,0),"NO")</f>
        <v>LIQUIDADO</v>
      </c>
      <c r="AO137" s="983">
        <f>IFERROR(VLOOKUP(E137,'liquidaciones '!$B$2:$I$1048576,8,0),"")</f>
        <v>0</v>
      </c>
      <c r="AP137" s="342">
        <v>42004</v>
      </c>
      <c r="AQ137" s="177" t="str">
        <f t="shared" ca="1" si="23"/>
        <v>NO</v>
      </c>
      <c r="AR137" s="177" t="s">
        <v>983</v>
      </c>
      <c r="AS137" s="438"/>
      <c r="AT137" s="1015"/>
    </row>
    <row r="138" spans="1:46" ht="47.25" customHeight="1" x14ac:dyDescent="0.25">
      <c r="A138" s="15">
        <v>4</v>
      </c>
      <c r="B138" s="15">
        <v>132</v>
      </c>
      <c r="C138" s="442"/>
      <c r="D138" s="442" t="str">
        <f t="shared" si="25"/>
        <v>2013</v>
      </c>
      <c r="E138" s="139" t="s">
        <v>191</v>
      </c>
      <c r="F138" s="132" t="s">
        <v>192</v>
      </c>
      <c r="G138" s="143">
        <v>800105847</v>
      </c>
      <c r="H138" s="132" t="s">
        <v>483</v>
      </c>
      <c r="I138" s="140">
        <v>4715000</v>
      </c>
      <c r="J138" s="134" t="s">
        <v>1088</v>
      </c>
      <c r="K138" s="157">
        <v>2013</v>
      </c>
      <c r="L138" s="551"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12"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4" t="s">
        <v>560</v>
      </c>
      <c r="AI138" s="174" t="s">
        <v>1381</v>
      </c>
      <c r="AJ138" s="173" t="s">
        <v>901</v>
      </c>
      <c r="AK138" s="181" t="str">
        <f t="shared" ca="1" si="34"/>
        <v>TERMINO</v>
      </c>
      <c r="AL138" s="181" t="s">
        <v>576</v>
      </c>
      <c r="AM138" s="176" t="s">
        <v>390</v>
      </c>
      <c r="AN138" s="875" t="str">
        <f>IFERROR(VLOOKUP(E138,'liquidaciones '!$B$2:$C$1048576,2,0),"NO")</f>
        <v>NO</v>
      </c>
      <c r="AO138" s="983" t="str">
        <f>IFERROR(VLOOKUP(E138,'liquidaciones '!$B$2:$I$1048576,8,0),"")</f>
        <v/>
      </c>
      <c r="AP138" s="338">
        <v>41900</v>
      </c>
      <c r="AQ138" s="177" t="str">
        <f t="shared" ca="1" si="23"/>
        <v>NO</v>
      </c>
      <c r="AR138" s="177" t="s">
        <v>1152</v>
      </c>
      <c r="AS138" s="438"/>
      <c r="AT138" s="1015"/>
    </row>
    <row r="139" spans="1:46" ht="47.25" customHeight="1" x14ac:dyDescent="0.25">
      <c r="A139" s="15">
        <v>4</v>
      </c>
      <c r="B139" s="15">
        <v>133</v>
      </c>
      <c r="C139" s="442"/>
      <c r="D139" s="442" t="str">
        <f t="shared" si="25"/>
        <v>2013</v>
      </c>
      <c r="E139" s="347" t="s">
        <v>199</v>
      </c>
      <c r="F139" s="132" t="s">
        <v>1038</v>
      </c>
      <c r="G139" s="133">
        <v>899999230</v>
      </c>
      <c r="H139" s="132" t="s">
        <v>484</v>
      </c>
      <c r="I139" s="140">
        <v>457000000</v>
      </c>
      <c r="J139" s="134" t="s">
        <v>1088</v>
      </c>
      <c r="K139" s="157">
        <v>2013</v>
      </c>
      <c r="L139" s="551"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5"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4" t="s">
        <v>560</v>
      </c>
      <c r="AI139" s="174" t="s">
        <v>1387</v>
      </c>
      <c r="AJ139" s="173" t="s">
        <v>901</v>
      </c>
      <c r="AK139" s="181" t="str">
        <f t="shared" ca="1" si="34"/>
        <v>TERMINO</v>
      </c>
      <c r="AL139" s="181" t="s">
        <v>582</v>
      </c>
      <c r="AM139" s="176" t="s">
        <v>390</v>
      </c>
      <c r="AN139" s="875" t="str">
        <f>IFERROR(VLOOKUP(E139,'liquidaciones '!$B$2:$C$1048576,2,0),"NO")</f>
        <v>LIQUIDADO</v>
      </c>
      <c r="AO139" s="983">
        <f>IFERROR(VLOOKUP(E139,'liquidaciones '!$B$2:$I$1048576,8,0),"")</f>
        <v>0</v>
      </c>
      <c r="AP139" s="342">
        <v>42094</v>
      </c>
      <c r="AQ139" s="177" t="str">
        <f t="shared" ca="1" si="23"/>
        <v>NO</v>
      </c>
      <c r="AR139" s="177" t="s">
        <v>982</v>
      </c>
      <c r="AS139" s="438"/>
      <c r="AT139" s="1015"/>
    </row>
    <row r="140" spans="1:46" ht="47.25" customHeight="1" x14ac:dyDescent="0.25">
      <c r="A140" s="15">
        <v>4</v>
      </c>
      <c r="B140" s="15">
        <v>134</v>
      </c>
      <c r="C140" s="442"/>
      <c r="D140" s="442" t="str">
        <f t="shared" si="25"/>
        <v>2013</v>
      </c>
      <c r="E140" s="139" t="s">
        <v>177</v>
      </c>
      <c r="F140" s="132" t="s">
        <v>1039</v>
      </c>
      <c r="G140" s="133">
        <v>900207129</v>
      </c>
      <c r="H140" s="132" t="s">
        <v>485</v>
      </c>
      <c r="I140" s="160">
        <v>3356320</v>
      </c>
      <c r="J140" s="134" t="s">
        <v>1088</v>
      </c>
      <c r="K140" s="157">
        <v>2013</v>
      </c>
      <c r="L140" s="551"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12"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4"/>
      <c r="AI140" s="174"/>
      <c r="AJ140" s="173" t="s">
        <v>901</v>
      </c>
      <c r="AK140" s="181" t="str">
        <f t="shared" ca="1" si="34"/>
        <v>TERMINO</v>
      </c>
      <c r="AL140" s="181" t="s">
        <v>576</v>
      </c>
      <c r="AM140" s="176" t="s">
        <v>390</v>
      </c>
      <c r="AN140" s="875" t="str">
        <f>IFERROR(VLOOKUP(E140,'liquidaciones '!$B$2:$C$1048576,2,0),"NO")</f>
        <v>LIQUIDADO</v>
      </c>
      <c r="AO140" s="983">
        <f>IFERROR(VLOOKUP(E140,'liquidaciones '!$B$2:$I$1048576,8,0),"")</f>
        <v>0</v>
      </c>
      <c r="AP140" s="342">
        <v>42030</v>
      </c>
      <c r="AQ140" s="177" t="str">
        <f t="shared" ca="1" si="23"/>
        <v>NO</v>
      </c>
      <c r="AR140" s="177" t="s">
        <v>983</v>
      </c>
      <c r="AS140" s="438"/>
      <c r="AT140" s="1015"/>
    </row>
    <row r="141" spans="1:46" ht="47.25" customHeight="1" x14ac:dyDescent="0.25">
      <c r="A141" s="15">
        <v>4</v>
      </c>
      <c r="B141" s="15">
        <v>135</v>
      </c>
      <c r="C141" s="442"/>
      <c r="D141" s="442" t="str">
        <f t="shared" si="25"/>
        <v>2013</v>
      </c>
      <c r="E141" s="139" t="s">
        <v>193</v>
      </c>
      <c r="F141" s="132" t="s">
        <v>194</v>
      </c>
      <c r="G141" s="143">
        <v>830069296</v>
      </c>
      <c r="H141" s="132" t="s">
        <v>486</v>
      </c>
      <c r="I141" s="140">
        <v>19965572</v>
      </c>
      <c r="J141" s="134" t="s">
        <v>1088</v>
      </c>
      <c r="K141" s="157">
        <v>2013</v>
      </c>
      <c r="L141" s="551"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5"/>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4" t="s">
        <v>560</v>
      </c>
      <c r="AI141" s="174"/>
      <c r="AJ141" s="173" t="s">
        <v>901</v>
      </c>
      <c r="AK141" s="181" t="str">
        <f t="shared" ca="1" si="34"/>
        <v>TERMINO</v>
      </c>
      <c r="AL141" s="181" t="s">
        <v>576</v>
      </c>
      <c r="AM141" s="176" t="s">
        <v>390</v>
      </c>
      <c r="AN141" s="875" t="str">
        <f>IFERROR(VLOOKUP(E141,'liquidaciones '!$B$2:$C$1048576,2,0),"NO")</f>
        <v>LIQUIDADO</v>
      </c>
      <c r="AO141" s="983">
        <f>IFERROR(VLOOKUP(E141,'liquidaciones '!$B$2:$I$1048576,8,0),"")</f>
        <v>0</v>
      </c>
      <c r="AP141" s="342">
        <v>42013</v>
      </c>
      <c r="AQ141" s="177" t="str">
        <f t="shared" ca="1" si="23"/>
        <v>NO</v>
      </c>
      <c r="AR141" s="177" t="s">
        <v>981</v>
      </c>
      <c r="AS141" s="438"/>
      <c r="AT141" s="1015"/>
    </row>
    <row r="142" spans="1:46" ht="47.25" customHeight="1" x14ac:dyDescent="0.25">
      <c r="A142" s="15">
        <v>4</v>
      </c>
      <c r="B142" s="15">
        <v>136</v>
      </c>
      <c r="C142" s="442"/>
      <c r="D142" s="442" t="str">
        <f t="shared" si="25"/>
        <v>2013</v>
      </c>
      <c r="E142" s="139" t="s">
        <v>196</v>
      </c>
      <c r="F142" s="155" t="s">
        <v>22</v>
      </c>
      <c r="G142" s="133">
        <v>830112518</v>
      </c>
      <c r="H142" s="132" t="s">
        <v>487</v>
      </c>
      <c r="I142" s="140">
        <v>38280000</v>
      </c>
      <c r="J142" s="134" t="s">
        <v>1088</v>
      </c>
      <c r="K142" s="157">
        <v>2013</v>
      </c>
      <c r="L142" s="551"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12"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4" t="s">
        <v>560</v>
      </c>
      <c r="AI142" s="174"/>
      <c r="AJ142" s="173" t="s">
        <v>901</v>
      </c>
      <c r="AK142" s="181" t="str">
        <f t="shared" ca="1" si="34"/>
        <v>TERMINO</v>
      </c>
      <c r="AL142" s="181" t="s">
        <v>582</v>
      </c>
      <c r="AM142" s="176" t="s">
        <v>390</v>
      </c>
      <c r="AN142" s="875" t="str">
        <f>IFERROR(VLOOKUP(E142,'liquidaciones '!$B$2:$C$1048576,2,0),"NO")</f>
        <v>NO</v>
      </c>
      <c r="AO142" s="983" t="str">
        <f>IFERROR(VLOOKUP(E142,'liquidaciones '!$B$2:$I$1048576,8,0),"")</f>
        <v/>
      </c>
      <c r="AP142" s="342">
        <v>42059</v>
      </c>
      <c r="AQ142" s="177" t="str">
        <f t="shared" ca="1" si="23"/>
        <v>NO</v>
      </c>
      <c r="AR142" s="177" t="s">
        <v>981</v>
      </c>
      <c r="AS142" s="438"/>
      <c r="AT142" s="1015"/>
    </row>
    <row r="143" spans="1:46" ht="47.25" customHeight="1" x14ac:dyDescent="0.25">
      <c r="A143" s="15">
        <v>4</v>
      </c>
      <c r="B143" s="15">
        <v>137</v>
      </c>
      <c r="C143" s="442"/>
      <c r="D143" s="442" t="str">
        <f t="shared" si="25"/>
        <v>2013</v>
      </c>
      <c r="E143" s="139" t="s">
        <v>200</v>
      </c>
      <c r="F143" s="132" t="s">
        <v>201</v>
      </c>
      <c r="G143" s="133">
        <v>900309238</v>
      </c>
      <c r="H143" s="132" t="s">
        <v>488</v>
      </c>
      <c r="I143" s="140">
        <v>26073552</v>
      </c>
      <c r="J143" s="134" t="s">
        <v>1088</v>
      </c>
      <c r="K143" s="157">
        <v>2013</v>
      </c>
      <c r="L143" s="551"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5"/>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4"/>
      <c r="AI143" s="174"/>
      <c r="AJ143" s="173" t="s">
        <v>901</v>
      </c>
      <c r="AK143" s="181" t="str">
        <f t="shared" ca="1" si="34"/>
        <v>TERMINO</v>
      </c>
      <c r="AL143" s="181" t="s">
        <v>576</v>
      </c>
      <c r="AM143" s="176" t="s">
        <v>390</v>
      </c>
      <c r="AN143" s="875" t="str">
        <f>IFERROR(VLOOKUP(E143,'liquidaciones '!$B$2:$C$1048576,2,0),"NO")</f>
        <v>LIQUIDADO</v>
      </c>
      <c r="AO143" s="983">
        <f>IFERROR(VLOOKUP(E143,'liquidaciones '!$B$2:$I$1048576,8,0),"")</f>
        <v>0</v>
      </c>
      <c r="AP143" s="342">
        <v>41872</v>
      </c>
      <c r="AQ143" s="177" t="str">
        <f t="shared" ref="AQ143:AQ206" ca="1" si="35">IF((TODAY()-T143&lt;900),"SI","NO")</f>
        <v>NO</v>
      </c>
      <c r="AR143" s="177" t="s">
        <v>983</v>
      </c>
      <c r="AS143" s="438"/>
      <c r="AT143" s="1015"/>
    </row>
    <row r="144" spans="1:46" ht="47.25" customHeight="1" x14ac:dyDescent="0.25">
      <c r="A144" s="15">
        <v>4</v>
      </c>
      <c r="B144" s="15">
        <v>138</v>
      </c>
      <c r="C144" s="442"/>
      <c r="D144" s="442" t="str">
        <f t="shared" si="25"/>
        <v>2013</v>
      </c>
      <c r="E144" s="139" t="s">
        <v>204</v>
      </c>
      <c r="F144" s="132" t="s">
        <v>205</v>
      </c>
      <c r="G144" s="133">
        <v>900542684</v>
      </c>
      <c r="H144" s="132" t="s">
        <v>489</v>
      </c>
      <c r="I144" s="140">
        <v>17262940</v>
      </c>
      <c r="J144" s="134" t="s">
        <v>1088</v>
      </c>
      <c r="K144" s="157">
        <v>2013</v>
      </c>
      <c r="L144" s="551"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12"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4" t="s">
        <v>560</v>
      </c>
      <c r="AI144" s="174"/>
      <c r="AJ144" s="173" t="s">
        <v>901</v>
      </c>
      <c r="AK144" s="181" t="str">
        <f t="shared" ca="1" si="34"/>
        <v>TERMINO</v>
      </c>
      <c r="AL144" s="181" t="s">
        <v>576</v>
      </c>
      <c r="AM144" s="176" t="s">
        <v>390</v>
      </c>
      <c r="AN144" s="875" t="str">
        <f>IFERROR(VLOOKUP(E144,'liquidaciones '!$B$2:$C$1048576,2,0),"NO")</f>
        <v>LIQUIDADO</v>
      </c>
      <c r="AO144" s="983">
        <f>IFERROR(VLOOKUP(E144,'liquidaciones '!$B$2:$I$1048576,8,0),"")</f>
        <v>0</v>
      </c>
      <c r="AP144" s="342">
        <v>42004</v>
      </c>
      <c r="AQ144" s="177" t="str">
        <f t="shared" ca="1" si="35"/>
        <v>NO</v>
      </c>
      <c r="AR144" s="177" t="s">
        <v>983</v>
      </c>
      <c r="AS144" s="438"/>
      <c r="AT144" s="1015"/>
    </row>
    <row r="145" spans="1:46" ht="47.25" customHeight="1" x14ac:dyDescent="0.25">
      <c r="A145" s="15">
        <v>4</v>
      </c>
      <c r="B145" s="15">
        <v>139</v>
      </c>
      <c r="C145" s="442"/>
      <c r="D145" s="442" t="str">
        <f t="shared" si="25"/>
        <v>2013</v>
      </c>
      <c r="E145" s="139" t="s">
        <v>206</v>
      </c>
      <c r="F145" s="132" t="s">
        <v>1020</v>
      </c>
      <c r="G145" s="133">
        <v>900169179</v>
      </c>
      <c r="H145" s="132" t="s">
        <v>490</v>
      </c>
      <c r="I145" s="140">
        <v>810000</v>
      </c>
      <c r="J145" s="134" t="s">
        <v>1088</v>
      </c>
      <c r="K145" s="157">
        <v>2013</v>
      </c>
      <c r="L145" s="551"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5"/>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4"/>
      <c r="AI145" s="174"/>
      <c r="AJ145" s="173" t="s">
        <v>901</v>
      </c>
      <c r="AK145" s="181" t="str">
        <f t="shared" ca="1" si="34"/>
        <v>TERMINO</v>
      </c>
      <c r="AL145" s="181" t="s">
        <v>582</v>
      </c>
      <c r="AM145" s="176" t="s">
        <v>390</v>
      </c>
      <c r="AN145" s="875" t="str">
        <f>IFERROR(VLOOKUP(E145,'liquidaciones '!$B$2:$C$1048576,2,0),"NO")</f>
        <v>LIQUIDADO</v>
      </c>
      <c r="AO145" s="983">
        <f>IFERROR(VLOOKUP(E145,'liquidaciones '!$B$2:$I$1048576,8,0),"")</f>
        <v>0</v>
      </c>
      <c r="AP145" s="342"/>
      <c r="AQ145" s="177" t="str">
        <f t="shared" ca="1" si="35"/>
        <v>NO</v>
      </c>
      <c r="AR145" s="177" t="s">
        <v>1511</v>
      </c>
      <c r="AS145" s="438"/>
      <c r="AT145" s="1015"/>
    </row>
    <row r="146" spans="1:46" ht="54" customHeight="1" x14ac:dyDescent="0.25">
      <c r="B146" s="15">
        <v>140</v>
      </c>
      <c r="C146" s="442"/>
      <c r="D146" s="442" t="str">
        <f t="shared" si="25"/>
        <v>2013</v>
      </c>
      <c r="E146" s="139" t="s">
        <v>211</v>
      </c>
      <c r="F146" s="132" t="s">
        <v>212</v>
      </c>
      <c r="G146" s="133">
        <v>830080652</v>
      </c>
      <c r="H146" s="132" t="s">
        <v>491</v>
      </c>
      <c r="I146" s="140">
        <v>5545000</v>
      </c>
      <c r="J146" s="134" t="s">
        <v>1088</v>
      </c>
      <c r="K146" s="157">
        <v>2013</v>
      </c>
      <c r="L146" s="551"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12"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4"/>
      <c r="AI146" s="174"/>
      <c r="AJ146" s="173" t="s">
        <v>901</v>
      </c>
      <c r="AK146" s="181" t="str">
        <f t="shared" ca="1" si="34"/>
        <v>TERMINO</v>
      </c>
      <c r="AL146" s="181" t="s">
        <v>576</v>
      </c>
      <c r="AM146" s="176" t="s">
        <v>390</v>
      </c>
      <c r="AN146" s="875" t="str">
        <f>IFERROR(VLOOKUP(E146,'liquidaciones '!$B$2:$C$1048576,2,0),"NO")</f>
        <v>LIQUIDADO</v>
      </c>
      <c r="AO146" s="983">
        <f>IFERROR(VLOOKUP(E146,'liquidaciones '!$B$2:$I$1048576,8,0),"")</f>
        <v>0</v>
      </c>
      <c r="AP146" s="342"/>
      <c r="AQ146" s="177" t="str">
        <f t="shared" ca="1" si="35"/>
        <v>NO</v>
      </c>
      <c r="AR146" s="177" t="s">
        <v>1166</v>
      </c>
      <c r="AS146" s="438"/>
      <c r="AT146" s="1015"/>
    </row>
    <row r="147" spans="1:46" ht="47.25" customHeight="1" x14ac:dyDescent="0.25">
      <c r="A147" s="15">
        <v>4</v>
      </c>
      <c r="B147" s="15">
        <v>141</v>
      </c>
      <c r="C147" s="442"/>
      <c r="D147" s="442" t="str">
        <f t="shared" si="25"/>
        <v>2013</v>
      </c>
      <c r="E147" s="139" t="s">
        <v>209</v>
      </c>
      <c r="F147" s="132" t="s">
        <v>210</v>
      </c>
      <c r="G147" s="133">
        <v>900236701</v>
      </c>
      <c r="H147" s="132" t="s">
        <v>1446</v>
      </c>
      <c r="I147" s="140">
        <v>19360400</v>
      </c>
      <c r="J147" s="134" t="s">
        <v>1088</v>
      </c>
      <c r="K147" s="157">
        <v>2013</v>
      </c>
      <c r="L147" s="551"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12"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4"/>
      <c r="AI147" s="174"/>
      <c r="AJ147" s="173" t="s">
        <v>901</v>
      </c>
      <c r="AK147" s="181" t="str">
        <f t="shared" ca="1" si="34"/>
        <v>TERMINO</v>
      </c>
      <c r="AL147" s="181" t="s">
        <v>576</v>
      </c>
      <c r="AM147" s="176" t="s">
        <v>390</v>
      </c>
      <c r="AN147" s="875" t="str">
        <f>IFERROR(VLOOKUP(E147,'liquidaciones '!$B$2:$C$1048576,2,0),"NO")</f>
        <v>NO</v>
      </c>
      <c r="AO147" s="983" t="str">
        <f>IFERROR(VLOOKUP(E147,'liquidaciones '!$B$2:$I$1048576,8,0),"")</f>
        <v/>
      </c>
      <c r="AP147" s="342">
        <v>41979</v>
      </c>
      <c r="AQ147" s="177" t="str">
        <f t="shared" ca="1" si="35"/>
        <v>NO</v>
      </c>
      <c r="AR147" s="177" t="s">
        <v>983</v>
      </c>
      <c r="AS147" s="438"/>
      <c r="AT147" s="1015"/>
    </row>
    <row r="148" spans="1:46" ht="47.25" customHeight="1" x14ac:dyDescent="0.25">
      <c r="A148" s="15">
        <v>4</v>
      </c>
      <c r="B148" s="15">
        <v>142</v>
      </c>
      <c r="C148" s="442"/>
      <c r="D148" s="442" t="str">
        <f t="shared" si="25"/>
        <v>2013</v>
      </c>
      <c r="E148" s="139" t="s">
        <v>207</v>
      </c>
      <c r="F148" s="132" t="s">
        <v>208</v>
      </c>
      <c r="G148" s="133">
        <v>860066942</v>
      </c>
      <c r="H148" s="132" t="s">
        <v>492</v>
      </c>
      <c r="I148" s="140">
        <v>336560000</v>
      </c>
      <c r="J148" s="134" t="s">
        <v>1088</v>
      </c>
      <c r="K148" s="157">
        <v>2013</v>
      </c>
      <c r="L148" s="551"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5"/>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4" t="s">
        <v>560</v>
      </c>
      <c r="AI148" s="174"/>
      <c r="AJ148" s="173" t="s">
        <v>1343</v>
      </c>
      <c r="AK148" s="181" t="str">
        <f t="shared" ca="1" si="34"/>
        <v>TERMINO</v>
      </c>
      <c r="AL148" s="181" t="s">
        <v>582</v>
      </c>
      <c r="AM148" s="176" t="s">
        <v>390</v>
      </c>
      <c r="AN148" s="875" t="str">
        <f>IFERROR(VLOOKUP(E148,'liquidaciones '!$B$2:$C$1048576,2,0),"NO")</f>
        <v>NO</v>
      </c>
      <c r="AO148" s="983" t="str">
        <f>IFERROR(VLOOKUP(E148,'liquidaciones '!$B$2:$I$1048576,8,0),"")</f>
        <v/>
      </c>
      <c r="AP148" s="342">
        <v>42279</v>
      </c>
      <c r="AQ148" s="177" t="str">
        <f t="shared" ca="1" si="35"/>
        <v>NO</v>
      </c>
      <c r="AR148" s="177" t="s">
        <v>1166</v>
      </c>
      <c r="AS148" s="438"/>
      <c r="AT148" s="1015"/>
    </row>
    <row r="149" spans="1:46" ht="95.25" customHeight="1" x14ac:dyDescent="0.25">
      <c r="B149" s="15">
        <v>143</v>
      </c>
      <c r="C149" s="442"/>
      <c r="D149" s="442" t="str">
        <f t="shared" si="25"/>
        <v>2013</v>
      </c>
      <c r="E149" s="139" t="s">
        <v>213</v>
      </c>
      <c r="F149" s="132" t="s">
        <v>1040</v>
      </c>
      <c r="G149" s="133">
        <v>900228623</v>
      </c>
      <c r="H149" s="132" t="s">
        <v>493</v>
      </c>
      <c r="I149" s="140">
        <v>533636000</v>
      </c>
      <c r="J149" s="134" t="s">
        <v>1088</v>
      </c>
      <c r="K149" s="157">
        <v>2013</v>
      </c>
      <c r="L149" s="551"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12"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4" t="s">
        <v>1128</v>
      </c>
      <c r="AG149" s="173"/>
      <c r="AH149" s="284" t="s">
        <v>560</v>
      </c>
      <c r="AI149" s="174"/>
      <c r="AJ149" s="173" t="s">
        <v>901</v>
      </c>
      <c r="AK149" s="181" t="str">
        <f t="shared" ca="1" si="34"/>
        <v>TERMINO</v>
      </c>
      <c r="AL149" s="173" t="s">
        <v>575</v>
      </c>
      <c r="AM149" s="176" t="s">
        <v>390</v>
      </c>
      <c r="AN149" s="875" t="str">
        <f>IFERROR(VLOOKUP(E149,'liquidaciones '!$B$2:$C$1048576,2,0),"NO")</f>
        <v>EN TRÁMITE</v>
      </c>
      <c r="AO149" s="983">
        <f>IFERROR(VLOOKUP(E149,'liquidaciones '!$B$2:$I$1048576,8,0),"")</f>
        <v>0</v>
      </c>
      <c r="AP149" s="342"/>
      <c r="AQ149" s="177" t="str">
        <f t="shared" ca="1" si="35"/>
        <v>NO</v>
      </c>
      <c r="AR149" s="177" t="s">
        <v>982</v>
      </c>
      <c r="AS149" s="438"/>
      <c r="AT149" s="1015"/>
    </row>
    <row r="150" spans="1:46" ht="47.25" customHeight="1" x14ac:dyDescent="0.25">
      <c r="B150" s="15">
        <v>144</v>
      </c>
      <c r="C150" s="442"/>
      <c r="D150" s="442" t="str">
        <f t="shared" si="25"/>
        <v>2013</v>
      </c>
      <c r="E150" s="139" t="s">
        <v>857</v>
      </c>
      <c r="F150" s="132" t="s">
        <v>1339</v>
      </c>
      <c r="G150" s="133"/>
      <c r="H150" s="132" t="s">
        <v>1340</v>
      </c>
      <c r="I150" s="140">
        <v>150000000</v>
      </c>
      <c r="J150" s="134" t="s">
        <v>1088</v>
      </c>
      <c r="K150" s="157">
        <v>2013</v>
      </c>
      <c r="L150" s="551"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8" t="s">
        <v>1341</v>
      </c>
      <c r="Y150" s="42">
        <f t="shared" si="29"/>
        <v>0</v>
      </c>
      <c r="Z150" s="42">
        <f t="shared" ca="1" si="30"/>
        <v>1</v>
      </c>
      <c r="AA150" s="43">
        <f t="shared" ca="1" si="31"/>
        <v>1</v>
      </c>
      <c r="AB150" s="202" t="str">
        <f t="shared" ca="1" si="32"/>
        <v/>
      </c>
      <c r="AC150" s="44" t="str">
        <f t="shared" si="33"/>
        <v>NO</v>
      </c>
      <c r="AD150" s="44"/>
      <c r="AE150" s="173" t="s">
        <v>1258</v>
      </c>
      <c r="AF150" s="304" t="s">
        <v>1342</v>
      </c>
      <c r="AG150" s="173"/>
      <c r="AH150" s="284" t="s">
        <v>560</v>
      </c>
      <c r="AI150" s="174"/>
      <c r="AJ150" s="173" t="s">
        <v>2281</v>
      </c>
      <c r="AK150" s="181" t="str">
        <f t="shared" ca="1" si="34"/>
        <v>TERMINO</v>
      </c>
      <c r="AL150" s="181" t="s">
        <v>582</v>
      </c>
      <c r="AM150" s="176" t="s">
        <v>390</v>
      </c>
      <c r="AN150" s="875" t="str">
        <f>IFERROR(VLOOKUP(E150,'liquidaciones '!$B$2:$C$1048576,2,0),"NO")</f>
        <v>NO</v>
      </c>
      <c r="AO150" s="983" t="str">
        <f>IFERROR(VLOOKUP(E150,'liquidaciones '!$B$2:$I$1048576,8,0),"")</f>
        <v/>
      </c>
      <c r="AP150" s="342"/>
      <c r="AQ150" s="177" t="str">
        <f t="shared" ca="1" si="35"/>
        <v>NO</v>
      </c>
      <c r="AR150" s="177"/>
      <c r="AS150" s="438"/>
      <c r="AT150" s="1015"/>
    </row>
    <row r="151" spans="1:46" ht="70.5" customHeight="1" x14ac:dyDescent="0.25">
      <c r="B151" s="15">
        <v>145</v>
      </c>
      <c r="C151" s="442"/>
      <c r="D151" s="442" t="str">
        <f t="shared" si="25"/>
        <v>2013</v>
      </c>
      <c r="E151" s="139" t="s">
        <v>258</v>
      </c>
      <c r="F151" s="132" t="s">
        <v>259</v>
      </c>
      <c r="G151" s="137">
        <v>899999061</v>
      </c>
      <c r="H151" s="132" t="s">
        <v>494</v>
      </c>
      <c r="I151" s="140">
        <v>0</v>
      </c>
      <c r="J151" s="134" t="s">
        <v>1088</v>
      </c>
      <c r="K151" s="157">
        <v>2013</v>
      </c>
      <c r="L151" s="551"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5"/>
      <c r="Y151" s="42" t="e">
        <f t="shared" si="29"/>
        <v>#DIV/0!</v>
      </c>
      <c r="Z151" s="42">
        <f t="shared" ca="1" si="30"/>
        <v>1</v>
      </c>
      <c r="AA151" s="43" t="e">
        <f t="shared" ca="1" si="31"/>
        <v>#DIV/0!</v>
      </c>
      <c r="AB151" s="202" t="str">
        <f t="shared" ca="1" si="32"/>
        <v/>
      </c>
      <c r="AC151" s="44" t="e">
        <f t="shared" si="33"/>
        <v>#DIV/0!</v>
      </c>
      <c r="AD151" s="44"/>
      <c r="AE151" s="173"/>
      <c r="AF151" s="304"/>
      <c r="AG151" s="173"/>
      <c r="AH151" s="284" t="s">
        <v>560</v>
      </c>
      <c r="AI151" s="174"/>
      <c r="AJ151" s="173" t="s">
        <v>901</v>
      </c>
      <c r="AK151" s="181" t="str">
        <f t="shared" ca="1" si="34"/>
        <v>TERMINO</v>
      </c>
      <c r="AL151" s="181" t="s">
        <v>582</v>
      </c>
      <c r="AM151" s="176" t="s">
        <v>390</v>
      </c>
      <c r="AN151" s="875" t="str">
        <f>IFERROR(VLOOKUP(E151,'liquidaciones '!$B$2:$C$1048576,2,0),"NO")</f>
        <v>NO</v>
      </c>
      <c r="AO151" s="983" t="str">
        <f>IFERROR(VLOOKUP(E151,'liquidaciones '!$B$2:$I$1048576,8,0),"")</f>
        <v/>
      </c>
      <c r="AP151" s="342"/>
      <c r="AQ151" s="177" t="str">
        <f t="shared" ca="1" si="35"/>
        <v>SI</v>
      </c>
      <c r="AR151" s="177" t="s">
        <v>1995</v>
      </c>
      <c r="AS151" s="438"/>
      <c r="AT151" s="1015"/>
    </row>
    <row r="152" spans="1:46" ht="94.5" customHeight="1" x14ac:dyDescent="0.25">
      <c r="A152" s="15">
        <v>1</v>
      </c>
      <c r="B152" s="15">
        <v>146</v>
      </c>
      <c r="C152" s="442"/>
      <c r="D152" s="442" t="str">
        <f t="shared" si="25"/>
        <v>2012</v>
      </c>
      <c r="E152" s="132" t="s">
        <v>76</v>
      </c>
      <c r="F152" s="132" t="s">
        <v>77</v>
      </c>
      <c r="G152" s="143">
        <v>860506170</v>
      </c>
      <c r="H152" s="132" t="s">
        <v>417</v>
      </c>
      <c r="I152" s="134">
        <v>2689440000</v>
      </c>
      <c r="J152" s="879" t="s">
        <v>2858</v>
      </c>
      <c r="K152" s="152">
        <v>2012</v>
      </c>
      <c r="L152" s="551"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12"/>
      <c r="Y152" s="42">
        <f t="shared" si="29"/>
        <v>0.17434304338314827</v>
      </c>
      <c r="Z152" s="42">
        <f t="shared" ca="1" si="30"/>
        <v>0.91922695738354809</v>
      </c>
      <c r="AA152" s="43">
        <f t="shared" ca="1" si="31"/>
        <v>0.74488391400039977</v>
      </c>
      <c r="AB152" s="202">
        <f t="shared" ca="1" si="32"/>
        <v>163</v>
      </c>
      <c r="AC152" s="44" t="str">
        <f t="shared" si="33"/>
        <v>NO</v>
      </c>
      <c r="AD152" s="44"/>
      <c r="AE152" s="173" t="s">
        <v>1257</v>
      </c>
      <c r="AF152" s="304" t="s">
        <v>1168</v>
      </c>
      <c r="AG152" s="173" t="s">
        <v>1443</v>
      </c>
      <c r="AH152" s="284" t="s">
        <v>560</v>
      </c>
      <c r="AI152" s="174"/>
      <c r="AJ152" s="173" t="s">
        <v>600</v>
      </c>
      <c r="AK152" s="181" t="str">
        <f t="shared" ca="1" si="34"/>
        <v>EN EJECUCIÓN</v>
      </c>
      <c r="AL152" s="181" t="s">
        <v>582</v>
      </c>
      <c r="AM152" s="176" t="s">
        <v>390</v>
      </c>
      <c r="AN152" s="875" t="str">
        <f>IFERROR(VLOOKUP(E152,'liquidaciones '!$B$2:$C$1048576,2,0),"NO")</f>
        <v>NO</v>
      </c>
      <c r="AO152" s="983" t="str">
        <f>IFERROR(VLOOKUP(E152,'liquidaciones '!$B$2:$I$1048576,8,0),"")</f>
        <v/>
      </c>
      <c r="AP152" s="342"/>
      <c r="AQ152" s="177" t="str">
        <f t="shared" ca="1" si="35"/>
        <v>SI</v>
      </c>
      <c r="AR152" s="1018" t="s">
        <v>3537</v>
      </c>
      <c r="AS152" s="1018"/>
      <c r="AT152" s="1018" t="s">
        <v>3754</v>
      </c>
    </row>
    <row r="153" spans="1:46" ht="63.75" customHeight="1" x14ac:dyDescent="0.25">
      <c r="B153" s="15">
        <v>147</v>
      </c>
      <c r="C153" s="442"/>
      <c r="D153" s="442" t="str">
        <f t="shared" si="25"/>
        <v>2013</v>
      </c>
      <c r="E153" s="139" t="s">
        <v>234</v>
      </c>
      <c r="F153" s="132" t="s">
        <v>235</v>
      </c>
      <c r="G153" s="133">
        <v>830110570</v>
      </c>
      <c r="H153" s="132" t="s">
        <v>367</v>
      </c>
      <c r="I153" s="140">
        <v>430036764</v>
      </c>
      <c r="J153" s="134" t="s">
        <v>1088</v>
      </c>
      <c r="K153" s="157">
        <v>2013</v>
      </c>
      <c r="L153" s="551"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5"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4" t="s">
        <v>560</v>
      </c>
      <c r="AI153" s="174"/>
      <c r="AJ153" s="173" t="s">
        <v>901</v>
      </c>
      <c r="AK153" s="181" t="str">
        <f t="shared" ca="1" si="34"/>
        <v>TERMINO</v>
      </c>
      <c r="AL153" s="173" t="s">
        <v>575</v>
      </c>
      <c r="AM153" s="176" t="s">
        <v>391</v>
      </c>
      <c r="AN153" s="875" t="str">
        <f>IFERROR(VLOOKUP(E153,'liquidaciones '!$B$2:$C$1048576,2,0),"NO")</f>
        <v>LIQUIDADO</v>
      </c>
      <c r="AO153" s="983">
        <f>IFERROR(VLOOKUP(E153,'liquidaciones '!$B$2:$I$1048576,8,0),"")</f>
        <v>0</v>
      </c>
      <c r="AP153" s="342">
        <v>42059</v>
      </c>
      <c r="AQ153" s="177" t="str">
        <f t="shared" ca="1" si="35"/>
        <v>NO</v>
      </c>
      <c r="AR153" s="177" t="s">
        <v>981</v>
      </c>
      <c r="AS153" s="438"/>
      <c r="AT153" s="1015"/>
    </row>
    <row r="154" spans="1:46" ht="47.25" customHeight="1" x14ac:dyDescent="0.25">
      <c r="B154" s="15">
        <v>148</v>
      </c>
      <c r="C154" s="442"/>
      <c r="D154" s="442" t="str">
        <f t="shared" si="25"/>
        <v>2013</v>
      </c>
      <c r="E154" s="139" t="s">
        <v>214</v>
      </c>
      <c r="F154" s="132" t="s">
        <v>31</v>
      </c>
      <c r="G154" s="133">
        <v>80725449</v>
      </c>
      <c r="H154" s="132" t="s">
        <v>495</v>
      </c>
      <c r="I154" s="140">
        <v>6000000</v>
      </c>
      <c r="J154" s="134" t="s">
        <v>1088</v>
      </c>
      <c r="K154" s="157">
        <v>2013</v>
      </c>
      <c r="L154" s="551"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12"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4"/>
      <c r="AI154" s="174"/>
      <c r="AJ154" s="173" t="s">
        <v>901</v>
      </c>
      <c r="AK154" s="181" t="str">
        <f t="shared" ca="1" si="34"/>
        <v>TERMINO</v>
      </c>
      <c r="AL154" s="181" t="s">
        <v>582</v>
      </c>
      <c r="AM154" s="176" t="s">
        <v>391</v>
      </c>
      <c r="AN154" s="875" t="str">
        <f>IFERROR(VLOOKUP(E154,'liquidaciones '!$B$2:$C$1048576,2,0),"NO")</f>
        <v>NO</v>
      </c>
      <c r="AO154" s="983" t="str">
        <f>IFERROR(VLOOKUP(E154,'liquidaciones '!$B$2:$I$1048576,8,0),"")</f>
        <v/>
      </c>
      <c r="AP154" s="342">
        <v>41817</v>
      </c>
      <c r="AQ154" s="177" t="str">
        <f t="shared" ca="1" si="35"/>
        <v>NO</v>
      </c>
      <c r="AR154" s="177" t="s">
        <v>1056</v>
      </c>
      <c r="AS154" s="438"/>
      <c r="AT154" s="1015"/>
    </row>
    <row r="155" spans="1:46" ht="47.25" customHeight="1" x14ac:dyDescent="0.25">
      <c r="B155" s="15">
        <v>149</v>
      </c>
      <c r="C155" s="442"/>
      <c r="D155" s="442" t="str">
        <f t="shared" si="25"/>
        <v>2013</v>
      </c>
      <c r="E155" s="139" t="s">
        <v>232</v>
      </c>
      <c r="F155" s="132" t="s">
        <v>233</v>
      </c>
      <c r="G155" s="133">
        <v>860536079</v>
      </c>
      <c r="H155" s="132" t="s">
        <v>496</v>
      </c>
      <c r="I155" s="140">
        <v>7937504</v>
      </c>
      <c r="J155" s="134" t="s">
        <v>1088</v>
      </c>
      <c r="K155" s="157">
        <v>2013</v>
      </c>
      <c r="L155" s="551"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5"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4" t="s">
        <v>1169</v>
      </c>
      <c r="AG155" s="173" t="s">
        <v>1443</v>
      </c>
      <c r="AH155" s="284" t="s">
        <v>560</v>
      </c>
      <c r="AI155" s="174" t="s">
        <v>1381</v>
      </c>
      <c r="AJ155" s="173" t="s">
        <v>901</v>
      </c>
      <c r="AK155" s="181" t="str">
        <f t="shared" ca="1" si="34"/>
        <v>TERMINO</v>
      </c>
      <c r="AL155" s="181" t="s">
        <v>576</v>
      </c>
      <c r="AM155" s="176" t="s">
        <v>390</v>
      </c>
      <c r="AN155" s="875" t="str">
        <f>IFERROR(VLOOKUP(E155,'liquidaciones '!$B$2:$C$1048576,2,0),"NO")</f>
        <v>EN TRÁMITE</v>
      </c>
      <c r="AO155" s="983">
        <f>IFERROR(VLOOKUP(E155,'liquidaciones '!$B$2:$I$1048576,8,0),"")</f>
        <v>0</v>
      </c>
      <c r="AP155" s="342"/>
      <c r="AQ155" s="177" t="str">
        <f t="shared" ca="1" si="35"/>
        <v>NO</v>
      </c>
      <c r="AR155" s="177" t="s">
        <v>1511</v>
      </c>
      <c r="AS155" s="438"/>
      <c r="AT155" s="1015"/>
    </row>
    <row r="156" spans="1:46" ht="47.25" customHeight="1" x14ac:dyDescent="0.25">
      <c r="B156" s="15">
        <v>150</v>
      </c>
      <c r="C156" s="442"/>
      <c r="D156" s="442" t="str">
        <f t="shared" si="25"/>
        <v>2013</v>
      </c>
      <c r="E156" s="139" t="s">
        <v>215</v>
      </c>
      <c r="F156" s="132" t="s">
        <v>1599</v>
      </c>
      <c r="G156" s="133">
        <v>79106019</v>
      </c>
      <c r="H156" s="132" t="s">
        <v>1447</v>
      </c>
      <c r="I156" s="140">
        <v>15000000</v>
      </c>
      <c r="J156" s="134" t="s">
        <v>1088</v>
      </c>
      <c r="K156" s="157">
        <v>2013</v>
      </c>
      <c r="L156" s="551"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5" t="s">
        <v>1413</v>
      </c>
      <c r="Y156" s="42">
        <f t="shared" si="29"/>
        <v>1</v>
      </c>
      <c r="Z156" s="42">
        <f t="shared" ca="1" si="30"/>
        <v>1</v>
      </c>
      <c r="AA156" s="43">
        <f t="shared" ca="1" si="31"/>
        <v>0</v>
      </c>
      <c r="AB156" s="202" t="str">
        <f t="shared" ca="1" si="32"/>
        <v/>
      </c>
      <c r="AC156" s="44" t="str">
        <f t="shared" si="33"/>
        <v>SI</v>
      </c>
      <c r="AD156" s="44"/>
      <c r="AE156" s="173" t="s">
        <v>1257</v>
      </c>
      <c r="AF156" s="284" t="s">
        <v>1489</v>
      </c>
      <c r="AG156" s="173" t="s">
        <v>1443</v>
      </c>
      <c r="AH156" s="284" t="s">
        <v>560</v>
      </c>
      <c r="AI156" s="308" t="s">
        <v>1381</v>
      </c>
      <c r="AJ156" s="173" t="s">
        <v>901</v>
      </c>
      <c r="AK156" s="181" t="str">
        <f t="shared" ca="1" si="34"/>
        <v>TERMINO</v>
      </c>
      <c r="AL156" s="181" t="s">
        <v>576</v>
      </c>
      <c r="AM156" s="176" t="s">
        <v>390</v>
      </c>
      <c r="AN156" s="875" t="str">
        <f>IFERROR(VLOOKUP(E156,'liquidaciones '!$B$2:$C$1048576,2,0),"NO")</f>
        <v>LIQUIDADO</v>
      </c>
      <c r="AO156" s="983">
        <f>IFERROR(VLOOKUP(E156,'liquidaciones '!$B$2:$I$1048576,8,0),"")</f>
        <v>0</v>
      </c>
      <c r="AP156" s="342">
        <v>42011</v>
      </c>
      <c r="AQ156" s="177" t="str">
        <f t="shared" ca="1" si="35"/>
        <v>NO</v>
      </c>
      <c r="AR156" s="177" t="s">
        <v>1166</v>
      </c>
      <c r="AS156" s="438"/>
      <c r="AT156" s="1015"/>
    </row>
    <row r="157" spans="1:46" ht="47.25" customHeight="1" x14ac:dyDescent="0.25">
      <c r="B157" s="15">
        <v>151</v>
      </c>
      <c r="C157" s="442"/>
      <c r="D157" s="442" t="str">
        <f t="shared" si="25"/>
        <v>2013</v>
      </c>
      <c r="E157" s="347" t="s">
        <v>216</v>
      </c>
      <c r="F157" s="132" t="s">
        <v>217</v>
      </c>
      <c r="G157" s="133">
        <v>800064773</v>
      </c>
      <c r="H157" s="132" t="s">
        <v>1129</v>
      </c>
      <c r="I157" s="140">
        <v>452974000</v>
      </c>
      <c r="J157" s="134" t="s">
        <v>1088</v>
      </c>
      <c r="K157" s="157">
        <v>2013</v>
      </c>
      <c r="L157" s="551"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12"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4" t="s">
        <v>1130</v>
      </c>
      <c r="AG157" s="173" t="s">
        <v>1431</v>
      </c>
      <c r="AH157" s="284" t="s">
        <v>564</v>
      </c>
      <c r="AI157" s="174" t="s">
        <v>1382</v>
      </c>
      <c r="AJ157" s="173" t="s">
        <v>901</v>
      </c>
      <c r="AK157" s="181" t="str">
        <f t="shared" ca="1" si="34"/>
        <v>TERMINO</v>
      </c>
      <c r="AL157" s="173" t="s">
        <v>575</v>
      </c>
      <c r="AM157" s="176" t="s">
        <v>390</v>
      </c>
      <c r="AN157" s="875" t="str">
        <f>IFERROR(VLOOKUP(E157,'liquidaciones '!$B$2:$C$1048576,2,0),"NO")</f>
        <v>NO</v>
      </c>
      <c r="AO157" s="983" t="str">
        <f>IFERROR(VLOOKUP(E157,'liquidaciones '!$B$2:$I$1048576,8,0),"")</f>
        <v/>
      </c>
      <c r="AP157" s="342">
        <v>42256</v>
      </c>
      <c r="AQ157" s="177" t="str">
        <f t="shared" ca="1" si="35"/>
        <v>NO</v>
      </c>
      <c r="AR157" s="177" t="s">
        <v>982</v>
      </c>
      <c r="AS157" s="438"/>
      <c r="AT157" s="1015"/>
    </row>
    <row r="158" spans="1:46" ht="47.25" customHeight="1" x14ac:dyDescent="0.25">
      <c r="B158" s="15">
        <v>152</v>
      </c>
      <c r="C158" s="442"/>
      <c r="D158" s="442" t="str">
        <f t="shared" si="25"/>
        <v>2013</v>
      </c>
      <c r="E158" s="139" t="s">
        <v>218</v>
      </c>
      <c r="F158" s="132" t="s">
        <v>219</v>
      </c>
      <c r="G158" s="133">
        <v>830113914</v>
      </c>
      <c r="H158" s="132" t="s">
        <v>366</v>
      </c>
      <c r="I158" s="140">
        <v>95000000</v>
      </c>
      <c r="J158" s="134" t="s">
        <v>1088</v>
      </c>
      <c r="K158" s="157">
        <v>2013</v>
      </c>
      <c r="L158" s="551"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12"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7" t="s">
        <v>1131</v>
      </c>
      <c r="AG158" s="173" t="s">
        <v>1443</v>
      </c>
      <c r="AH158" s="284" t="s">
        <v>560</v>
      </c>
      <c r="AI158" s="179" t="s">
        <v>1380</v>
      </c>
      <c r="AJ158" s="173" t="s">
        <v>901</v>
      </c>
      <c r="AK158" s="181" t="str">
        <f t="shared" ca="1" si="34"/>
        <v>TERMINO</v>
      </c>
      <c r="AL158" s="173" t="s">
        <v>575</v>
      </c>
      <c r="AM158" s="176" t="s">
        <v>390</v>
      </c>
      <c r="AN158" s="875" t="str">
        <f>IFERROR(VLOOKUP(E158,'liquidaciones '!$B$2:$C$1048576,2,0),"NO")</f>
        <v>EN TRÁMITE</v>
      </c>
      <c r="AO158" s="983">
        <f>IFERROR(VLOOKUP(E158,'liquidaciones '!$B$2:$I$1048576,8,0),"")</f>
        <v>0</v>
      </c>
      <c r="AP158" s="342"/>
      <c r="AQ158" s="177" t="str">
        <f t="shared" ca="1" si="35"/>
        <v>NO</v>
      </c>
      <c r="AR158" s="177" t="s">
        <v>1511</v>
      </c>
      <c r="AS158" s="438"/>
      <c r="AT158" s="1015"/>
    </row>
    <row r="159" spans="1:46" ht="47.25" customHeight="1" x14ac:dyDescent="0.25">
      <c r="B159" s="15">
        <v>153</v>
      </c>
      <c r="C159" s="442"/>
      <c r="D159" s="442" t="str">
        <f t="shared" si="25"/>
        <v>2013</v>
      </c>
      <c r="E159" s="139" t="s">
        <v>220</v>
      </c>
      <c r="F159" s="132" t="s">
        <v>1150</v>
      </c>
      <c r="G159" s="133">
        <v>860007336</v>
      </c>
      <c r="H159" s="132" t="s">
        <v>497</v>
      </c>
      <c r="I159" s="140">
        <v>63128000</v>
      </c>
      <c r="J159" s="134" t="s">
        <v>1088</v>
      </c>
      <c r="K159" s="157">
        <v>2013</v>
      </c>
      <c r="L159" s="551"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12"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4" t="s">
        <v>560</v>
      </c>
      <c r="AI159" s="174" t="s">
        <v>1387</v>
      </c>
      <c r="AJ159" s="173" t="s">
        <v>901</v>
      </c>
      <c r="AK159" s="181" t="str">
        <f t="shared" ca="1" si="34"/>
        <v>TERMINO</v>
      </c>
      <c r="AL159" s="181" t="s">
        <v>574</v>
      </c>
      <c r="AM159" s="176" t="s">
        <v>391</v>
      </c>
      <c r="AN159" s="875" t="str">
        <f>IFERROR(VLOOKUP(E159,'liquidaciones '!$B$2:$C$1048576,2,0),"NO")</f>
        <v>NO</v>
      </c>
      <c r="AO159" s="983" t="str">
        <f>IFERROR(VLOOKUP(E159,'liquidaciones '!$B$2:$I$1048576,8,0),"")</f>
        <v/>
      </c>
      <c r="AP159" s="338">
        <v>41872</v>
      </c>
      <c r="AQ159" s="177" t="str">
        <f t="shared" ca="1" si="35"/>
        <v>NO</v>
      </c>
      <c r="AR159" s="177" t="s">
        <v>982</v>
      </c>
      <c r="AS159" s="438"/>
      <c r="AT159" s="1015"/>
    </row>
    <row r="160" spans="1:46" ht="47.25" customHeight="1" x14ac:dyDescent="0.25">
      <c r="B160" s="15">
        <v>154</v>
      </c>
      <c r="C160" s="442"/>
      <c r="D160" s="442" t="str">
        <f t="shared" si="25"/>
        <v>2013</v>
      </c>
      <c r="E160" s="139" t="s">
        <v>227</v>
      </c>
      <c r="F160" s="132" t="s">
        <v>228</v>
      </c>
      <c r="G160" s="133">
        <v>52935011</v>
      </c>
      <c r="H160" s="132" t="s">
        <v>498</v>
      </c>
      <c r="I160" s="140">
        <v>5000000</v>
      </c>
      <c r="J160" s="134" t="s">
        <v>1088</v>
      </c>
      <c r="K160" s="157">
        <v>2013</v>
      </c>
      <c r="L160" s="551"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5"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4"/>
      <c r="AI160" s="174"/>
      <c r="AJ160" s="173" t="s">
        <v>901</v>
      </c>
      <c r="AK160" s="181" t="str">
        <f t="shared" ca="1" si="34"/>
        <v>TERMINO</v>
      </c>
      <c r="AL160" s="181" t="s">
        <v>582</v>
      </c>
      <c r="AM160" s="176" t="s">
        <v>391</v>
      </c>
      <c r="AN160" s="875" t="str">
        <f>IFERROR(VLOOKUP(E160,'liquidaciones '!$B$2:$C$1048576,2,0),"NO")</f>
        <v>NO</v>
      </c>
      <c r="AO160" s="983" t="str">
        <f>IFERROR(VLOOKUP(E160,'liquidaciones '!$B$2:$I$1048576,8,0),"")</f>
        <v/>
      </c>
      <c r="AP160" s="342"/>
      <c r="AQ160" s="177" t="str">
        <f t="shared" ca="1" si="35"/>
        <v>NO</v>
      </c>
      <c r="AR160" s="177" t="s">
        <v>1166</v>
      </c>
      <c r="AS160" s="438"/>
      <c r="AT160" s="1015"/>
    </row>
    <row r="161" spans="2:46" ht="47.25" customHeight="1" x14ac:dyDescent="0.25">
      <c r="B161" s="15">
        <v>155</v>
      </c>
      <c r="C161" s="442"/>
      <c r="D161" s="442" t="str">
        <f t="shared" si="25"/>
        <v>2013</v>
      </c>
      <c r="E161" s="139" t="s">
        <v>223</v>
      </c>
      <c r="F161" s="132" t="s">
        <v>224</v>
      </c>
      <c r="G161" s="133">
        <v>19327657</v>
      </c>
      <c r="H161" s="132" t="s">
        <v>498</v>
      </c>
      <c r="I161" s="140">
        <v>5000000</v>
      </c>
      <c r="J161" s="134" t="s">
        <v>1088</v>
      </c>
      <c r="K161" s="157">
        <v>2013</v>
      </c>
      <c r="L161" s="551"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5"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4"/>
      <c r="AI161" s="174"/>
      <c r="AJ161" s="173" t="s">
        <v>901</v>
      </c>
      <c r="AK161" s="181" t="str">
        <f t="shared" ca="1" si="34"/>
        <v>TERMINO</v>
      </c>
      <c r="AL161" s="181" t="s">
        <v>582</v>
      </c>
      <c r="AM161" s="176" t="s">
        <v>391</v>
      </c>
      <c r="AN161" s="875" t="str">
        <f>IFERROR(VLOOKUP(E161,'liquidaciones '!$B$2:$C$1048576,2,0),"NO")</f>
        <v>NO</v>
      </c>
      <c r="AO161" s="983" t="str">
        <f>IFERROR(VLOOKUP(E161,'liquidaciones '!$B$2:$I$1048576,8,0),"")</f>
        <v/>
      </c>
      <c r="AP161" s="342">
        <v>42193</v>
      </c>
      <c r="AQ161" s="177" t="str">
        <f t="shared" ca="1" si="35"/>
        <v>NO</v>
      </c>
      <c r="AR161" s="177" t="s">
        <v>1573</v>
      </c>
      <c r="AS161" s="438"/>
      <c r="AT161" s="1015"/>
    </row>
    <row r="162" spans="2:46" ht="47.25" customHeight="1" x14ac:dyDescent="0.25">
      <c r="B162" s="15">
        <v>156</v>
      </c>
      <c r="C162" s="442"/>
      <c r="D162" s="442" t="str">
        <f t="shared" si="25"/>
        <v>2013</v>
      </c>
      <c r="E162" s="139" t="s">
        <v>231</v>
      </c>
      <c r="F162" s="132" t="s">
        <v>1042</v>
      </c>
      <c r="G162" s="133">
        <v>900683150</v>
      </c>
      <c r="H162" s="132" t="s">
        <v>499</v>
      </c>
      <c r="I162" s="140">
        <v>70000000</v>
      </c>
      <c r="J162" s="134" t="s">
        <v>1088</v>
      </c>
      <c r="K162" s="157">
        <v>2013</v>
      </c>
      <c r="L162" s="551"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12"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4"/>
      <c r="AI162" s="174"/>
      <c r="AJ162" s="173" t="s">
        <v>901</v>
      </c>
      <c r="AK162" s="181" t="str">
        <f t="shared" ca="1" si="34"/>
        <v>TERMINO</v>
      </c>
      <c r="AL162" s="181" t="s">
        <v>574</v>
      </c>
      <c r="AM162" s="176" t="s">
        <v>390</v>
      </c>
      <c r="AN162" s="875" t="str">
        <f>IFERROR(VLOOKUP(E162,'liquidaciones '!$B$2:$C$1048576,2,0),"NO")</f>
        <v>LIQUIDADO</v>
      </c>
      <c r="AO162" s="983">
        <f>IFERROR(VLOOKUP(E162,'liquidaciones '!$B$2:$I$1048576,8,0),"")</f>
        <v>0</v>
      </c>
      <c r="AP162" s="342">
        <v>42009</v>
      </c>
      <c r="AQ162" s="177" t="str">
        <f t="shared" ca="1" si="35"/>
        <v>NO</v>
      </c>
      <c r="AR162" s="177" t="s">
        <v>1166</v>
      </c>
      <c r="AS162" s="438"/>
      <c r="AT162" s="1015"/>
    </row>
    <row r="163" spans="2:46" ht="47.25" customHeight="1" x14ac:dyDescent="0.25">
      <c r="B163" s="15">
        <v>157</v>
      </c>
      <c r="C163" s="442"/>
      <c r="D163" s="442" t="str">
        <f t="shared" si="25"/>
        <v>2013</v>
      </c>
      <c r="E163" s="139" t="s">
        <v>225</v>
      </c>
      <c r="F163" s="132" t="s">
        <v>226</v>
      </c>
      <c r="G163" s="133">
        <v>19136712</v>
      </c>
      <c r="H163" s="132" t="s">
        <v>498</v>
      </c>
      <c r="I163" s="140">
        <v>5000000</v>
      </c>
      <c r="J163" s="134" t="s">
        <v>1088</v>
      </c>
      <c r="K163" s="157">
        <v>2013</v>
      </c>
      <c r="L163" s="551"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5"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4"/>
      <c r="AI163" s="174"/>
      <c r="AJ163" s="173" t="s">
        <v>901</v>
      </c>
      <c r="AK163" s="181" t="str">
        <f t="shared" ca="1" si="34"/>
        <v>TERMINO</v>
      </c>
      <c r="AL163" s="181" t="s">
        <v>582</v>
      </c>
      <c r="AM163" s="176" t="s">
        <v>391</v>
      </c>
      <c r="AN163" s="875" t="str">
        <f>IFERROR(VLOOKUP(E163,'liquidaciones '!$B$2:$C$1048576,2,0),"NO")</f>
        <v>NO</v>
      </c>
      <c r="AO163" s="983" t="str">
        <f>IFERROR(VLOOKUP(E163,'liquidaciones '!$B$2:$I$1048576,8,0),"")</f>
        <v/>
      </c>
      <c r="AP163" s="342">
        <v>41971</v>
      </c>
      <c r="AQ163" s="177" t="str">
        <f t="shared" ca="1" si="35"/>
        <v>NO</v>
      </c>
      <c r="AR163" s="177" t="s">
        <v>1166</v>
      </c>
      <c r="AS163" s="438"/>
      <c r="AT163" s="1015"/>
    </row>
    <row r="164" spans="2:46" ht="47.25" customHeight="1" x14ac:dyDescent="0.25">
      <c r="B164" s="15">
        <v>158</v>
      </c>
      <c r="C164" s="442"/>
      <c r="D164" s="442" t="str">
        <f t="shared" si="25"/>
        <v>2013</v>
      </c>
      <c r="E164" s="139" t="s">
        <v>221</v>
      </c>
      <c r="F164" s="132" t="s">
        <v>222</v>
      </c>
      <c r="G164" s="133">
        <v>7212142</v>
      </c>
      <c r="H164" s="132" t="s">
        <v>498</v>
      </c>
      <c r="I164" s="140">
        <v>5000000</v>
      </c>
      <c r="J164" s="134" t="s">
        <v>1088</v>
      </c>
      <c r="K164" s="157">
        <v>2013</v>
      </c>
      <c r="L164" s="551"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5"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4"/>
      <c r="AI164" s="174"/>
      <c r="AJ164" s="173" t="s">
        <v>901</v>
      </c>
      <c r="AK164" s="181" t="str">
        <f t="shared" ca="1" si="34"/>
        <v>TERMINO</v>
      </c>
      <c r="AL164" s="181" t="s">
        <v>582</v>
      </c>
      <c r="AM164" s="176" t="s">
        <v>391</v>
      </c>
      <c r="AN164" s="875" t="str">
        <f>IFERROR(VLOOKUP(E164,'liquidaciones '!$B$2:$C$1048576,2,0),"NO")</f>
        <v>LIQUIDADO</v>
      </c>
      <c r="AO164" s="983">
        <f>IFERROR(VLOOKUP(E164,'liquidaciones '!$B$2:$I$1048576,8,0),"")</f>
        <v>0</v>
      </c>
      <c r="AP164" s="342">
        <v>41919</v>
      </c>
      <c r="AQ164" s="177" t="str">
        <f t="shared" ca="1" si="35"/>
        <v>NO</v>
      </c>
      <c r="AR164" s="177" t="s">
        <v>1166</v>
      </c>
      <c r="AS164" s="438"/>
      <c r="AT164" s="1015"/>
    </row>
    <row r="165" spans="2:46" ht="47.25" customHeight="1" x14ac:dyDescent="0.25">
      <c r="B165" s="15">
        <v>159</v>
      </c>
      <c r="C165" s="442"/>
      <c r="D165" s="442" t="str">
        <f t="shared" si="25"/>
        <v>2013</v>
      </c>
      <c r="E165" s="139" t="s">
        <v>242</v>
      </c>
      <c r="F165" s="132" t="s">
        <v>235</v>
      </c>
      <c r="G165" s="133">
        <v>830110570</v>
      </c>
      <c r="H165" s="132" t="s">
        <v>500</v>
      </c>
      <c r="I165" s="140">
        <v>3017160</v>
      </c>
      <c r="J165" s="134" t="s">
        <v>1088</v>
      </c>
      <c r="K165" s="157">
        <v>2013</v>
      </c>
      <c r="L165" s="551"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12"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4" t="s">
        <v>560</v>
      </c>
      <c r="AI165" s="174"/>
      <c r="AJ165" s="173" t="s">
        <v>902</v>
      </c>
      <c r="AK165" s="181" t="str">
        <f t="shared" ca="1" si="34"/>
        <v>TERMINO</v>
      </c>
      <c r="AL165" s="181" t="s">
        <v>576</v>
      </c>
      <c r="AM165" s="176" t="s">
        <v>390</v>
      </c>
      <c r="AN165" s="875" t="str">
        <f>IFERROR(VLOOKUP(E165,'liquidaciones '!$B$2:$C$1048576,2,0),"NO")</f>
        <v>NO</v>
      </c>
      <c r="AO165" s="983" t="str">
        <f>IFERROR(VLOOKUP(E165,'liquidaciones '!$B$2:$I$1048576,8,0),"")</f>
        <v/>
      </c>
      <c r="AP165" s="344">
        <v>41760</v>
      </c>
      <c r="AQ165" s="177" t="str">
        <f t="shared" ca="1" si="35"/>
        <v>NO</v>
      </c>
      <c r="AR165" s="177" t="s">
        <v>981</v>
      </c>
      <c r="AS165" s="438"/>
      <c r="AT165" s="1015"/>
    </row>
    <row r="166" spans="2:46" ht="47.25" customHeight="1" x14ac:dyDescent="0.25">
      <c r="B166" s="15">
        <v>160</v>
      </c>
      <c r="C166" s="442"/>
      <c r="D166" s="442" t="str">
        <f t="shared" si="25"/>
        <v>2013</v>
      </c>
      <c r="E166" s="139" t="s">
        <v>240</v>
      </c>
      <c r="F166" s="132" t="s">
        <v>290</v>
      </c>
      <c r="G166" s="133">
        <v>811021363</v>
      </c>
      <c r="H166" s="132" t="s">
        <v>501</v>
      </c>
      <c r="I166" s="140">
        <v>60000000</v>
      </c>
      <c r="J166" s="134" t="s">
        <v>1088</v>
      </c>
      <c r="K166" s="157">
        <v>2013</v>
      </c>
      <c r="L166" s="551"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5"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4" t="s">
        <v>1392</v>
      </c>
      <c r="AG166" s="173" t="s">
        <v>1443</v>
      </c>
      <c r="AH166" s="284" t="s">
        <v>560</v>
      </c>
      <c r="AI166" s="174" t="s">
        <v>1510</v>
      </c>
      <c r="AJ166" s="173" t="s">
        <v>901</v>
      </c>
      <c r="AK166" s="181" t="str">
        <f t="shared" ca="1" si="34"/>
        <v>TERMINO</v>
      </c>
      <c r="AL166" s="173" t="s">
        <v>575</v>
      </c>
      <c r="AM166" s="176" t="s">
        <v>390</v>
      </c>
      <c r="AN166" s="875" t="str">
        <f>IFERROR(VLOOKUP(E166,'liquidaciones '!$B$2:$C$1048576,2,0),"NO")</f>
        <v>EN TRÁMITE</v>
      </c>
      <c r="AO166" s="983">
        <f>IFERROR(VLOOKUP(E166,'liquidaciones '!$B$2:$I$1048576,8,0),"")</f>
        <v>0</v>
      </c>
      <c r="AP166" s="342"/>
      <c r="AQ166" s="177" t="str">
        <f t="shared" ca="1" si="35"/>
        <v>NO</v>
      </c>
      <c r="AR166" s="177" t="s">
        <v>1995</v>
      </c>
      <c r="AS166" s="438"/>
      <c r="AT166" s="1015"/>
    </row>
    <row r="167" spans="2:46" ht="47.25" customHeight="1" x14ac:dyDescent="0.25">
      <c r="B167" s="15">
        <v>161</v>
      </c>
      <c r="C167" s="442"/>
      <c r="D167" s="442" t="str">
        <f t="shared" si="25"/>
        <v>2013</v>
      </c>
      <c r="E167" s="139" t="s">
        <v>229</v>
      </c>
      <c r="F167" s="132" t="s">
        <v>1043</v>
      </c>
      <c r="G167" s="133">
        <v>72167924</v>
      </c>
      <c r="H167" s="132" t="s">
        <v>498</v>
      </c>
      <c r="I167" s="140">
        <v>5000000</v>
      </c>
      <c r="J167" s="134" t="s">
        <v>1088</v>
      </c>
      <c r="K167" s="157">
        <v>2013</v>
      </c>
      <c r="L167" s="551"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5"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4"/>
      <c r="AI167" s="174"/>
      <c r="AJ167" s="173" t="s">
        <v>901</v>
      </c>
      <c r="AK167" s="181" t="str">
        <f t="shared" ca="1" si="34"/>
        <v>TERMINO</v>
      </c>
      <c r="AL167" s="181" t="s">
        <v>582</v>
      </c>
      <c r="AM167" s="176" t="s">
        <v>391</v>
      </c>
      <c r="AN167" s="875" t="str">
        <f>IFERROR(VLOOKUP(E167,'liquidaciones '!$B$2:$C$1048576,2,0),"NO")</f>
        <v>NO</v>
      </c>
      <c r="AO167" s="983" t="str">
        <f>IFERROR(VLOOKUP(E167,'liquidaciones '!$B$2:$I$1048576,8,0),"")</f>
        <v/>
      </c>
      <c r="AP167" s="342">
        <v>41919</v>
      </c>
      <c r="AQ167" s="177" t="str">
        <f t="shared" ca="1" si="35"/>
        <v>NO</v>
      </c>
      <c r="AR167" s="177" t="s">
        <v>1166</v>
      </c>
      <c r="AS167" s="438"/>
      <c r="AT167" s="1015"/>
    </row>
    <row r="168" spans="2:46" ht="47.25" customHeight="1" x14ac:dyDescent="0.25">
      <c r="B168" s="15">
        <v>162</v>
      </c>
      <c r="C168" s="442"/>
      <c r="D168" s="442" t="str">
        <f t="shared" si="25"/>
        <v>2013</v>
      </c>
      <c r="E168" s="139" t="s">
        <v>239</v>
      </c>
      <c r="F168" s="132" t="s">
        <v>152</v>
      </c>
      <c r="G168" s="133">
        <v>800015583</v>
      </c>
      <c r="H168" s="132" t="s">
        <v>502</v>
      </c>
      <c r="I168" s="140">
        <v>3743343</v>
      </c>
      <c r="J168" s="134" t="s">
        <v>1088</v>
      </c>
      <c r="K168" s="157">
        <v>2013</v>
      </c>
      <c r="L168" s="551"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12"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4"/>
      <c r="AI168" s="174" t="s">
        <v>1510</v>
      </c>
      <c r="AJ168" s="173" t="s">
        <v>902</v>
      </c>
      <c r="AK168" s="181" t="str">
        <f t="shared" ca="1" si="34"/>
        <v>TERMINO</v>
      </c>
      <c r="AL168" s="181" t="s">
        <v>576</v>
      </c>
      <c r="AM168" s="176" t="s">
        <v>391</v>
      </c>
      <c r="AN168" s="875" t="str">
        <f>IFERROR(VLOOKUP(E168,'liquidaciones '!$B$2:$C$1048576,2,0),"NO")</f>
        <v>EN TRÁMITE</v>
      </c>
      <c r="AO168" s="983">
        <f>IFERROR(VLOOKUP(E168,'liquidaciones '!$B$2:$I$1048576,8,0),"")</f>
        <v>0</v>
      </c>
      <c r="AP168" s="342"/>
      <c r="AQ168" s="177" t="str">
        <f t="shared" ca="1" si="35"/>
        <v>NO</v>
      </c>
      <c r="AR168" s="177" t="s">
        <v>1995</v>
      </c>
      <c r="AS168" s="438"/>
      <c r="AT168" s="1015"/>
    </row>
    <row r="169" spans="2:46" ht="47.25" customHeight="1" x14ac:dyDescent="0.25">
      <c r="B169" s="15">
        <v>163</v>
      </c>
      <c r="C169" s="442"/>
      <c r="D169" s="442" t="str">
        <f t="shared" si="25"/>
        <v>2013</v>
      </c>
      <c r="E169" s="139" t="s">
        <v>405</v>
      </c>
      <c r="F169" s="132" t="s">
        <v>238</v>
      </c>
      <c r="G169" s="133">
        <v>52374136</v>
      </c>
      <c r="H169" s="132" t="s">
        <v>503</v>
      </c>
      <c r="I169" s="140">
        <v>1620000</v>
      </c>
      <c r="J169" s="134" t="s">
        <v>1088</v>
      </c>
      <c r="K169" s="157">
        <v>2013</v>
      </c>
      <c r="L169" s="551"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5"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4" t="s">
        <v>1170</v>
      </c>
      <c r="AG169" s="173" t="s">
        <v>1443</v>
      </c>
      <c r="AH169" s="284" t="s">
        <v>560</v>
      </c>
      <c r="AI169" s="174" t="s">
        <v>1381</v>
      </c>
      <c r="AJ169" s="173" t="s">
        <v>902</v>
      </c>
      <c r="AK169" s="181" t="str">
        <f t="shared" ca="1" si="34"/>
        <v>TERMINO</v>
      </c>
      <c r="AL169" s="181" t="s">
        <v>576</v>
      </c>
      <c r="AM169" s="176" t="s">
        <v>390</v>
      </c>
      <c r="AN169" s="875" t="str">
        <f>IFERROR(VLOOKUP(E169,'liquidaciones '!$B$2:$C$1048576,2,0),"NO")</f>
        <v>LIQUIDADO</v>
      </c>
      <c r="AO169" s="983">
        <f>IFERROR(VLOOKUP(E169,'liquidaciones '!$B$2:$I$1048576,8,0),"")</f>
        <v>0</v>
      </c>
      <c r="AP169" s="342">
        <v>41926</v>
      </c>
      <c r="AQ169" s="177" t="str">
        <f t="shared" ca="1" si="35"/>
        <v>NO</v>
      </c>
      <c r="AR169" s="177" t="s">
        <v>981</v>
      </c>
      <c r="AS169" s="438"/>
      <c r="AT169" s="1015"/>
    </row>
    <row r="170" spans="2:46" ht="47.25" customHeight="1" x14ac:dyDescent="0.25">
      <c r="B170" s="15">
        <v>164</v>
      </c>
      <c r="C170" s="442"/>
      <c r="D170" s="442" t="str">
        <f t="shared" si="25"/>
        <v>2013</v>
      </c>
      <c r="E170" s="139" t="s">
        <v>236</v>
      </c>
      <c r="F170" s="132" t="s">
        <v>186</v>
      </c>
      <c r="G170" s="133">
        <v>800039398</v>
      </c>
      <c r="H170" s="132" t="s">
        <v>504</v>
      </c>
      <c r="I170" s="140">
        <v>32048480</v>
      </c>
      <c r="J170" s="134" t="s">
        <v>1088</v>
      </c>
      <c r="K170" s="157">
        <v>2013</v>
      </c>
      <c r="L170" s="551"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5"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4" t="s">
        <v>560</v>
      </c>
      <c r="AI170" s="174"/>
      <c r="AJ170" s="173" t="s">
        <v>901</v>
      </c>
      <c r="AK170" s="181" t="str">
        <f t="shared" ca="1" si="34"/>
        <v>TERMINO</v>
      </c>
      <c r="AL170" s="181" t="s">
        <v>576</v>
      </c>
      <c r="AM170" s="176" t="s">
        <v>390</v>
      </c>
      <c r="AN170" s="875" t="str">
        <f>IFERROR(VLOOKUP(E170,'liquidaciones '!$B$2:$C$1048576,2,0),"NO")</f>
        <v>NO</v>
      </c>
      <c r="AO170" s="983" t="str">
        <f>IFERROR(VLOOKUP(E170,'liquidaciones '!$B$2:$I$1048576,8,0),"")</f>
        <v/>
      </c>
      <c r="AP170" s="342"/>
      <c r="AQ170" s="177" t="str">
        <f t="shared" ca="1" si="35"/>
        <v>NO</v>
      </c>
      <c r="AR170" s="177" t="s">
        <v>983</v>
      </c>
      <c r="AS170" s="438"/>
      <c r="AT170" s="1015"/>
    </row>
    <row r="171" spans="2:46" ht="47.25" customHeight="1" x14ac:dyDescent="0.25">
      <c r="B171" s="15">
        <v>165</v>
      </c>
      <c r="C171" s="442"/>
      <c r="D171" s="442" t="str">
        <f t="shared" si="25"/>
        <v>2013</v>
      </c>
      <c r="E171" s="139" t="s">
        <v>241</v>
      </c>
      <c r="F171" s="132" t="s">
        <v>1044</v>
      </c>
      <c r="G171" s="133">
        <v>830093579</v>
      </c>
      <c r="H171" s="132" t="s">
        <v>505</v>
      </c>
      <c r="I171" s="140">
        <v>3480000</v>
      </c>
      <c r="J171" s="134" t="s">
        <v>1088</v>
      </c>
      <c r="K171" s="157">
        <v>2013</v>
      </c>
      <c r="L171" s="551"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12"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4"/>
      <c r="AI171" s="174"/>
      <c r="AJ171" s="173" t="s">
        <v>902</v>
      </c>
      <c r="AK171" s="181" t="str">
        <f t="shared" ca="1" si="34"/>
        <v>TERMINO</v>
      </c>
      <c r="AL171" s="181" t="s">
        <v>576</v>
      </c>
      <c r="AM171" s="176" t="s">
        <v>391</v>
      </c>
      <c r="AN171" s="875" t="str">
        <f>IFERROR(VLOOKUP(E171,'liquidaciones '!$B$2:$C$1048576,2,0),"NO")</f>
        <v>NO</v>
      </c>
      <c r="AO171" s="983" t="str">
        <f>IFERROR(VLOOKUP(E171,'liquidaciones '!$B$2:$I$1048576,8,0),"")</f>
        <v/>
      </c>
      <c r="AP171" s="342"/>
      <c r="AQ171" s="177" t="str">
        <f t="shared" ca="1" si="35"/>
        <v>NO</v>
      </c>
      <c r="AR171" s="177" t="s">
        <v>981</v>
      </c>
      <c r="AS171" s="438"/>
      <c r="AT171" s="1015"/>
    </row>
    <row r="172" spans="2:46" ht="47.25" customHeight="1" x14ac:dyDescent="0.25">
      <c r="B172" s="15">
        <v>166</v>
      </c>
      <c r="C172" s="442"/>
      <c r="D172" s="442" t="str">
        <f t="shared" si="25"/>
        <v>2013</v>
      </c>
      <c r="E172" s="139" t="s">
        <v>237</v>
      </c>
      <c r="F172" s="132" t="s">
        <v>186</v>
      </c>
      <c r="G172" s="137">
        <v>800039398</v>
      </c>
      <c r="H172" s="132" t="s">
        <v>506</v>
      </c>
      <c r="I172" s="140">
        <v>126308000</v>
      </c>
      <c r="J172" s="134" t="s">
        <v>1088</v>
      </c>
      <c r="K172" s="157">
        <v>2013</v>
      </c>
      <c r="L172" s="551"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5"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4" t="s">
        <v>560</v>
      </c>
      <c r="AI172" s="174" t="s">
        <v>1381</v>
      </c>
      <c r="AJ172" s="173" t="s">
        <v>902</v>
      </c>
      <c r="AK172" s="181" t="str">
        <f t="shared" ca="1" si="34"/>
        <v>TERMINO</v>
      </c>
      <c r="AL172" s="173" t="s">
        <v>575</v>
      </c>
      <c r="AM172" s="176" t="s">
        <v>390</v>
      </c>
      <c r="AN172" s="875" t="str">
        <f>IFERROR(VLOOKUP(E172,'liquidaciones '!$B$2:$C$1048576,2,0),"NO")</f>
        <v>LIQUIDADO</v>
      </c>
      <c r="AO172" s="983">
        <f>IFERROR(VLOOKUP(E172,'liquidaciones '!$B$2:$I$1048576,8,0),"")</f>
        <v>0</v>
      </c>
      <c r="AP172" s="342">
        <v>42009</v>
      </c>
      <c r="AQ172" s="177" t="str">
        <f t="shared" ca="1" si="35"/>
        <v>NO</v>
      </c>
      <c r="AR172" s="177" t="s">
        <v>1166</v>
      </c>
      <c r="AS172" s="438"/>
      <c r="AT172" s="1015"/>
    </row>
    <row r="173" spans="2:46" ht="47.25" customHeight="1" x14ac:dyDescent="0.25">
      <c r="B173" s="15">
        <v>167</v>
      </c>
      <c r="C173" s="442"/>
      <c r="D173" s="442" t="str">
        <f t="shared" si="25"/>
        <v>2013</v>
      </c>
      <c r="E173" s="139" t="s">
        <v>230</v>
      </c>
      <c r="F173" s="132" t="s">
        <v>1045</v>
      </c>
      <c r="G173" s="133">
        <v>1010168639</v>
      </c>
      <c r="H173" s="132" t="s">
        <v>507</v>
      </c>
      <c r="I173" s="140">
        <v>3500000</v>
      </c>
      <c r="J173" s="134" t="s">
        <v>1088</v>
      </c>
      <c r="K173" s="157">
        <v>2013</v>
      </c>
      <c r="L173" s="551"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5"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4"/>
      <c r="AI173" s="174"/>
      <c r="AJ173" s="173" t="s">
        <v>901</v>
      </c>
      <c r="AK173" s="181" t="str">
        <f t="shared" ca="1" si="34"/>
        <v>TERMINO</v>
      </c>
      <c r="AL173" s="181" t="s">
        <v>582</v>
      </c>
      <c r="AM173" s="176" t="s">
        <v>391</v>
      </c>
      <c r="AN173" s="875" t="str">
        <f>IFERROR(VLOOKUP(E173,'liquidaciones '!$B$2:$C$1048576,2,0),"NO")</f>
        <v>LIQUIDADO</v>
      </c>
      <c r="AO173" s="983">
        <f>IFERROR(VLOOKUP(E173,'liquidaciones '!$B$2:$I$1048576,8,0),"")</f>
        <v>0</v>
      </c>
      <c r="AP173" s="342">
        <v>41919</v>
      </c>
      <c r="AQ173" s="177" t="str">
        <f t="shared" ca="1" si="35"/>
        <v>NO</v>
      </c>
      <c r="AR173" s="177" t="s">
        <v>1166</v>
      </c>
      <c r="AS173" s="438"/>
      <c r="AT173" s="1015"/>
    </row>
    <row r="174" spans="2:46" ht="53.25" customHeight="1" x14ac:dyDescent="0.25">
      <c r="B174" s="15">
        <v>168</v>
      </c>
      <c r="C174" s="442"/>
      <c r="D174" s="442" t="str">
        <f t="shared" si="25"/>
        <v>2013</v>
      </c>
      <c r="E174" s="139" t="s">
        <v>243</v>
      </c>
      <c r="F174" s="132" t="s">
        <v>244</v>
      </c>
      <c r="G174" s="133">
        <v>800058607</v>
      </c>
      <c r="H174" s="132" t="s">
        <v>508</v>
      </c>
      <c r="I174" s="140">
        <v>803432165</v>
      </c>
      <c r="J174" s="134" t="s">
        <v>1088</v>
      </c>
      <c r="K174" s="157">
        <v>2013</v>
      </c>
      <c r="L174" s="551"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5"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4" t="s">
        <v>560</v>
      </c>
      <c r="AI174" s="174"/>
      <c r="AJ174" s="173" t="s">
        <v>902</v>
      </c>
      <c r="AK174" s="181" t="str">
        <f t="shared" ca="1" si="34"/>
        <v>TERMINO</v>
      </c>
      <c r="AL174" s="173" t="s">
        <v>575</v>
      </c>
      <c r="AM174" s="176" t="s">
        <v>390</v>
      </c>
      <c r="AN174" s="875" t="str">
        <f>IFERROR(VLOOKUP(E174,'liquidaciones '!$B$2:$C$1048576,2,0),"NO")</f>
        <v>NO</v>
      </c>
      <c r="AO174" s="983" t="str">
        <f>IFERROR(VLOOKUP(E174,'liquidaciones '!$B$2:$I$1048576,8,0),"")</f>
        <v/>
      </c>
      <c r="AP174" s="342">
        <v>42192</v>
      </c>
      <c r="AQ174" s="177" t="str">
        <f t="shared" ca="1" si="35"/>
        <v>NO</v>
      </c>
      <c r="AR174" s="177" t="s">
        <v>981</v>
      </c>
      <c r="AS174" s="438"/>
      <c r="AT174" s="1015"/>
    </row>
    <row r="175" spans="2:46" ht="47.25" customHeight="1" x14ac:dyDescent="0.25">
      <c r="B175" s="15">
        <v>169</v>
      </c>
      <c r="C175" s="442"/>
      <c r="D175" s="442" t="str">
        <f t="shared" si="25"/>
        <v>2014</v>
      </c>
      <c r="E175" s="139" t="s">
        <v>1106</v>
      </c>
      <c r="F175" s="132" t="s">
        <v>100</v>
      </c>
      <c r="G175" s="133">
        <v>860019063</v>
      </c>
      <c r="H175" s="132" t="s">
        <v>1052</v>
      </c>
      <c r="I175" s="140">
        <v>30000000</v>
      </c>
      <c r="J175" s="879" t="s">
        <v>2676</v>
      </c>
      <c r="K175" s="157">
        <v>2014</v>
      </c>
      <c r="L175" s="551"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8"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4" t="s">
        <v>560</v>
      </c>
      <c r="AI175" s="174" t="s">
        <v>1320</v>
      </c>
      <c r="AJ175" s="173" t="s">
        <v>901</v>
      </c>
      <c r="AK175" s="181" t="str">
        <f t="shared" ca="1" si="34"/>
        <v>TERMINO</v>
      </c>
      <c r="AL175" s="181" t="s">
        <v>576</v>
      </c>
      <c r="AM175" s="176" t="s">
        <v>390</v>
      </c>
      <c r="AN175" s="875" t="str">
        <f>IFERROR(VLOOKUP(E175,'liquidaciones '!$B$2:$C$1048576,2,0),"NO")</f>
        <v>LIQUIDADO</v>
      </c>
      <c r="AO175" s="983">
        <f>IFERROR(VLOOKUP(E175,'liquidaciones '!$B$2:$I$1048576,8,0),"")</f>
        <v>0</v>
      </c>
      <c r="AP175" s="342"/>
      <c r="AQ175" s="177" t="str">
        <f t="shared" ca="1" si="35"/>
        <v>NO</v>
      </c>
      <c r="AR175" s="177" t="s">
        <v>1573</v>
      </c>
      <c r="AS175" s="438"/>
      <c r="AT175" s="1015"/>
    </row>
    <row r="176" spans="2:46" ht="47.25" customHeight="1" x14ac:dyDescent="0.25">
      <c r="B176" s="15">
        <v>170</v>
      </c>
      <c r="C176" s="442"/>
      <c r="D176" s="442" t="str">
        <f t="shared" si="25"/>
        <v>2014</v>
      </c>
      <c r="E176" s="139" t="s">
        <v>278</v>
      </c>
      <c r="F176" s="132" t="s">
        <v>15</v>
      </c>
      <c r="G176" s="133">
        <v>830067096</v>
      </c>
      <c r="H176" s="132" t="s">
        <v>509</v>
      </c>
      <c r="I176" s="140">
        <v>7740000</v>
      </c>
      <c r="J176" s="890">
        <v>140034</v>
      </c>
      <c r="K176" s="157">
        <v>2014</v>
      </c>
      <c r="L176" s="551"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8" t="s">
        <v>1210</v>
      </c>
      <c r="Y176" s="42">
        <f t="shared" si="29"/>
        <v>1</v>
      </c>
      <c r="Z176" s="42">
        <f t="shared" ca="1" si="30"/>
        <v>1</v>
      </c>
      <c r="AA176" s="43">
        <f t="shared" ca="1" si="31"/>
        <v>0</v>
      </c>
      <c r="AB176" s="202" t="str">
        <f t="shared" ca="1" si="32"/>
        <v/>
      </c>
      <c r="AC176" s="44" t="str">
        <f t="shared" si="33"/>
        <v>SI</v>
      </c>
      <c r="AD176" s="44"/>
      <c r="AE176" s="173" t="s">
        <v>1257</v>
      </c>
      <c r="AF176" s="304" t="s">
        <v>1126</v>
      </c>
      <c r="AG176" s="173" t="s">
        <v>1431</v>
      </c>
      <c r="AH176" s="284" t="s">
        <v>564</v>
      </c>
      <c r="AI176" s="174" t="s">
        <v>1382</v>
      </c>
      <c r="AJ176" s="174" t="s">
        <v>901</v>
      </c>
      <c r="AK176" s="181" t="str">
        <f t="shared" ca="1" si="34"/>
        <v>TERMINO</v>
      </c>
      <c r="AL176" s="181" t="s">
        <v>582</v>
      </c>
      <c r="AM176" s="176" t="s">
        <v>390</v>
      </c>
      <c r="AN176" s="875" t="str">
        <f>IFERROR(VLOOKUP(E176,'liquidaciones '!$B$2:$C$1048576,2,0),"NO")</f>
        <v>LIQUIDADO</v>
      </c>
      <c r="AO176" s="983">
        <f>IFERROR(VLOOKUP(E176,'liquidaciones '!$B$2:$I$1048576,8,0),"")</f>
        <v>0</v>
      </c>
      <c r="AP176" s="342">
        <v>42318</v>
      </c>
      <c r="AQ176" s="177" t="str">
        <f t="shared" ca="1" si="35"/>
        <v>NO</v>
      </c>
      <c r="AR176" s="177" t="s">
        <v>1511</v>
      </c>
      <c r="AS176" s="438"/>
      <c r="AT176" s="1015"/>
    </row>
    <row r="177" spans="1:46" ht="47.25" customHeight="1" x14ac:dyDescent="0.25">
      <c r="A177" s="15">
        <v>4</v>
      </c>
      <c r="B177" s="15">
        <v>171</v>
      </c>
      <c r="C177" s="442"/>
      <c r="D177" s="442" t="str">
        <f t="shared" si="25"/>
        <v>2014</v>
      </c>
      <c r="E177" s="139" t="s">
        <v>171</v>
      </c>
      <c r="F177" s="132" t="s">
        <v>1034</v>
      </c>
      <c r="G177" s="133">
        <v>79887061</v>
      </c>
      <c r="H177" s="132" t="s">
        <v>510</v>
      </c>
      <c r="I177" s="140">
        <v>29819999</v>
      </c>
      <c r="J177" s="134" t="s">
        <v>1088</v>
      </c>
      <c r="K177" s="157">
        <v>2014</v>
      </c>
      <c r="L177" s="551"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8" t="s">
        <v>1180</v>
      </c>
      <c r="Y177" s="42">
        <f t="shared" si="29"/>
        <v>1</v>
      </c>
      <c r="Z177" s="42">
        <f t="shared" ca="1" si="30"/>
        <v>1</v>
      </c>
      <c r="AA177" s="43">
        <f t="shared" ca="1" si="31"/>
        <v>0</v>
      </c>
      <c r="AB177" s="202" t="str">
        <f t="shared" ca="1" si="32"/>
        <v/>
      </c>
      <c r="AC177" s="44" t="str">
        <f t="shared" si="33"/>
        <v>SI</v>
      </c>
      <c r="AD177" s="44"/>
      <c r="AE177" s="173" t="s">
        <v>1257</v>
      </c>
      <c r="AF177" s="304" t="s">
        <v>1132</v>
      </c>
      <c r="AG177" s="173" t="s">
        <v>1440</v>
      </c>
      <c r="AH177" s="284" t="s">
        <v>560</v>
      </c>
      <c r="AI177" s="174"/>
      <c r="AJ177" s="174" t="s">
        <v>901</v>
      </c>
      <c r="AK177" s="181" t="str">
        <f t="shared" ca="1" si="34"/>
        <v>TERMINO</v>
      </c>
      <c r="AL177" s="181" t="s">
        <v>582</v>
      </c>
      <c r="AM177" s="176" t="s">
        <v>391</v>
      </c>
      <c r="AN177" s="875" t="str">
        <f>IFERROR(VLOOKUP(E177,'liquidaciones '!$B$2:$C$1048576,2,0),"NO")</f>
        <v>LIQUIDADO</v>
      </c>
      <c r="AO177" s="983">
        <f>IFERROR(VLOOKUP(E177,'liquidaciones '!$B$2:$I$1048576,8,0),"")</f>
        <v>0</v>
      </c>
      <c r="AP177" s="342">
        <v>42152</v>
      </c>
      <c r="AQ177" s="177" t="str">
        <f t="shared" ca="1" si="35"/>
        <v>NO</v>
      </c>
      <c r="AR177" s="177" t="s">
        <v>981</v>
      </c>
      <c r="AS177" s="438"/>
      <c r="AT177" s="1015"/>
    </row>
    <row r="178" spans="1:46" ht="47.25" customHeight="1" x14ac:dyDescent="0.25">
      <c r="B178" s="15">
        <v>172</v>
      </c>
      <c r="C178" s="442"/>
      <c r="D178" s="442" t="str">
        <f t="shared" si="25"/>
        <v>2014</v>
      </c>
      <c r="E178" s="139" t="s">
        <v>252</v>
      </c>
      <c r="F178" s="132" t="s">
        <v>86</v>
      </c>
      <c r="G178" s="133">
        <v>860001022</v>
      </c>
      <c r="H178" s="132" t="s">
        <v>511</v>
      </c>
      <c r="I178" s="140">
        <v>1197000</v>
      </c>
      <c r="J178" s="134" t="s">
        <v>1088</v>
      </c>
      <c r="K178" s="157">
        <v>2014</v>
      </c>
      <c r="L178" s="551"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8" t="s">
        <v>1212</v>
      </c>
      <c r="Y178" s="42">
        <f t="shared" si="29"/>
        <v>1</v>
      </c>
      <c r="Z178" s="42">
        <f t="shared" ca="1" si="30"/>
        <v>1</v>
      </c>
      <c r="AA178" s="43">
        <f t="shared" ca="1" si="31"/>
        <v>0</v>
      </c>
      <c r="AB178" s="202" t="str">
        <f t="shared" ca="1" si="32"/>
        <v/>
      </c>
      <c r="AC178" s="44" t="str">
        <f t="shared" si="33"/>
        <v>SI</v>
      </c>
      <c r="AD178" s="44"/>
      <c r="AE178" s="173" t="s">
        <v>1257</v>
      </c>
      <c r="AF178" s="304" t="s">
        <v>1126</v>
      </c>
      <c r="AG178" s="173" t="s">
        <v>1431</v>
      </c>
      <c r="AH178" s="284" t="s">
        <v>564</v>
      </c>
      <c r="AI178" s="174" t="s">
        <v>1382</v>
      </c>
      <c r="AJ178" s="174" t="s">
        <v>901</v>
      </c>
      <c r="AK178" s="181" t="str">
        <f t="shared" ca="1" si="34"/>
        <v>TERMINO</v>
      </c>
      <c r="AL178" s="181" t="s">
        <v>582</v>
      </c>
      <c r="AM178" s="176" t="s">
        <v>390</v>
      </c>
      <c r="AN178" s="875" t="str">
        <f>IFERROR(VLOOKUP(E178,'liquidaciones '!$B$2:$C$1048576,2,0),"NO")</f>
        <v>EN TRÁMITE</v>
      </c>
      <c r="AO178" s="983">
        <f>IFERROR(VLOOKUP(E178,'liquidaciones '!$B$2:$I$1048576,8,0),"")</f>
        <v>0</v>
      </c>
      <c r="AP178" s="342"/>
      <c r="AQ178" s="177" t="str">
        <f t="shared" ca="1" si="35"/>
        <v>NO</v>
      </c>
      <c r="AR178" s="177" t="s">
        <v>1511</v>
      </c>
      <c r="AS178" s="438"/>
      <c r="AT178" s="1015"/>
    </row>
    <row r="179" spans="1:46" ht="47.25" customHeight="1" x14ac:dyDescent="0.25">
      <c r="B179" s="15">
        <v>173</v>
      </c>
      <c r="C179" s="442"/>
      <c r="D179" s="442" t="str">
        <f t="shared" si="25"/>
        <v>2014</v>
      </c>
      <c r="E179" s="162" t="s">
        <v>270</v>
      </c>
      <c r="F179" s="145" t="s">
        <v>1031</v>
      </c>
      <c r="G179" s="133">
        <v>800249557</v>
      </c>
      <c r="H179" s="145" t="s">
        <v>512</v>
      </c>
      <c r="I179" s="163">
        <v>4000000</v>
      </c>
      <c r="J179" s="134" t="s">
        <v>1088</v>
      </c>
      <c r="K179" s="157">
        <v>2014</v>
      </c>
      <c r="L179" s="551"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8"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4"/>
      <c r="AI179" s="174"/>
      <c r="AJ179" s="174" t="s">
        <v>901</v>
      </c>
      <c r="AK179" s="181" t="str">
        <f t="shared" ca="1" si="34"/>
        <v>TERMINO</v>
      </c>
      <c r="AL179" s="181" t="s">
        <v>582</v>
      </c>
      <c r="AM179" s="176" t="s">
        <v>390</v>
      </c>
      <c r="AN179" s="875" t="str">
        <f>IFERROR(VLOOKUP(E179,'liquidaciones '!$B$2:$C$1048576,2,0),"NO")</f>
        <v>LIQUIDADO</v>
      </c>
      <c r="AO179" s="983">
        <f>IFERROR(VLOOKUP(E179,'liquidaciones '!$B$2:$I$1048576,8,0),"")</f>
        <v>0</v>
      </c>
      <c r="AP179" s="342">
        <v>42095</v>
      </c>
      <c r="AQ179" s="177" t="str">
        <f t="shared" ca="1" si="35"/>
        <v>NO</v>
      </c>
      <c r="AR179" s="177" t="s">
        <v>1511</v>
      </c>
      <c r="AS179" s="438"/>
      <c r="AT179" s="1015"/>
    </row>
    <row r="180" spans="1:46" ht="47.25" customHeight="1" x14ac:dyDescent="0.25">
      <c r="B180" s="15">
        <v>174</v>
      </c>
      <c r="C180" s="442"/>
      <c r="D180" s="442" t="str">
        <f t="shared" si="25"/>
        <v>2014</v>
      </c>
      <c r="E180" s="162" t="s">
        <v>254</v>
      </c>
      <c r="F180" s="145" t="s">
        <v>1033</v>
      </c>
      <c r="G180" s="133">
        <v>51931422</v>
      </c>
      <c r="H180" s="145" t="s">
        <v>513</v>
      </c>
      <c r="I180" s="163">
        <v>42800000</v>
      </c>
      <c r="J180" s="134" t="s">
        <v>1088</v>
      </c>
      <c r="K180" s="157">
        <v>2014</v>
      </c>
      <c r="L180" s="551"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8" t="s">
        <v>1214</v>
      </c>
      <c r="Y180" s="42">
        <f t="shared" si="29"/>
        <v>1</v>
      </c>
      <c r="Z180" s="42">
        <f t="shared" ca="1" si="30"/>
        <v>1</v>
      </c>
      <c r="AA180" s="43">
        <f t="shared" ca="1" si="31"/>
        <v>0</v>
      </c>
      <c r="AB180" s="202" t="str">
        <f t="shared" ca="1" si="32"/>
        <v/>
      </c>
      <c r="AC180" s="44" t="str">
        <f t="shared" si="33"/>
        <v>SI</v>
      </c>
      <c r="AD180" s="44"/>
      <c r="AE180" s="173" t="s">
        <v>1257</v>
      </c>
      <c r="AF180" s="304" t="s">
        <v>1132</v>
      </c>
      <c r="AG180" s="173" t="s">
        <v>1178</v>
      </c>
      <c r="AH180" s="284" t="s">
        <v>559</v>
      </c>
      <c r="AI180" s="174" t="s">
        <v>1383</v>
      </c>
      <c r="AJ180" s="174" t="s">
        <v>901</v>
      </c>
      <c r="AK180" s="181" t="str">
        <f t="shared" ca="1" si="34"/>
        <v>TERMINO</v>
      </c>
      <c r="AL180" s="181" t="s">
        <v>582</v>
      </c>
      <c r="AM180" s="176" t="s">
        <v>391</v>
      </c>
      <c r="AN180" s="875" t="str">
        <f>IFERROR(VLOOKUP(E180,'liquidaciones '!$B$2:$C$1048576,2,0),"NO")</f>
        <v>LIQUIDADO</v>
      </c>
      <c r="AO180" s="983">
        <f>IFERROR(VLOOKUP(E180,'liquidaciones '!$B$2:$I$1048576,8,0),"")</f>
        <v>0</v>
      </c>
      <c r="AP180" s="342">
        <v>42145</v>
      </c>
      <c r="AQ180" s="177" t="str">
        <f t="shared" ca="1" si="35"/>
        <v>NO</v>
      </c>
      <c r="AR180" s="177" t="s">
        <v>981</v>
      </c>
      <c r="AS180" s="438"/>
      <c r="AT180" s="1015"/>
    </row>
    <row r="181" spans="1:46" ht="47.25" customHeight="1" x14ac:dyDescent="0.25">
      <c r="B181" s="15">
        <v>175</v>
      </c>
      <c r="C181" s="442"/>
      <c r="D181" s="442" t="str">
        <f t="shared" si="25"/>
        <v>2014</v>
      </c>
      <c r="E181" s="139" t="s">
        <v>267</v>
      </c>
      <c r="F181" s="132" t="s">
        <v>1516</v>
      </c>
      <c r="G181" s="133">
        <v>80117116</v>
      </c>
      <c r="H181" s="132" t="s">
        <v>514</v>
      </c>
      <c r="I181" s="140">
        <v>38830000</v>
      </c>
      <c r="J181" s="134" t="s">
        <v>1088</v>
      </c>
      <c r="K181" s="157">
        <v>2014</v>
      </c>
      <c r="L181" s="551"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8" t="s">
        <v>1181</v>
      </c>
      <c r="Y181" s="42">
        <f t="shared" si="29"/>
        <v>1</v>
      </c>
      <c r="Z181" s="42">
        <f t="shared" ca="1" si="30"/>
        <v>1</v>
      </c>
      <c r="AA181" s="43">
        <f t="shared" ca="1" si="31"/>
        <v>0</v>
      </c>
      <c r="AB181" s="202" t="str">
        <f t="shared" ca="1" si="32"/>
        <v/>
      </c>
      <c r="AC181" s="44" t="str">
        <f t="shared" si="33"/>
        <v>SI</v>
      </c>
      <c r="AD181" s="44"/>
      <c r="AE181" s="173" t="s">
        <v>1257</v>
      </c>
      <c r="AF181" s="304" t="s">
        <v>1132</v>
      </c>
      <c r="AG181" s="173" t="s">
        <v>1431</v>
      </c>
      <c r="AH181" s="284" t="s">
        <v>564</v>
      </c>
      <c r="AI181" s="174" t="s">
        <v>1382</v>
      </c>
      <c r="AJ181" s="174" t="s">
        <v>901</v>
      </c>
      <c r="AK181" s="181" t="str">
        <f t="shared" ca="1" si="34"/>
        <v>TERMINO</v>
      </c>
      <c r="AL181" s="181" t="s">
        <v>582</v>
      </c>
      <c r="AM181" s="176" t="s">
        <v>391</v>
      </c>
      <c r="AN181" s="875" t="str">
        <f>IFERROR(VLOOKUP(E181,'liquidaciones '!$B$2:$C$1048576,2,0),"NO")</f>
        <v>NO</v>
      </c>
      <c r="AO181" s="983" t="str">
        <f>IFERROR(VLOOKUP(E181,'liquidaciones '!$B$2:$I$1048576,8,0),"")</f>
        <v/>
      </c>
      <c r="AP181" s="342">
        <v>42087</v>
      </c>
      <c r="AQ181" s="177" t="str">
        <f t="shared" ca="1" si="35"/>
        <v>NO</v>
      </c>
      <c r="AR181" s="177" t="s">
        <v>981</v>
      </c>
      <c r="AS181" s="438"/>
      <c r="AT181" s="1015"/>
    </row>
    <row r="182" spans="1:46" ht="47.25" customHeight="1" x14ac:dyDescent="0.25">
      <c r="A182" s="39"/>
      <c r="B182" s="15">
        <v>176</v>
      </c>
      <c r="C182" s="442"/>
      <c r="D182" s="442" t="str">
        <f t="shared" si="25"/>
        <v>2014</v>
      </c>
      <c r="E182" s="162" t="s">
        <v>257</v>
      </c>
      <c r="F182" s="145" t="s">
        <v>1035</v>
      </c>
      <c r="G182" s="133">
        <v>4098836</v>
      </c>
      <c r="H182" s="145" t="s">
        <v>515</v>
      </c>
      <c r="I182" s="163">
        <v>40997000</v>
      </c>
      <c r="J182" s="134" t="s">
        <v>1088</v>
      </c>
      <c r="K182" s="157">
        <v>2014</v>
      </c>
      <c r="L182" s="551"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8" t="s">
        <v>1215</v>
      </c>
      <c r="Y182" s="42">
        <f t="shared" si="29"/>
        <v>1</v>
      </c>
      <c r="Z182" s="42">
        <f t="shared" ca="1" si="30"/>
        <v>1</v>
      </c>
      <c r="AA182" s="43">
        <f t="shared" ca="1" si="31"/>
        <v>0</v>
      </c>
      <c r="AB182" s="202" t="str">
        <f t="shared" ca="1" si="32"/>
        <v/>
      </c>
      <c r="AC182" s="44" t="str">
        <f t="shared" si="33"/>
        <v>SI</v>
      </c>
      <c r="AD182" s="44"/>
      <c r="AE182" s="173" t="s">
        <v>1257</v>
      </c>
      <c r="AF182" s="304" t="s">
        <v>1132</v>
      </c>
      <c r="AG182" s="173" t="s">
        <v>1178</v>
      </c>
      <c r="AH182" s="284" t="s">
        <v>559</v>
      </c>
      <c r="AI182" s="174" t="s">
        <v>1383</v>
      </c>
      <c r="AJ182" s="174" t="s">
        <v>901</v>
      </c>
      <c r="AK182" s="181" t="str">
        <f t="shared" ca="1" si="34"/>
        <v>TERMINO</v>
      </c>
      <c r="AL182" s="181" t="s">
        <v>582</v>
      </c>
      <c r="AM182" s="176" t="s">
        <v>391</v>
      </c>
      <c r="AN182" s="875" t="str">
        <f>IFERROR(VLOOKUP(E182,'liquidaciones '!$B$2:$C$1048576,2,0),"NO")</f>
        <v>LIQUIDADO</v>
      </c>
      <c r="AO182" s="983">
        <f>IFERROR(VLOOKUP(E182,'liquidaciones '!$B$2:$I$1048576,8,0),"")</f>
        <v>0</v>
      </c>
      <c r="AP182" s="342">
        <v>42153</v>
      </c>
      <c r="AQ182" s="177" t="str">
        <f t="shared" ca="1" si="35"/>
        <v>NO</v>
      </c>
      <c r="AR182" s="177" t="s">
        <v>981</v>
      </c>
      <c r="AS182" s="438"/>
      <c r="AT182" s="1015"/>
    </row>
    <row r="183" spans="1:46" ht="47.25" customHeight="1" x14ac:dyDescent="0.25">
      <c r="B183" s="15">
        <v>177</v>
      </c>
      <c r="C183" s="442"/>
      <c r="D183" s="442" t="str">
        <f t="shared" si="25"/>
        <v>2014</v>
      </c>
      <c r="E183" s="139" t="s">
        <v>245</v>
      </c>
      <c r="F183" s="132" t="s">
        <v>226</v>
      </c>
      <c r="G183" s="133">
        <v>19136712</v>
      </c>
      <c r="H183" s="132" t="s">
        <v>516</v>
      </c>
      <c r="I183" s="140">
        <v>55000000</v>
      </c>
      <c r="J183" s="134" t="s">
        <v>1088</v>
      </c>
      <c r="K183" s="157">
        <v>2014</v>
      </c>
      <c r="L183" s="551">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8"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4" t="s">
        <v>559</v>
      </c>
      <c r="AI183" s="174" t="s">
        <v>1383</v>
      </c>
      <c r="AJ183" s="174" t="s">
        <v>901</v>
      </c>
      <c r="AK183" s="181" t="str">
        <f t="shared" ca="1" si="34"/>
        <v>TERMINO</v>
      </c>
      <c r="AL183" s="181" t="s">
        <v>582</v>
      </c>
      <c r="AM183" s="176" t="s">
        <v>391</v>
      </c>
      <c r="AN183" s="875" t="str">
        <f>IFERROR(VLOOKUP(E183,'liquidaciones '!$B$2:$C$1048576,2,0),"NO")</f>
        <v>EN TRÁMITE</v>
      </c>
      <c r="AO183" s="983">
        <f>IFERROR(VLOOKUP(E183,'liquidaciones '!$B$2:$I$1048576,8,0),"")</f>
        <v>0</v>
      </c>
      <c r="AP183" s="342"/>
      <c r="AQ183" s="177" t="str">
        <f t="shared" ca="1" si="35"/>
        <v>NO</v>
      </c>
      <c r="AR183" s="177" t="s">
        <v>1056</v>
      </c>
      <c r="AS183" s="438"/>
      <c r="AT183" s="1015"/>
    </row>
    <row r="184" spans="1:46" ht="47.25" customHeight="1" x14ac:dyDescent="0.25">
      <c r="A184" s="39"/>
      <c r="B184" s="15">
        <v>178</v>
      </c>
      <c r="C184" s="442"/>
      <c r="D184" s="442" t="str">
        <f t="shared" si="25"/>
        <v>2014</v>
      </c>
      <c r="E184" s="139" t="s">
        <v>1109</v>
      </c>
      <c r="F184" s="132" t="s">
        <v>222</v>
      </c>
      <c r="G184" s="133">
        <v>7212142</v>
      </c>
      <c r="H184" s="132" t="s">
        <v>516</v>
      </c>
      <c r="I184" s="140">
        <v>55000000</v>
      </c>
      <c r="J184" s="134" t="s">
        <v>1088</v>
      </c>
      <c r="K184" s="157">
        <v>2014</v>
      </c>
      <c r="L184" s="551">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8"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4" t="s">
        <v>559</v>
      </c>
      <c r="AI184" s="174" t="s">
        <v>1383</v>
      </c>
      <c r="AJ184" s="174" t="s">
        <v>901</v>
      </c>
      <c r="AK184" s="181" t="str">
        <f t="shared" ca="1" si="34"/>
        <v>TERMINO</v>
      </c>
      <c r="AL184" s="181" t="s">
        <v>582</v>
      </c>
      <c r="AM184" s="176" t="s">
        <v>391</v>
      </c>
      <c r="AN184" s="875" t="str">
        <f>IFERROR(VLOOKUP(E184,'liquidaciones '!$B$2:$C$1048576,2,0),"NO")</f>
        <v>NO</v>
      </c>
      <c r="AO184" s="983" t="str">
        <f>IFERROR(VLOOKUP(E184,'liquidaciones '!$B$2:$I$1048576,8,0),"")</f>
        <v/>
      </c>
      <c r="AP184" s="342">
        <v>42234</v>
      </c>
      <c r="AQ184" s="177" t="str">
        <f t="shared" ca="1" si="35"/>
        <v>NO</v>
      </c>
      <c r="AR184" s="177" t="s">
        <v>1056</v>
      </c>
      <c r="AS184" s="438"/>
      <c r="AT184" s="1015"/>
    </row>
    <row r="185" spans="1:46" ht="56.25" customHeight="1" x14ac:dyDescent="0.25">
      <c r="B185" s="15">
        <v>179</v>
      </c>
      <c r="C185" s="442"/>
      <c r="D185" s="442" t="str">
        <f t="shared" si="25"/>
        <v>2014</v>
      </c>
      <c r="E185" s="139" t="s">
        <v>247</v>
      </c>
      <c r="F185" s="2" t="s">
        <v>1515</v>
      </c>
      <c r="G185" s="133">
        <v>72167924</v>
      </c>
      <c r="H185" s="132" t="s">
        <v>516</v>
      </c>
      <c r="I185" s="140">
        <v>55000000</v>
      </c>
      <c r="J185" s="879" t="s">
        <v>2625</v>
      </c>
      <c r="K185" s="157">
        <v>2014</v>
      </c>
      <c r="L185" s="551">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8"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4" t="s">
        <v>559</v>
      </c>
      <c r="AI185" s="174" t="s">
        <v>1383</v>
      </c>
      <c r="AJ185" s="174" t="s">
        <v>901</v>
      </c>
      <c r="AK185" s="181" t="str">
        <f t="shared" ca="1" si="34"/>
        <v>TERMINO</v>
      </c>
      <c r="AL185" s="181" t="s">
        <v>582</v>
      </c>
      <c r="AM185" s="176" t="s">
        <v>391</v>
      </c>
      <c r="AN185" s="875" t="str">
        <f>IFERROR(VLOOKUP(E185,'liquidaciones '!$B$2:$C$1048576,2,0),"NO")</f>
        <v>LIQUIDADO</v>
      </c>
      <c r="AO185" s="983">
        <f>IFERROR(VLOOKUP(E185,'liquidaciones '!$B$2:$I$1048576,8,0),"")</f>
        <v>0</v>
      </c>
      <c r="AP185" s="342">
        <v>42277</v>
      </c>
      <c r="AQ185" s="177" t="str">
        <f t="shared" ca="1" si="35"/>
        <v>NO</v>
      </c>
      <c r="AR185" s="177" t="s">
        <v>1056</v>
      </c>
      <c r="AS185" s="438"/>
      <c r="AT185" s="1015"/>
    </row>
    <row r="186" spans="1:46" ht="47.25" customHeight="1" x14ac:dyDescent="0.25">
      <c r="B186" s="15">
        <v>180</v>
      </c>
      <c r="C186" s="442"/>
      <c r="D186" s="442" t="str">
        <f t="shared" si="25"/>
        <v>2014</v>
      </c>
      <c r="E186" s="139" t="s">
        <v>249</v>
      </c>
      <c r="F186" s="132" t="s">
        <v>1045</v>
      </c>
      <c r="G186" s="133">
        <v>1010168639</v>
      </c>
      <c r="H186" s="132" t="s">
        <v>2207</v>
      </c>
      <c r="I186" s="140">
        <v>38500000</v>
      </c>
      <c r="J186" s="879" t="s">
        <v>2626</v>
      </c>
      <c r="K186" s="157">
        <v>2014</v>
      </c>
      <c r="L186" s="551">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8"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4" t="s">
        <v>559</v>
      </c>
      <c r="AI186" s="174" t="s">
        <v>1383</v>
      </c>
      <c r="AJ186" s="174" t="s">
        <v>901</v>
      </c>
      <c r="AK186" s="181" t="str">
        <f t="shared" ca="1" si="34"/>
        <v>TERMINO</v>
      </c>
      <c r="AL186" s="181" t="s">
        <v>582</v>
      </c>
      <c r="AM186" s="176" t="s">
        <v>391</v>
      </c>
      <c r="AN186" s="875" t="str">
        <f>IFERROR(VLOOKUP(E186,'liquidaciones '!$B$2:$C$1048576,2,0),"NO")</f>
        <v>EN TRÁMITE</v>
      </c>
      <c r="AO186" s="983">
        <f>IFERROR(VLOOKUP(E186,'liquidaciones '!$B$2:$I$1048576,8,0),"")</f>
        <v>0</v>
      </c>
      <c r="AP186" s="342">
        <v>42257</v>
      </c>
      <c r="AQ186" s="177" t="str">
        <f t="shared" ca="1" si="35"/>
        <v>NO</v>
      </c>
      <c r="AR186" s="177" t="s">
        <v>1056</v>
      </c>
      <c r="AS186" s="438"/>
      <c r="AT186" s="1015"/>
    </row>
    <row r="187" spans="1:46" ht="47.25" customHeight="1" x14ac:dyDescent="0.25">
      <c r="A187" s="39"/>
      <c r="B187" s="15">
        <v>181</v>
      </c>
      <c r="C187" s="442"/>
      <c r="D187" s="442" t="str">
        <f t="shared" si="25"/>
        <v>2014</v>
      </c>
      <c r="E187" s="139" t="s">
        <v>246</v>
      </c>
      <c r="F187" s="132" t="s">
        <v>228</v>
      </c>
      <c r="G187" s="133">
        <v>52935011</v>
      </c>
      <c r="H187" s="132" t="s">
        <v>1622</v>
      </c>
      <c r="I187" s="140">
        <v>55000000</v>
      </c>
      <c r="J187" s="134" t="s">
        <v>1088</v>
      </c>
      <c r="K187" s="157">
        <v>2014</v>
      </c>
      <c r="L187" s="551">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8"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4" t="s">
        <v>559</v>
      </c>
      <c r="AI187" s="174" t="s">
        <v>1383</v>
      </c>
      <c r="AJ187" s="174" t="s">
        <v>901</v>
      </c>
      <c r="AK187" s="181" t="str">
        <f t="shared" ca="1" si="34"/>
        <v>TERMINO</v>
      </c>
      <c r="AL187" s="181" t="s">
        <v>582</v>
      </c>
      <c r="AM187" s="176" t="s">
        <v>391</v>
      </c>
      <c r="AN187" s="875" t="str">
        <f>IFERROR(VLOOKUP(E187,'liquidaciones '!$B$2:$C$1048576,2,0),"NO")</f>
        <v>EN TRÁMITE</v>
      </c>
      <c r="AO187" s="983">
        <f>IFERROR(VLOOKUP(E187,'liquidaciones '!$B$2:$I$1048576,8,0),"")</f>
        <v>0</v>
      </c>
      <c r="AP187" s="342">
        <v>42235</v>
      </c>
      <c r="AQ187" s="177" t="str">
        <f t="shared" ca="1" si="35"/>
        <v>NO</v>
      </c>
      <c r="AR187" s="177" t="s">
        <v>1056</v>
      </c>
      <c r="AS187" s="438"/>
      <c r="AT187" s="1015"/>
    </row>
    <row r="188" spans="1:46" ht="47.25" customHeight="1" x14ac:dyDescent="0.25">
      <c r="B188" s="15">
        <v>182</v>
      </c>
      <c r="C188" s="442"/>
      <c r="D188" s="442" t="str">
        <f t="shared" si="25"/>
        <v>2014</v>
      </c>
      <c r="E188" s="139" t="s">
        <v>248</v>
      </c>
      <c r="F188" s="132" t="s">
        <v>224</v>
      </c>
      <c r="G188" s="133">
        <v>19327657</v>
      </c>
      <c r="H188" s="132" t="s">
        <v>516</v>
      </c>
      <c r="I188" s="140">
        <v>55000000</v>
      </c>
      <c r="J188" s="134" t="s">
        <v>1088</v>
      </c>
      <c r="K188" s="157">
        <v>2014</v>
      </c>
      <c r="L188" s="551">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8"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4" t="s">
        <v>559</v>
      </c>
      <c r="AI188" s="174" t="s">
        <v>1383</v>
      </c>
      <c r="AJ188" s="174" t="s">
        <v>901</v>
      </c>
      <c r="AK188" s="181" t="str">
        <f t="shared" ca="1" si="34"/>
        <v>TERMINO</v>
      </c>
      <c r="AL188" s="181" t="s">
        <v>582</v>
      </c>
      <c r="AM188" s="176" t="s">
        <v>391</v>
      </c>
      <c r="AN188" s="875" t="str">
        <f>IFERROR(VLOOKUP(E188,'liquidaciones '!$B$2:$C$1048576,2,0),"NO")</f>
        <v>LIQUIDADO</v>
      </c>
      <c r="AO188" s="983">
        <f>IFERROR(VLOOKUP(E188,'liquidaciones '!$B$2:$I$1048576,8,0),"")</f>
        <v>0</v>
      </c>
      <c r="AP188" s="342">
        <v>42277</v>
      </c>
      <c r="AQ188" s="177" t="str">
        <f t="shared" ca="1" si="35"/>
        <v>NO</v>
      </c>
      <c r="AR188" s="177" t="s">
        <v>1056</v>
      </c>
      <c r="AS188" s="438"/>
      <c r="AT188" s="1015"/>
    </row>
    <row r="189" spans="1:46" ht="47.25" customHeight="1" x14ac:dyDescent="0.25">
      <c r="B189" s="15">
        <v>183</v>
      </c>
      <c r="C189" s="442"/>
      <c r="D189" s="442" t="str">
        <f t="shared" si="25"/>
        <v>2014</v>
      </c>
      <c r="E189" s="139" t="s">
        <v>268</v>
      </c>
      <c r="F189" s="132" t="s">
        <v>269</v>
      </c>
      <c r="G189" s="145">
        <v>860025639</v>
      </c>
      <c r="H189" s="132" t="s">
        <v>369</v>
      </c>
      <c r="I189" s="140">
        <v>16555000</v>
      </c>
      <c r="J189" s="134" t="s">
        <v>1088</v>
      </c>
      <c r="K189" s="157">
        <v>2014</v>
      </c>
      <c r="L189" s="551"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8"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4" t="s">
        <v>1171</v>
      </c>
      <c r="AG189" s="173" t="s">
        <v>1443</v>
      </c>
      <c r="AH189" s="284" t="s">
        <v>560</v>
      </c>
      <c r="AI189" s="174"/>
      <c r="AJ189" s="174" t="s">
        <v>901</v>
      </c>
      <c r="AK189" s="181" t="str">
        <f t="shared" ca="1" si="34"/>
        <v>TERMINO</v>
      </c>
      <c r="AL189" s="181" t="s">
        <v>582</v>
      </c>
      <c r="AM189" s="176" t="s">
        <v>390</v>
      </c>
      <c r="AN189" s="875" t="str">
        <f>IFERROR(VLOOKUP(E189,'liquidaciones '!$B$2:$C$1048576,2,0),"NO")</f>
        <v>EN TRÁMITE</v>
      </c>
      <c r="AO189" s="983">
        <f>IFERROR(VLOOKUP(E189,'liquidaciones '!$B$2:$I$1048576,8,0),"")</f>
        <v>0</v>
      </c>
      <c r="AP189" s="342"/>
      <c r="AQ189" s="177" t="str">
        <f t="shared" ca="1" si="35"/>
        <v>NO</v>
      </c>
      <c r="AR189" s="177" t="s">
        <v>1511</v>
      </c>
      <c r="AS189" s="438"/>
      <c r="AT189" s="1015"/>
    </row>
    <row r="190" spans="1:46" ht="47.25" customHeight="1" x14ac:dyDescent="0.25">
      <c r="B190" s="15">
        <v>184</v>
      </c>
      <c r="C190" s="442"/>
      <c r="D190" s="442" t="str">
        <f t="shared" si="25"/>
        <v>2014</v>
      </c>
      <c r="E190" s="162" t="s">
        <v>253</v>
      </c>
      <c r="F190" s="145" t="s">
        <v>140</v>
      </c>
      <c r="G190" s="133">
        <v>51721571</v>
      </c>
      <c r="H190" s="145" t="s">
        <v>1133</v>
      </c>
      <c r="I190" s="163">
        <v>39600000</v>
      </c>
      <c r="J190" s="134" t="s">
        <v>1088</v>
      </c>
      <c r="K190" s="157">
        <v>2014</v>
      </c>
      <c r="L190" s="551"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8"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4"/>
      <c r="AI190" s="174"/>
      <c r="AJ190" s="174" t="s">
        <v>901</v>
      </c>
      <c r="AK190" s="181" t="str">
        <f t="shared" ca="1" si="34"/>
        <v>TERMINO</v>
      </c>
      <c r="AL190" s="181" t="s">
        <v>582</v>
      </c>
      <c r="AM190" s="176" t="s">
        <v>391</v>
      </c>
      <c r="AN190" s="875" t="str">
        <f>IFERROR(VLOOKUP(E190,'liquidaciones '!$B$2:$C$1048576,2,0),"NO")</f>
        <v>LIQUIDADO</v>
      </c>
      <c r="AO190" s="983">
        <f>IFERROR(VLOOKUP(E190,'liquidaciones '!$B$2:$I$1048576,8,0),"")</f>
        <v>0</v>
      </c>
      <c r="AP190" s="342">
        <v>41962</v>
      </c>
      <c r="AQ190" s="177" t="str">
        <f t="shared" ca="1" si="35"/>
        <v>NO</v>
      </c>
      <c r="AR190" s="177" t="s">
        <v>1166</v>
      </c>
      <c r="AS190" s="438"/>
      <c r="AT190" s="1015"/>
    </row>
    <row r="191" spans="1:46" ht="53.25" customHeight="1" x14ac:dyDescent="0.25">
      <c r="A191" s="39"/>
      <c r="B191" s="15">
        <v>185</v>
      </c>
      <c r="C191" s="442"/>
      <c r="D191" s="442" t="str">
        <f t="shared" si="25"/>
        <v>2014</v>
      </c>
      <c r="E191" s="162" t="s">
        <v>255</v>
      </c>
      <c r="F191" s="145" t="s">
        <v>1032</v>
      </c>
      <c r="G191" s="133">
        <v>79843891</v>
      </c>
      <c r="H191" s="145" t="s">
        <v>517</v>
      </c>
      <c r="I191" s="163">
        <v>51500000</v>
      </c>
      <c r="J191" s="134" t="s">
        <v>1088</v>
      </c>
      <c r="K191" s="157">
        <v>2014</v>
      </c>
      <c r="L191" s="551"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8"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4"/>
      <c r="AI191" s="174"/>
      <c r="AJ191" s="174" t="s">
        <v>901</v>
      </c>
      <c r="AK191" s="181" t="str">
        <f t="shared" ca="1" si="34"/>
        <v>TERMINO</v>
      </c>
      <c r="AL191" s="181" t="s">
        <v>582</v>
      </c>
      <c r="AM191" s="176" t="s">
        <v>391</v>
      </c>
      <c r="AN191" s="875" t="str">
        <f>IFERROR(VLOOKUP(E191,'liquidaciones '!$B$2:$C$1048576,2,0),"NO")</f>
        <v>LIQUIDADO</v>
      </c>
      <c r="AO191" s="983">
        <f>IFERROR(VLOOKUP(E191,'liquidaciones '!$B$2:$I$1048576,8,0),"")</f>
        <v>0</v>
      </c>
      <c r="AP191" s="342"/>
      <c r="AQ191" s="177" t="str">
        <f t="shared" ca="1" si="35"/>
        <v>NO</v>
      </c>
      <c r="AR191" s="177" t="s">
        <v>1572</v>
      </c>
      <c r="AS191" s="438"/>
      <c r="AT191" s="1015"/>
    </row>
    <row r="192" spans="1:46" ht="47.25" customHeight="1" x14ac:dyDescent="0.25">
      <c r="B192" s="15">
        <v>186</v>
      </c>
      <c r="C192" s="442"/>
      <c r="D192" s="442" t="str">
        <f t="shared" si="25"/>
        <v>2014</v>
      </c>
      <c r="E192" s="139" t="s">
        <v>250</v>
      </c>
      <c r="F192" s="132" t="s">
        <v>251</v>
      </c>
      <c r="G192" s="133">
        <v>1018434911</v>
      </c>
      <c r="H192" s="132" t="s">
        <v>518</v>
      </c>
      <c r="I192" s="140">
        <v>16500000</v>
      </c>
      <c r="J192" s="134" t="s">
        <v>1088</v>
      </c>
      <c r="K192" s="157">
        <v>2014</v>
      </c>
      <c r="L192" s="551"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8"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4" t="s">
        <v>1132</v>
      </c>
      <c r="AG192" s="173"/>
      <c r="AH192" s="284" t="s">
        <v>559</v>
      </c>
      <c r="AI192" s="174" t="s">
        <v>1383</v>
      </c>
      <c r="AJ192" s="174" t="s">
        <v>901</v>
      </c>
      <c r="AK192" s="181" t="str">
        <f t="shared" ca="1" si="34"/>
        <v>TERMINO</v>
      </c>
      <c r="AL192" s="181" t="s">
        <v>582</v>
      </c>
      <c r="AM192" s="176" t="s">
        <v>391</v>
      </c>
      <c r="AN192" s="875" t="str">
        <f>IFERROR(VLOOKUP(E192,'liquidaciones '!$B$2:$C$1048576,2,0),"NO")</f>
        <v>EN TRÁMITE</v>
      </c>
      <c r="AO192" s="983">
        <f>IFERROR(VLOOKUP(E192,'liquidaciones '!$B$2:$I$1048576,8,0),"")</f>
        <v>0</v>
      </c>
      <c r="AP192" s="342"/>
      <c r="AQ192" s="177" t="str">
        <f t="shared" ca="1" si="35"/>
        <v>NO</v>
      </c>
      <c r="AR192" s="177" t="s">
        <v>1572</v>
      </c>
      <c r="AS192" s="438"/>
      <c r="AT192" s="1015"/>
    </row>
    <row r="193" spans="1:46" ht="47.25" customHeight="1" x14ac:dyDescent="0.25">
      <c r="A193" s="39"/>
      <c r="B193" s="15">
        <v>187</v>
      </c>
      <c r="C193" s="442"/>
      <c r="D193" s="442" t="str">
        <f t="shared" si="25"/>
        <v>2014</v>
      </c>
      <c r="E193" s="162" t="s">
        <v>256</v>
      </c>
      <c r="F193" s="132" t="s">
        <v>1395</v>
      </c>
      <c r="G193" s="137">
        <v>60289180</v>
      </c>
      <c r="H193" s="145" t="s">
        <v>519</v>
      </c>
      <c r="I193" s="163">
        <v>51500000</v>
      </c>
      <c r="J193" s="134" t="s">
        <v>1088</v>
      </c>
      <c r="K193" s="157">
        <v>2014</v>
      </c>
      <c r="L193" s="551"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8"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4" t="s">
        <v>1132</v>
      </c>
      <c r="AG193" s="173" t="s">
        <v>1178</v>
      </c>
      <c r="AH193" s="284" t="s">
        <v>559</v>
      </c>
      <c r="AI193" s="174" t="s">
        <v>1383</v>
      </c>
      <c r="AJ193" s="174" t="s">
        <v>901</v>
      </c>
      <c r="AK193" s="181" t="str">
        <f t="shared" ca="1" si="34"/>
        <v>TERMINO</v>
      </c>
      <c r="AL193" s="181" t="s">
        <v>582</v>
      </c>
      <c r="AM193" s="176" t="s">
        <v>391</v>
      </c>
      <c r="AN193" s="875" t="str">
        <f>IFERROR(VLOOKUP(E193,'liquidaciones '!$B$2:$C$1048576,2,0),"NO")</f>
        <v>EN TRÁMITE</v>
      </c>
      <c r="AO193" s="983">
        <f>IFERROR(VLOOKUP(E193,'liquidaciones '!$B$2:$I$1048576,8,0),"")</f>
        <v>0</v>
      </c>
      <c r="AP193" s="342"/>
      <c r="AQ193" s="177" t="str">
        <f t="shared" ca="1" si="35"/>
        <v>NO</v>
      </c>
      <c r="AR193" s="177" t="s">
        <v>981</v>
      </c>
      <c r="AS193" s="438"/>
      <c r="AT193" s="1015"/>
    </row>
    <row r="194" spans="1:46" ht="47.25" customHeight="1" x14ac:dyDescent="0.25">
      <c r="B194" s="15">
        <v>188</v>
      </c>
      <c r="C194" s="442"/>
      <c r="D194" s="442" t="str">
        <f t="shared" si="25"/>
        <v>2014</v>
      </c>
      <c r="E194" s="139" t="s">
        <v>264</v>
      </c>
      <c r="F194" s="132" t="s">
        <v>186</v>
      </c>
      <c r="G194" s="133">
        <v>800039398</v>
      </c>
      <c r="H194" s="132" t="s">
        <v>520</v>
      </c>
      <c r="I194" s="140">
        <v>340808000</v>
      </c>
      <c r="J194" s="134" t="s">
        <v>1088</v>
      </c>
      <c r="K194" s="157">
        <v>2014</v>
      </c>
      <c r="L194" s="551"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8"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4"/>
      <c r="AI194" s="174" t="s">
        <v>1510</v>
      </c>
      <c r="AJ194" s="174" t="s">
        <v>901</v>
      </c>
      <c r="AK194" s="181" t="str">
        <f t="shared" ca="1" si="34"/>
        <v>TERMINO</v>
      </c>
      <c r="AL194" s="173" t="s">
        <v>575</v>
      </c>
      <c r="AM194" s="176" t="s">
        <v>390</v>
      </c>
      <c r="AN194" s="875" t="str">
        <f>IFERROR(VLOOKUP(E194,'liquidaciones '!$B$2:$C$1048576,2,0),"NO")</f>
        <v>EN TRÁMITE</v>
      </c>
      <c r="AO194" s="983">
        <f>IFERROR(VLOOKUP(E194,'liquidaciones '!$B$2:$I$1048576,8,0),"")</f>
        <v>0</v>
      </c>
      <c r="AP194" s="342"/>
      <c r="AQ194" s="177" t="str">
        <f t="shared" ca="1" si="35"/>
        <v>NO</v>
      </c>
      <c r="AR194" s="177" t="s">
        <v>1995</v>
      </c>
      <c r="AS194" s="438"/>
      <c r="AT194" s="1015"/>
    </row>
    <row r="195" spans="1:46" ht="62.25" customHeight="1" x14ac:dyDescent="0.25">
      <c r="B195" s="15">
        <v>189</v>
      </c>
      <c r="C195" s="442"/>
      <c r="D195" s="442" t="str">
        <f t="shared" si="25"/>
        <v>2014</v>
      </c>
      <c r="E195" s="139" t="s">
        <v>262</v>
      </c>
      <c r="F195" s="132" t="s">
        <v>263</v>
      </c>
      <c r="G195" s="133">
        <v>900381188</v>
      </c>
      <c r="H195" s="132" t="s">
        <v>521</v>
      </c>
      <c r="I195" s="140">
        <v>28900000</v>
      </c>
      <c r="J195" s="134" t="s">
        <v>1088</v>
      </c>
      <c r="K195" s="157">
        <v>2014</v>
      </c>
      <c r="L195" s="551"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8"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4"/>
      <c r="AI195" s="174"/>
      <c r="AJ195" s="174" t="s">
        <v>901</v>
      </c>
      <c r="AK195" s="181" t="str">
        <f t="shared" ca="1" si="34"/>
        <v>TERMINO</v>
      </c>
      <c r="AL195" s="173" t="s">
        <v>575</v>
      </c>
      <c r="AM195" s="176" t="s">
        <v>390</v>
      </c>
      <c r="AN195" s="875" t="str">
        <f>IFERROR(VLOOKUP(E195,'liquidaciones '!$B$2:$C$1048576,2,0),"NO")</f>
        <v>LIQUIDADO</v>
      </c>
      <c r="AO195" s="983">
        <f>IFERROR(VLOOKUP(E195,'liquidaciones '!$B$2:$I$1048576,8,0),"")</f>
        <v>0</v>
      </c>
      <c r="AP195" s="342">
        <v>42094</v>
      </c>
      <c r="AQ195" s="177" t="str">
        <f t="shared" ca="1" si="35"/>
        <v>NO</v>
      </c>
      <c r="AR195" s="177" t="s">
        <v>1444</v>
      </c>
      <c r="AS195" s="438"/>
      <c r="AT195" s="1015"/>
    </row>
    <row r="196" spans="1:46" ht="47.25" customHeight="1" x14ac:dyDescent="0.25">
      <c r="B196" s="15">
        <v>190</v>
      </c>
      <c r="C196" s="442"/>
      <c r="D196" s="442" t="str">
        <f t="shared" si="25"/>
        <v>2014</v>
      </c>
      <c r="E196" s="139" t="s">
        <v>260</v>
      </c>
      <c r="F196" s="132" t="s">
        <v>261</v>
      </c>
      <c r="G196" s="133">
        <v>900157564</v>
      </c>
      <c r="H196" s="132" t="s">
        <v>522</v>
      </c>
      <c r="I196" s="140">
        <v>248000000</v>
      </c>
      <c r="J196" s="134" t="s">
        <v>1088</v>
      </c>
      <c r="K196" s="157">
        <v>2014</v>
      </c>
      <c r="L196" s="551"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8"/>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4"/>
      <c r="AI196" s="174"/>
      <c r="AJ196" s="174" t="s">
        <v>901</v>
      </c>
      <c r="AK196" s="181" t="str">
        <f t="shared" ca="1" si="34"/>
        <v>TERMINO</v>
      </c>
      <c r="AL196" s="181" t="s">
        <v>921</v>
      </c>
      <c r="AM196" s="176" t="s">
        <v>390</v>
      </c>
      <c r="AN196" s="875" t="str">
        <f>IFERROR(VLOOKUP(E196,'liquidaciones '!$B$2:$C$1048576,2,0),"NO")</f>
        <v>LIQUIDADO</v>
      </c>
      <c r="AO196" s="983">
        <f>IFERROR(VLOOKUP(E196,'liquidaciones '!$B$2:$I$1048576,8,0),"")</f>
        <v>0</v>
      </c>
      <c r="AP196" s="342">
        <v>42003</v>
      </c>
      <c r="AQ196" s="177" t="str">
        <f t="shared" ca="1" si="35"/>
        <v>NO</v>
      </c>
      <c r="AR196" s="177" t="s">
        <v>1166</v>
      </c>
      <c r="AS196" s="438"/>
      <c r="AT196" s="1015"/>
    </row>
    <row r="197" spans="1:46" ht="47.25" customHeight="1" x14ac:dyDescent="0.25">
      <c r="B197" s="15">
        <v>191</v>
      </c>
      <c r="C197" s="442"/>
      <c r="D197" s="442" t="str">
        <f t="shared" si="25"/>
        <v>2014</v>
      </c>
      <c r="E197" s="139" t="s">
        <v>273</v>
      </c>
      <c r="F197" s="132" t="s">
        <v>126</v>
      </c>
      <c r="G197" s="133">
        <v>900333228</v>
      </c>
      <c r="H197" s="132" t="s">
        <v>523</v>
      </c>
      <c r="I197" s="140">
        <v>11000000</v>
      </c>
      <c r="J197" s="879" t="s">
        <v>2677</v>
      </c>
      <c r="K197" s="157">
        <v>2014</v>
      </c>
      <c r="L197" s="551"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8"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4" t="s">
        <v>1172</v>
      </c>
      <c r="AG197" s="173" t="s">
        <v>1443</v>
      </c>
      <c r="AH197" s="284" t="s">
        <v>560</v>
      </c>
      <c r="AI197" s="174" t="s">
        <v>1381</v>
      </c>
      <c r="AJ197" s="174" t="s">
        <v>901</v>
      </c>
      <c r="AK197" s="181" t="str">
        <f t="shared" ca="1" si="34"/>
        <v>TERMINO</v>
      </c>
      <c r="AL197" s="181" t="s">
        <v>576</v>
      </c>
      <c r="AM197" s="176" t="s">
        <v>390</v>
      </c>
      <c r="AN197" s="875" t="str">
        <f>IFERROR(VLOOKUP(E197,'liquidaciones '!$B$2:$C$1048576,2,0),"NO")</f>
        <v>LIQUIDADO</v>
      </c>
      <c r="AO197" s="983">
        <f>IFERROR(VLOOKUP(E197,'liquidaciones '!$B$2:$I$1048576,8,0),"")</f>
        <v>0</v>
      </c>
      <c r="AP197" s="342">
        <v>42290</v>
      </c>
      <c r="AQ197" s="177" t="str">
        <f t="shared" ca="1" si="35"/>
        <v>NO</v>
      </c>
      <c r="AR197" s="177" t="s">
        <v>1574</v>
      </c>
      <c r="AS197" s="438"/>
      <c r="AT197" s="1015"/>
    </row>
    <row r="198" spans="1:46" ht="47.25" customHeight="1" x14ac:dyDescent="0.25">
      <c r="B198" s="15">
        <v>192</v>
      </c>
      <c r="C198" s="442"/>
      <c r="D198" s="442" t="str">
        <f t="shared" si="25"/>
        <v>2014</v>
      </c>
      <c r="E198" s="139" t="s">
        <v>288</v>
      </c>
      <c r="F198" s="132" t="s">
        <v>12</v>
      </c>
      <c r="G198" s="133">
        <v>805006014</v>
      </c>
      <c r="H198" s="132" t="s">
        <v>524</v>
      </c>
      <c r="I198" s="140">
        <v>1325400</v>
      </c>
      <c r="J198" s="879" t="s">
        <v>2628</v>
      </c>
      <c r="K198" s="157">
        <v>2014</v>
      </c>
      <c r="L198" s="551"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8">
        <v>0</v>
      </c>
      <c r="Y198" s="42">
        <f t="shared" si="29"/>
        <v>0</v>
      </c>
      <c r="Z198" s="42">
        <f t="shared" ca="1" si="30"/>
        <v>1</v>
      </c>
      <c r="AA198" s="43">
        <f t="shared" ca="1" si="31"/>
        <v>1</v>
      </c>
      <c r="AB198" s="202" t="str">
        <f t="shared" ca="1" si="32"/>
        <v/>
      </c>
      <c r="AC198" s="44" t="str">
        <f t="shared" si="33"/>
        <v>NO</v>
      </c>
      <c r="AD198" s="44"/>
      <c r="AE198" s="173" t="s">
        <v>1257</v>
      </c>
      <c r="AF198" s="304" t="s">
        <v>1134</v>
      </c>
      <c r="AG198" s="173" t="s">
        <v>1443</v>
      </c>
      <c r="AH198" s="284" t="s">
        <v>560</v>
      </c>
      <c r="AI198" s="174"/>
      <c r="AJ198" s="174" t="s">
        <v>901</v>
      </c>
      <c r="AK198" s="181" t="str">
        <f t="shared" ca="1" si="34"/>
        <v>TERMINO</v>
      </c>
      <c r="AL198" s="181" t="s">
        <v>576</v>
      </c>
      <c r="AM198" s="176" t="s">
        <v>390</v>
      </c>
      <c r="AN198" s="875" t="str">
        <f>IFERROR(VLOOKUP(E198,'liquidaciones '!$B$2:$C$1048576,2,0),"NO")</f>
        <v>EN TRÁMITE</v>
      </c>
      <c r="AO198" s="983">
        <f>IFERROR(VLOOKUP(E198,'liquidaciones '!$B$2:$I$1048576,8,0),"")</f>
        <v>0</v>
      </c>
      <c r="AP198" s="342">
        <v>42304</v>
      </c>
      <c r="AQ198" s="177" t="str">
        <f t="shared" ca="1" si="35"/>
        <v>NO</v>
      </c>
      <c r="AR198" s="177" t="s">
        <v>981</v>
      </c>
      <c r="AS198" s="438"/>
      <c r="AT198" s="1015"/>
    </row>
    <row r="199" spans="1:46" ht="61.5" customHeight="1" x14ac:dyDescent="0.25">
      <c r="B199" s="15">
        <v>193</v>
      </c>
      <c r="C199" s="442"/>
      <c r="D199" s="442" t="str">
        <f t="shared" ref="D199:D262" si="38">K199&amp;C199</f>
        <v>2014</v>
      </c>
      <c r="E199" s="139" t="s">
        <v>266</v>
      </c>
      <c r="F199" s="132" t="s">
        <v>1030</v>
      </c>
      <c r="G199" s="133">
        <v>830122370</v>
      </c>
      <c r="H199" s="132" t="s">
        <v>368</v>
      </c>
      <c r="I199" s="140">
        <v>4982000</v>
      </c>
      <c r="J199" s="879" t="s">
        <v>2678</v>
      </c>
      <c r="K199" s="157">
        <v>2014</v>
      </c>
      <c r="L199" s="551"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8"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4" t="s">
        <v>1469</v>
      </c>
      <c r="AG199" s="173" t="s">
        <v>1439</v>
      </c>
      <c r="AH199" s="284" t="s">
        <v>560</v>
      </c>
      <c r="AI199" s="174"/>
      <c r="AJ199" s="174" t="s">
        <v>901</v>
      </c>
      <c r="AK199" s="181" t="str">
        <f t="shared" ref="AK199:AK262" ca="1" si="46">IF(T199&gt;=$F$3,"EN EJECUCIÓN","TERMINO")</f>
        <v>TERMINO</v>
      </c>
      <c r="AL199" s="181" t="s">
        <v>576</v>
      </c>
      <c r="AM199" s="176" t="s">
        <v>390</v>
      </c>
      <c r="AN199" s="875" t="str">
        <f>IFERROR(VLOOKUP(E199,'liquidaciones '!$B$2:$C$1048576,2,0),"NO")</f>
        <v>LIQUIDADO</v>
      </c>
      <c r="AO199" s="983">
        <f>IFERROR(VLOOKUP(E199,'liquidaciones '!$B$2:$I$1048576,8,0),"")</f>
        <v>0</v>
      </c>
      <c r="AP199" s="342">
        <v>42277</v>
      </c>
      <c r="AQ199" s="177" t="str">
        <f t="shared" ca="1" si="35"/>
        <v>NO</v>
      </c>
      <c r="AR199" s="177" t="s">
        <v>981</v>
      </c>
      <c r="AS199" s="438"/>
      <c r="AT199" s="1015"/>
    </row>
    <row r="200" spans="1:46" ht="47.25" customHeight="1" x14ac:dyDescent="0.25">
      <c r="B200" s="15">
        <v>194</v>
      </c>
      <c r="C200" s="442"/>
      <c r="D200" s="442" t="str">
        <f t="shared" si="38"/>
        <v>2014</v>
      </c>
      <c r="E200" s="139" t="s">
        <v>271</v>
      </c>
      <c r="F200" s="132" t="s">
        <v>272</v>
      </c>
      <c r="G200" s="133">
        <v>900197284</v>
      </c>
      <c r="H200" s="132" t="s">
        <v>525</v>
      </c>
      <c r="I200" s="140">
        <v>28000000</v>
      </c>
      <c r="J200" s="879" t="s">
        <v>2679</v>
      </c>
      <c r="K200" s="157">
        <v>2014</v>
      </c>
      <c r="L200" s="551"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8"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4" t="s">
        <v>560</v>
      </c>
      <c r="AI200" s="174" t="s">
        <v>1381</v>
      </c>
      <c r="AJ200" s="174" t="s">
        <v>901</v>
      </c>
      <c r="AK200" s="181" t="str">
        <f t="shared" ca="1" si="46"/>
        <v>TERMINO</v>
      </c>
      <c r="AL200" s="181" t="s">
        <v>576</v>
      </c>
      <c r="AM200" s="176" t="s">
        <v>390</v>
      </c>
      <c r="AN200" s="875" t="str">
        <f>IFERROR(VLOOKUP(E200,'liquidaciones '!$B$2:$C$1048576,2,0),"NO")</f>
        <v>LIQUIDADO</v>
      </c>
      <c r="AO200" s="983">
        <f>IFERROR(VLOOKUP(E200,'liquidaciones '!$B$2:$I$1048576,8,0),"")</f>
        <v>0</v>
      </c>
      <c r="AP200" s="342">
        <v>42242</v>
      </c>
      <c r="AQ200" s="177" t="str">
        <f t="shared" ca="1" si="35"/>
        <v>NO</v>
      </c>
      <c r="AR200" s="177" t="s">
        <v>1056</v>
      </c>
      <c r="AS200" s="438"/>
      <c r="AT200" s="1015"/>
    </row>
    <row r="201" spans="1:46" ht="47.25" customHeight="1" x14ac:dyDescent="0.25">
      <c r="B201" s="15">
        <v>195</v>
      </c>
      <c r="C201" s="442"/>
      <c r="D201" s="442" t="str">
        <f t="shared" si="38"/>
        <v>2014</v>
      </c>
      <c r="E201" s="347" t="s">
        <v>274</v>
      </c>
      <c r="F201" s="132" t="s">
        <v>275</v>
      </c>
      <c r="G201" s="133">
        <v>900587953</v>
      </c>
      <c r="H201" s="132" t="s">
        <v>1450</v>
      </c>
      <c r="I201" s="140">
        <v>2122000</v>
      </c>
      <c r="J201" s="134" t="s">
        <v>2156</v>
      </c>
      <c r="K201" s="157">
        <v>2014</v>
      </c>
      <c r="L201" s="551"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8" t="s">
        <v>1227</v>
      </c>
      <c r="Y201" s="42">
        <f t="shared" si="41"/>
        <v>1</v>
      </c>
      <c r="Z201" s="42">
        <f t="shared" ca="1" si="42"/>
        <v>1</v>
      </c>
      <c r="AA201" s="43">
        <f t="shared" ca="1" si="43"/>
        <v>0</v>
      </c>
      <c r="AB201" s="202" t="str">
        <f t="shared" ca="1" si="44"/>
        <v/>
      </c>
      <c r="AC201" s="44" t="str">
        <f t="shared" si="45"/>
        <v>SI</v>
      </c>
      <c r="AD201" s="44"/>
      <c r="AE201" s="173" t="s">
        <v>1257</v>
      </c>
      <c r="AF201" s="304" t="s">
        <v>1384</v>
      </c>
      <c r="AG201" s="173" t="s">
        <v>1443</v>
      </c>
      <c r="AH201" s="284" t="s">
        <v>560</v>
      </c>
      <c r="AI201" s="174" t="s">
        <v>1381</v>
      </c>
      <c r="AJ201" s="174" t="s">
        <v>901</v>
      </c>
      <c r="AK201" s="181" t="str">
        <f t="shared" ca="1" si="46"/>
        <v>TERMINO</v>
      </c>
      <c r="AL201" s="181" t="s">
        <v>576</v>
      </c>
      <c r="AM201" s="176" t="s">
        <v>390</v>
      </c>
      <c r="AN201" s="875" t="str">
        <f>IFERROR(VLOOKUP(E201,'liquidaciones '!$B$2:$C$1048576,2,0),"NO")</f>
        <v>LIQUIDADO</v>
      </c>
      <c r="AO201" s="983">
        <f>IFERROR(VLOOKUP(E201,'liquidaciones '!$B$2:$I$1048576,8,0),"")</f>
        <v>0</v>
      </c>
      <c r="AP201" s="342"/>
      <c r="AQ201" s="177" t="str">
        <f t="shared" ca="1" si="35"/>
        <v>NO</v>
      </c>
      <c r="AR201" s="177" t="s">
        <v>2395</v>
      </c>
      <c r="AS201" s="438"/>
      <c r="AT201" s="1015"/>
    </row>
    <row r="202" spans="1:46" ht="47.25" customHeight="1" x14ac:dyDescent="0.25">
      <c r="B202" s="15">
        <v>196</v>
      </c>
      <c r="C202" s="442"/>
      <c r="D202" s="442" t="str">
        <f t="shared" si="38"/>
        <v>2014</v>
      </c>
      <c r="E202" s="347" t="s">
        <v>279</v>
      </c>
      <c r="F202" s="132" t="s">
        <v>53</v>
      </c>
      <c r="G202" s="133">
        <v>4831</v>
      </c>
      <c r="H202" s="132" t="s">
        <v>1771</v>
      </c>
      <c r="I202" s="140">
        <v>20872000</v>
      </c>
      <c r="J202" s="705" t="s">
        <v>2415</v>
      </c>
      <c r="K202" s="157">
        <v>2014</v>
      </c>
      <c r="L202" s="551"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8"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4" t="s">
        <v>560</v>
      </c>
      <c r="AI202" s="174" t="s">
        <v>1320</v>
      </c>
      <c r="AJ202" s="174" t="s">
        <v>901</v>
      </c>
      <c r="AK202" s="181" t="str">
        <f t="shared" ca="1" si="46"/>
        <v>TERMINO</v>
      </c>
      <c r="AL202" s="181" t="s">
        <v>576</v>
      </c>
      <c r="AM202" s="176" t="s">
        <v>390</v>
      </c>
      <c r="AN202" s="875" t="str">
        <f>IFERROR(VLOOKUP(E202,'liquidaciones '!$B$2:$C$1048576,2,0),"NO")</f>
        <v>LIQUIDADO</v>
      </c>
      <c r="AO202" s="983">
        <f>IFERROR(VLOOKUP(E202,'liquidaciones '!$B$2:$I$1048576,8,0),"")</f>
        <v>0</v>
      </c>
      <c r="AP202" s="342">
        <v>42240</v>
      </c>
      <c r="AQ202" s="177" t="str">
        <f t="shared" ca="1" si="35"/>
        <v>NO</v>
      </c>
      <c r="AR202" s="177" t="s">
        <v>982</v>
      </c>
      <c r="AS202" s="438"/>
      <c r="AT202" s="1015"/>
    </row>
    <row r="203" spans="1:46" ht="47.25" customHeight="1" x14ac:dyDescent="0.25">
      <c r="B203" s="15">
        <v>197</v>
      </c>
      <c r="C203" s="442"/>
      <c r="D203" s="442" t="str">
        <f t="shared" si="38"/>
        <v>2014</v>
      </c>
      <c r="E203" s="139" t="s">
        <v>282</v>
      </c>
      <c r="F203" s="132" t="s">
        <v>418</v>
      </c>
      <c r="G203" s="133">
        <v>891501783</v>
      </c>
      <c r="H203" s="132" t="s">
        <v>526</v>
      </c>
      <c r="I203" s="140">
        <v>12145200</v>
      </c>
      <c r="J203" s="879" t="s">
        <v>2680</v>
      </c>
      <c r="K203" s="157">
        <v>2014</v>
      </c>
      <c r="L203" s="551"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8"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4"/>
      <c r="AI203" s="174"/>
      <c r="AJ203" s="174" t="s">
        <v>901</v>
      </c>
      <c r="AK203" s="181" t="str">
        <f t="shared" ca="1" si="46"/>
        <v>TERMINO</v>
      </c>
      <c r="AL203" s="181" t="s">
        <v>576</v>
      </c>
      <c r="AM203" s="176" t="s">
        <v>390</v>
      </c>
      <c r="AN203" s="875" t="str">
        <f>IFERROR(VLOOKUP(E203,'liquidaciones '!$B$2:$C$1048576,2,0),"NO")</f>
        <v>LIQUIDADO</v>
      </c>
      <c r="AO203" s="983">
        <f>IFERROR(VLOOKUP(E203,'liquidaciones '!$B$2:$I$1048576,8,0),"")</f>
        <v>0</v>
      </c>
      <c r="AP203" s="342">
        <v>42023</v>
      </c>
      <c r="AQ203" s="177" t="str">
        <f t="shared" ca="1" si="35"/>
        <v>NO</v>
      </c>
      <c r="AR203" s="177" t="s">
        <v>981</v>
      </c>
      <c r="AS203" s="438"/>
      <c r="AT203" s="1015"/>
    </row>
    <row r="204" spans="1:46" ht="47.25" customHeight="1" x14ac:dyDescent="0.25">
      <c r="B204" s="15">
        <v>198</v>
      </c>
      <c r="C204" s="442"/>
      <c r="D204" s="442" t="str">
        <f t="shared" si="38"/>
        <v>2014</v>
      </c>
      <c r="E204" s="139" t="s">
        <v>280</v>
      </c>
      <c r="F204" s="132" t="s">
        <v>281</v>
      </c>
      <c r="G204" s="133">
        <v>900414308</v>
      </c>
      <c r="H204" s="132" t="s">
        <v>527</v>
      </c>
      <c r="I204" s="140">
        <v>1700007</v>
      </c>
      <c r="J204" s="879" t="s">
        <v>2681</v>
      </c>
      <c r="K204" s="157">
        <v>2014</v>
      </c>
      <c r="L204" s="551"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8"/>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4"/>
      <c r="AI204" s="174"/>
      <c r="AJ204" s="174" t="s">
        <v>901</v>
      </c>
      <c r="AK204" s="181" t="str">
        <f t="shared" ca="1" si="46"/>
        <v>TERMINO</v>
      </c>
      <c r="AL204" s="181" t="s">
        <v>576</v>
      </c>
      <c r="AM204" s="176" t="s">
        <v>390</v>
      </c>
      <c r="AN204" s="875" t="str">
        <f>IFERROR(VLOOKUP(E204,'liquidaciones '!$B$2:$C$1048576,2,0),"NO")</f>
        <v>NO</v>
      </c>
      <c r="AO204" s="983" t="str">
        <f>IFERROR(VLOOKUP(E204,'liquidaciones '!$B$2:$I$1048576,8,0),"")</f>
        <v/>
      </c>
      <c r="AP204" s="342"/>
      <c r="AQ204" s="177" t="str">
        <f t="shared" ca="1" si="35"/>
        <v>NO</v>
      </c>
      <c r="AR204" s="177" t="s">
        <v>1166</v>
      </c>
      <c r="AS204" s="438"/>
      <c r="AT204" s="1015"/>
    </row>
    <row r="205" spans="1:46" ht="47.25" customHeight="1" x14ac:dyDescent="0.25">
      <c r="B205" s="15">
        <v>199</v>
      </c>
      <c r="C205" s="442"/>
      <c r="D205" s="442" t="str">
        <f t="shared" si="38"/>
        <v>2014</v>
      </c>
      <c r="E205" s="139" t="s">
        <v>276</v>
      </c>
      <c r="F205" s="132" t="s">
        <v>277</v>
      </c>
      <c r="G205" s="133">
        <v>830055827</v>
      </c>
      <c r="H205" s="132" t="s">
        <v>370</v>
      </c>
      <c r="I205" s="140">
        <v>32631000</v>
      </c>
      <c r="J205" s="134" t="s">
        <v>1088</v>
      </c>
      <c r="K205" s="157">
        <v>2014</v>
      </c>
      <c r="L205" s="551"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8"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4" t="s">
        <v>1136</v>
      </c>
      <c r="AG205" s="173"/>
      <c r="AH205" s="284" t="s">
        <v>562</v>
      </c>
      <c r="AI205" s="174" t="s">
        <v>1385</v>
      </c>
      <c r="AJ205" s="174" t="s">
        <v>901</v>
      </c>
      <c r="AK205" s="181" t="str">
        <f t="shared" ca="1" si="46"/>
        <v>TERMINO</v>
      </c>
      <c r="AL205" s="181" t="s">
        <v>576</v>
      </c>
      <c r="AM205" s="176" t="s">
        <v>390</v>
      </c>
      <c r="AN205" s="875" t="str">
        <f>IFERROR(VLOOKUP(E205,'liquidaciones '!$B$2:$C$1048576,2,0),"NO")</f>
        <v>LIQUIDADO</v>
      </c>
      <c r="AO205" s="983">
        <f>IFERROR(VLOOKUP(E205,'liquidaciones '!$B$2:$I$1048576,8,0),"")</f>
        <v>0</v>
      </c>
      <c r="AP205" s="342"/>
      <c r="AQ205" s="177" t="str">
        <f t="shared" ca="1" si="35"/>
        <v>NO</v>
      </c>
      <c r="AR205" s="177" t="s">
        <v>1573</v>
      </c>
      <c r="AS205" s="438"/>
      <c r="AT205" s="1015"/>
    </row>
    <row r="206" spans="1:46" ht="47.25" customHeight="1" x14ac:dyDescent="0.25">
      <c r="B206" s="15">
        <v>200</v>
      </c>
      <c r="C206" s="442"/>
      <c r="D206" s="442" t="str">
        <f t="shared" si="38"/>
        <v>2014</v>
      </c>
      <c r="E206" s="139" t="s">
        <v>283</v>
      </c>
      <c r="F206" s="132" t="s">
        <v>284</v>
      </c>
      <c r="G206" s="133">
        <v>830055842</v>
      </c>
      <c r="H206" s="132" t="s">
        <v>528</v>
      </c>
      <c r="I206" s="140">
        <v>40000000</v>
      </c>
      <c r="J206" s="879" t="s">
        <v>2629</v>
      </c>
      <c r="K206" s="157">
        <v>2014</v>
      </c>
      <c r="L206" s="551"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8">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4" t="s">
        <v>1138</v>
      </c>
      <c r="AG206" s="173" t="s">
        <v>1437</v>
      </c>
      <c r="AH206" s="284" t="s">
        <v>562</v>
      </c>
      <c r="AI206" s="174" t="s">
        <v>1386</v>
      </c>
      <c r="AJ206" s="174" t="s">
        <v>901</v>
      </c>
      <c r="AK206" s="181" t="str">
        <f t="shared" ca="1" si="46"/>
        <v>TERMINO</v>
      </c>
      <c r="AL206" s="181" t="s">
        <v>921</v>
      </c>
      <c r="AM206" s="176" t="s">
        <v>390</v>
      </c>
      <c r="AN206" s="875" t="str">
        <f>IFERROR(VLOOKUP(E206,'liquidaciones '!$B$2:$C$1048576,2,0),"NO")</f>
        <v>LIQUIDADO</v>
      </c>
      <c r="AO206" s="983">
        <f>IFERROR(VLOOKUP(E206,'liquidaciones '!$B$2:$I$1048576,8,0),"")</f>
        <v>0</v>
      </c>
      <c r="AP206" s="342"/>
      <c r="AQ206" s="177" t="str">
        <f t="shared" ca="1" si="35"/>
        <v>NO</v>
      </c>
      <c r="AR206" s="177" t="s">
        <v>1511</v>
      </c>
      <c r="AS206" s="438"/>
      <c r="AT206" s="1015"/>
    </row>
    <row r="207" spans="1:46" ht="47.25" customHeight="1" x14ac:dyDescent="0.25">
      <c r="B207" s="15">
        <v>201</v>
      </c>
      <c r="C207" s="442"/>
      <c r="D207" s="442" t="str">
        <f t="shared" si="38"/>
        <v>2014</v>
      </c>
      <c r="E207" s="205" t="s">
        <v>1097</v>
      </c>
      <c r="F207" s="206" t="s">
        <v>1098</v>
      </c>
      <c r="G207" s="218"/>
      <c r="H207" s="206" t="s">
        <v>1099</v>
      </c>
      <c r="I207" s="140">
        <v>0</v>
      </c>
      <c r="J207" s="134" t="s">
        <v>1088</v>
      </c>
      <c r="K207" s="157">
        <v>2014</v>
      </c>
      <c r="L207" s="551"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8"/>
      <c r="Y207" s="42" t="e">
        <f t="shared" si="41"/>
        <v>#DIV/0!</v>
      </c>
      <c r="Z207" s="42" t="e">
        <f t="shared" ca="1" si="42"/>
        <v>#DIV/0!</v>
      </c>
      <c r="AA207" s="43" t="e">
        <f t="shared" ca="1" si="43"/>
        <v>#DIV/0!</v>
      </c>
      <c r="AB207" s="202" t="e">
        <f t="shared" ca="1" si="44"/>
        <v>#DIV/0!</v>
      </c>
      <c r="AC207" s="44" t="e">
        <f t="shared" si="45"/>
        <v>#DIV/0!</v>
      </c>
      <c r="AD207" s="44"/>
      <c r="AE207" s="173" t="s">
        <v>1257</v>
      </c>
      <c r="AF207" s="304" t="s">
        <v>1509</v>
      </c>
      <c r="AG207" s="173" t="s">
        <v>1443</v>
      </c>
      <c r="AH207" s="284" t="s">
        <v>560</v>
      </c>
      <c r="AI207" s="174" t="s">
        <v>1320</v>
      </c>
      <c r="AJ207" s="174" t="s">
        <v>901</v>
      </c>
      <c r="AK207" s="181" t="str">
        <f t="shared" ca="1" si="46"/>
        <v>TERMINO</v>
      </c>
      <c r="AL207" s="181" t="s">
        <v>582</v>
      </c>
      <c r="AM207" s="176"/>
      <c r="AN207" s="875" t="str">
        <f>IFERROR(VLOOKUP(E207,'liquidaciones '!$B$2:$C$1048576,2,0),"NO")</f>
        <v>NO</v>
      </c>
      <c r="AO207" s="983" t="str">
        <f>IFERROR(VLOOKUP(E207,'liquidaciones '!$B$2:$I$1048576,8,0),"")</f>
        <v/>
      </c>
      <c r="AP207" s="342"/>
      <c r="AQ207" s="177" t="str">
        <f t="shared" ref="AQ207:AQ221" ca="1" si="47">IF((TODAY()-T207&lt;900),"SI","NO")</f>
        <v>NO</v>
      </c>
      <c r="AR207" s="177" t="s">
        <v>2995</v>
      </c>
      <c r="AS207" s="438"/>
      <c r="AT207" s="1015"/>
    </row>
    <row r="208" spans="1:46" ht="47.25" customHeight="1" x14ac:dyDescent="0.25">
      <c r="B208" s="15">
        <v>202</v>
      </c>
      <c r="C208" s="442"/>
      <c r="D208" s="442" t="str">
        <f t="shared" si="38"/>
        <v>2014</v>
      </c>
      <c r="E208" s="139" t="s">
        <v>289</v>
      </c>
      <c r="F208" s="132" t="s">
        <v>290</v>
      </c>
      <c r="G208" s="133">
        <v>811021363</v>
      </c>
      <c r="H208" s="132" t="s">
        <v>529</v>
      </c>
      <c r="I208" s="140">
        <v>9998117</v>
      </c>
      <c r="J208" s="879" t="s">
        <v>2630</v>
      </c>
      <c r="K208" s="157">
        <v>2014</v>
      </c>
      <c r="L208" s="551"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8"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4" t="s">
        <v>560</v>
      </c>
      <c r="AI208" s="174" t="s">
        <v>1510</v>
      </c>
      <c r="AJ208" s="174" t="s">
        <v>901</v>
      </c>
      <c r="AK208" s="181" t="str">
        <f t="shared" ca="1" si="46"/>
        <v>TERMINO</v>
      </c>
      <c r="AL208" s="181" t="s">
        <v>576</v>
      </c>
      <c r="AM208" s="176" t="s">
        <v>390</v>
      </c>
      <c r="AN208" s="875" t="str">
        <f>IFERROR(VLOOKUP(E208,'liquidaciones '!$B$2:$C$1048576,2,0),"NO")</f>
        <v>LIQUIDADO</v>
      </c>
      <c r="AO208" s="983">
        <f>IFERROR(VLOOKUP(E208,'liquidaciones '!$B$2:$I$1048576,8,0),"")</f>
        <v>0</v>
      </c>
      <c r="AP208" s="342">
        <v>42306</v>
      </c>
      <c r="AQ208" s="177" t="str">
        <f t="shared" ca="1" si="47"/>
        <v>NO</v>
      </c>
      <c r="AR208" s="177" t="s">
        <v>981</v>
      </c>
      <c r="AS208" s="438"/>
      <c r="AT208" s="1015"/>
    </row>
    <row r="209" spans="2:46" ht="47.25" customHeight="1" x14ac:dyDescent="0.25">
      <c r="B209" s="15">
        <v>203</v>
      </c>
      <c r="C209" s="442"/>
      <c r="D209" s="442" t="str">
        <f t="shared" si="38"/>
        <v>2014</v>
      </c>
      <c r="E209" s="139" t="s">
        <v>546</v>
      </c>
      <c r="F209" s="132" t="s">
        <v>310</v>
      </c>
      <c r="G209" s="133">
        <v>800199498</v>
      </c>
      <c r="H209" s="132" t="s">
        <v>545</v>
      </c>
      <c r="I209" s="140">
        <v>14975600</v>
      </c>
      <c r="J209" s="134" t="s">
        <v>1088</v>
      </c>
      <c r="K209" s="157">
        <v>2014</v>
      </c>
      <c r="L209" s="551"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8"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4" t="s">
        <v>560</v>
      </c>
      <c r="AI209" s="174" t="s">
        <v>1510</v>
      </c>
      <c r="AJ209" s="174" t="s">
        <v>954</v>
      </c>
      <c r="AK209" s="181" t="str">
        <f t="shared" ca="1" si="46"/>
        <v>TERMINO</v>
      </c>
      <c r="AL209" s="181" t="s">
        <v>576</v>
      </c>
      <c r="AM209" s="176" t="s">
        <v>390</v>
      </c>
      <c r="AN209" s="875" t="str">
        <f>IFERROR(VLOOKUP(E209,'liquidaciones '!$B$2:$C$1048576,2,0),"NO")</f>
        <v>LIQUIDADO</v>
      </c>
      <c r="AO209" s="983">
        <f>IFERROR(VLOOKUP(E209,'liquidaciones '!$B$2:$I$1048576,8,0),"")</f>
        <v>0</v>
      </c>
      <c r="AP209" s="342">
        <v>42051</v>
      </c>
      <c r="AQ209" s="177" t="str">
        <f t="shared" ca="1" si="47"/>
        <v>NO</v>
      </c>
      <c r="AR209" s="177" t="s">
        <v>1152</v>
      </c>
      <c r="AS209" s="438"/>
      <c r="AT209" s="1015"/>
    </row>
    <row r="210" spans="2:46" ht="47.25" customHeight="1" x14ac:dyDescent="0.25">
      <c r="B210" s="15">
        <v>204</v>
      </c>
      <c r="C210" s="442"/>
      <c r="D210" s="442" t="str">
        <f t="shared" si="38"/>
        <v>2014</v>
      </c>
      <c r="E210" s="139" t="s">
        <v>300</v>
      </c>
      <c r="F210" s="132" t="s">
        <v>1571</v>
      </c>
      <c r="G210" s="133">
        <v>900599628</v>
      </c>
      <c r="H210" s="132" t="s">
        <v>530</v>
      </c>
      <c r="I210" s="140">
        <v>12000000</v>
      </c>
      <c r="J210" s="134" t="s">
        <v>2278</v>
      </c>
      <c r="K210" s="157">
        <v>2014</v>
      </c>
      <c r="L210" s="551"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8" t="s">
        <v>1188</v>
      </c>
      <c r="Y210" s="42">
        <f t="shared" si="41"/>
        <v>0.9</v>
      </c>
      <c r="Z210" s="42">
        <f t="shared" ca="1" si="42"/>
        <v>1</v>
      </c>
      <c r="AA210" s="43">
        <f t="shared" ca="1" si="43"/>
        <v>9.9999999999999978E-2</v>
      </c>
      <c r="AB210" s="202" t="str">
        <f t="shared" ca="1" si="44"/>
        <v/>
      </c>
      <c r="AC210" s="44" t="str">
        <f t="shared" si="45"/>
        <v>NO</v>
      </c>
      <c r="AD210" s="44"/>
      <c r="AE210" s="173" t="s">
        <v>1257</v>
      </c>
      <c r="AF210" s="304" t="s">
        <v>1137</v>
      </c>
      <c r="AG210" s="173" t="s">
        <v>1443</v>
      </c>
      <c r="AH210" s="284" t="s">
        <v>560</v>
      </c>
      <c r="AI210" s="174" t="s">
        <v>1381</v>
      </c>
      <c r="AJ210" s="174" t="s">
        <v>954</v>
      </c>
      <c r="AK210" s="181" t="str">
        <f t="shared" ca="1" si="46"/>
        <v>TERMINO</v>
      </c>
      <c r="AL210" s="181" t="s">
        <v>576</v>
      </c>
      <c r="AM210" s="176" t="s">
        <v>390</v>
      </c>
      <c r="AN210" s="875" t="str">
        <f>IFERROR(VLOOKUP(E210,'liquidaciones '!$B$2:$C$1048576,2,0),"NO")</f>
        <v>LIQUIDADO</v>
      </c>
      <c r="AO210" s="983">
        <f>IFERROR(VLOOKUP(E210,'liquidaciones '!$B$2:$I$1048576,8,0),"")</f>
        <v>0</v>
      </c>
      <c r="AP210" s="342"/>
      <c r="AQ210" s="177" t="str">
        <f t="shared" ca="1" si="47"/>
        <v>SI</v>
      </c>
      <c r="AR210" s="177" t="s">
        <v>981</v>
      </c>
      <c r="AS210" s="438"/>
      <c r="AT210" s="1015"/>
    </row>
    <row r="211" spans="2:46" ht="47.25" customHeight="1" x14ac:dyDescent="0.25">
      <c r="B211" s="15">
        <v>205</v>
      </c>
      <c r="C211" s="442"/>
      <c r="D211" s="442" t="str">
        <f t="shared" si="38"/>
        <v>2014</v>
      </c>
      <c r="E211" s="139" t="s">
        <v>296</v>
      </c>
      <c r="F211" s="132" t="s">
        <v>1039</v>
      </c>
      <c r="G211" s="133">
        <v>900207129</v>
      </c>
      <c r="H211" s="132" t="s">
        <v>531</v>
      </c>
      <c r="I211" s="140">
        <v>5719790</v>
      </c>
      <c r="J211" s="134" t="s">
        <v>1088</v>
      </c>
      <c r="K211" s="157">
        <v>2014</v>
      </c>
      <c r="L211" s="551"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8"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4"/>
      <c r="AI211" s="174"/>
      <c r="AJ211" s="174" t="s">
        <v>901</v>
      </c>
      <c r="AK211" s="181" t="str">
        <f t="shared" ca="1" si="46"/>
        <v>TERMINO</v>
      </c>
      <c r="AL211" s="181" t="s">
        <v>576</v>
      </c>
      <c r="AM211" s="176" t="s">
        <v>391</v>
      </c>
      <c r="AN211" s="875" t="str">
        <f>IFERROR(VLOOKUP(E211,'liquidaciones '!$B$2:$C$1048576,2,0),"NO")</f>
        <v>LIQUIDADO</v>
      </c>
      <c r="AO211" s="983">
        <f>IFERROR(VLOOKUP(E211,'liquidaciones '!$B$2:$I$1048576,8,0),"")</f>
        <v>0</v>
      </c>
      <c r="AP211" s="342">
        <v>41919</v>
      </c>
      <c r="AQ211" s="177" t="str">
        <f t="shared" ca="1" si="47"/>
        <v>NO</v>
      </c>
      <c r="AR211" s="177" t="s">
        <v>1166</v>
      </c>
      <c r="AS211" s="438"/>
      <c r="AT211" s="1015"/>
    </row>
    <row r="212" spans="2:46" ht="47.25" customHeight="1" x14ac:dyDescent="0.25">
      <c r="B212" s="15">
        <v>206</v>
      </c>
      <c r="C212" s="442"/>
      <c r="D212" s="442" t="str">
        <f t="shared" si="38"/>
        <v>2014</v>
      </c>
      <c r="E212" s="347" t="s">
        <v>287</v>
      </c>
      <c r="F212" s="132" t="s">
        <v>1018</v>
      </c>
      <c r="G212" s="133">
        <v>900548648</v>
      </c>
      <c r="H212" s="132" t="s">
        <v>532</v>
      </c>
      <c r="I212" s="140">
        <v>337487000</v>
      </c>
      <c r="J212" s="134" t="s">
        <v>1088</v>
      </c>
      <c r="K212" s="157">
        <v>2014</v>
      </c>
      <c r="L212" s="551"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8"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4" t="s">
        <v>1139</v>
      </c>
      <c r="AG212" s="173" t="s">
        <v>1443</v>
      </c>
      <c r="AH212" s="284" t="s">
        <v>560</v>
      </c>
      <c r="AI212" s="174" t="s">
        <v>1380</v>
      </c>
      <c r="AJ212" s="174" t="s">
        <v>901</v>
      </c>
      <c r="AK212" s="181" t="str">
        <f t="shared" ca="1" si="46"/>
        <v>TERMINO</v>
      </c>
      <c r="AL212" s="181" t="s">
        <v>921</v>
      </c>
      <c r="AM212" s="176" t="s">
        <v>390</v>
      </c>
      <c r="AN212" s="875" t="str">
        <f>IFERROR(VLOOKUP(E212,'liquidaciones '!$B$2:$C$1048576,2,0),"NO")</f>
        <v>EN TRÁMITE</v>
      </c>
      <c r="AO212" s="983" t="str">
        <f>IFERROR(VLOOKUP(E212,'liquidaciones '!$B$2:$I$1048576,8,0),"")</f>
        <v>MANUEL ROJAS</v>
      </c>
      <c r="AP212" s="342"/>
      <c r="AQ212" s="177" t="str">
        <f t="shared" ca="1" si="47"/>
        <v>NO</v>
      </c>
      <c r="AR212" s="177" t="s">
        <v>1573</v>
      </c>
      <c r="AS212" s="438"/>
      <c r="AT212" s="1015"/>
    </row>
    <row r="213" spans="2:46" ht="47.25" customHeight="1" x14ac:dyDescent="0.25">
      <c r="B213" s="15">
        <v>207</v>
      </c>
      <c r="C213" s="442"/>
      <c r="D213" s="442" t="str">
        <f t="shared" si="38"/>
        <v>2014</v>
      </c>
      <c r="E213" s="347" t="s">
        <v>291</v>
      </c>
      <c r="F213" s="132" t="s">
        <v>1048</v>
      </c>
      <c r="G213" s="133">
        <v>900475780</v>
      </c>
      <c r="H213" s="132" t="s">
        <v>533</v>
      </c>
      <c r="I213" s="140">
        <v>2447846100</v>
      </c>
      <c r="J213" s="134" t="s">
        <v>1088</v>
      </c>
      <c r="K213" s="157">
        <v>2014</v>
      </c>
      <c r="L213" s="551"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8"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4" t="s">
        <v>1509</v>
      </c>
      <c r="AG213" s="173" t="s">
        <v>1443</v>
      </c>
      <c r="AH213" s="284" t="s">
        <v>560</v>
      </c>
      <c r="AI213" s="174" t="s">
        <v>1320</v>
      </c>
      <c r="AJ213" s="174" t="s">
        <v>901</v>
      </c>
      <c r="AK213" s="181" t="str">
        <f t="shared" ca="1" si="46"/>
        <v>TERMINO</v>
      </c>
      <c r="AL213" s="181" t="s">
        <v>582</v>
      </c>
      <c r="AM213" s="176" t="s">
        <v>390</v>
      </c>
      <c r="AN213" s="875" t="str">
        <f>IFERROR(VLOOKUP(E213,'liquidaciones '!$B$2:$C$1048576,2,0),"NO")</f>
        <v>LIQUIDADO</v>
      </c>
      <c r="AO213" s="983">
        <f>IFERROR(VLOOKUP(E213,'liquidaciones '!$B$2:$I$1048576,8,0),"")</f>
        <v>0</v>
      </c>
      <c r="AP213" s="342"/>
      <c r="AQ213" s="177" t="str">
        <f t="shared" ca="1" si="47"/>
        <v>NO</v>
      </c>
      <c r="AR213" s="177" t="s">
        <v>2080</v>
      </c>
      <c r="AS213" s="438"/>
      <c r="AT213" s="1015"/>
    </row>
    <row r="214" spans="2:46" ht="47.25" customHeight="1" x14ac:dyDescent="0.25">
      <c r="B214" s="15">
        <v>208</v>
      </c>
      <c r="C214" s="442"/>
      <c r="D214" s="442" t="str">
        <f t="shared" si="38"/>
        <v>2014</v>
      </c>
      <c r="E214" s="347" t="s">
        <v>305</v>
      </c>
      <c r="F214" s="132" t="s">
        <v>306</v>
      </c>
      <c r="G214" s="133">
        <v>900007203</v>
      </c>
      <c r="H214" s="132" t="s">
        <v>534</v>
      </c>
      <c r="I214" s="140">
        <v>330000</v>
      </c>
      <c r="J214" s="134" t="s">
        <v>1088</v>
      </c>
      <c r="K214" s="157">
        <v>2014</v>
      </c>
      <c r="L214" s="551"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8"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4" t="s">
        <v>560</v>
      </c>
      <c r="AI214" s="174"/>
      <c r="AJ214" s="174" t="s">
        <v>954</v>
      </c>
      <c r="AK214" s="181" t="str">
        <f t="shared" ca="1" si="46"/>
        <v>TERMINO</v>
      </c>
      <c r="AL214" s="181" t="s">
        <v>576</v>
      </c>
      <c r="AM214" s="176" t="s">
        <v>390</v>
      </c>
      <c r="AN214" s="875" t="str">
        <f>IFERROR(VLOOKUP(E214,'liquidaciones '!$B$2:$C$1048576,2,0),"NO")</f>
        <v>LIQUIDADO</v>
      </c>
      <c r="AO214" s="983">
        <f>IFERROR(VLOOKUP(E214,'liquidaciones '!$B$2:$I$1048576,8,0),"")</f>
        <v>0</v>
      </c>
      <c r="AP214" s="342">
        <v>42306</v>
      </c>
      <c r="AQ214" s="177" t="str">
        <f t="shared" ca="1" si="47"/>
        <v>NO</v>
      </c>
      <c r="AR214" s="177" t="s">
        <v>1152</v>
      </c>
      <c r="AS214" s="438"/>
      <c r="AT214" s="1015"/>
    </row>
    <row r="215" spans="2:46" ht="47.25" customHeight="1" x14ac:dyDescent="0.25">
      <c r="B215" s="15">
        <v>209</v>
      </c>
      <c r="C215" s="442"/>
      <c r="D215" s="442" t="str">
        <f t="shared" si="38"/>
        <v>2014</v>
      </c>
      <c r="E215" s="139" t="s">
        <v>285</v>
      </c>
      <c r="F215" s="132" t="s">
        <v>3</v>
      </c>
      <c r="G215" s="133">
        <v>830095213</v>
      </c>
      <c r="H215" s="132" t="s">
        <v>402</v>
      </c>
      <c r="I215" s="140">
        <v>251750000</v>
      </c>
      <c r="J215" s="134" t="s">
        <v>1088</v>
      </c>
      <c r="K215" s="157">
        <v>2014</v>
      </c>
      <c r="L215" s="551"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8"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4" t="s">
        <v>560</v>
      </c>
      <c r="AI215" s="174" t="s">
        <v>1320</v>
      </c>
      <c r="AJ215" s="174" t="s">
        <v>901</v>
      </c>
      <c r="AK215" s="181" t="str">
        <f t="shared" ca="1" si="46"/>
        <v>TERMINO</v>
      </c>
      <c r="AL215" s="175"/>
      <c r="AM215" s="176" t="s">
        <v>391</v>
      </c>
      <c r="AN215" s="875" t="str">
        <f>IFERROR(VLOOKUP(E215,'liquidaciones '!$B$2:$C$1048576,2,0),"NO")</f>
        <v>EN TRÁMITE</v>
      </c>
      <c r="AO215" s="983">
        <f>IFERROR(VLOOKUP(E215,'liquidaciones '!$B$2:$I$1048576,8,0),"")</f>
        <v>0</v>
      </c>
      <c r="AP215" s="342"/>
      <c r="AQ215" s="177" t="str">
        <f t="shared" ca="1" si="47"/>
        <v>NO</v>
      </c>
      <c r="AR215" s="177" t="s">
        <v>1574</v>
      </c>
      <c r="AS215" s="438"/>
      <c r="AT215" s="1015"/>
    </row>
    <row r="216" spans="2:46" ht="47.25" customHeight="1" x14ac:dyDescent="0.25">
      <c r="B216" s="15">
        <v>210</v>
      </c>
      <c r="C216" s="442"/>
      <c r="D216" s="442" t="str">
        <f t="shared" si="38"/>
        <v>2014</v>
      </c>
      <c r="E216" s="139" t="s">
        <v>1101</v>
      </c>
      <c r="F216" s="132" t="s">
        <v>435</v>
      </c>
      <c r="G216" s="143">
        <v>900152368</v>
      </c>
      <c r="H216" s="132" t="s">
        <v>1103</v>
      </c>
      <c r="I216" s="140">
        <v>6252000</v>
      </c>
      <c r="J216" s="134" t="s">
        <v>1088</v>
      </c>
      <c r="K216" s="157">
        <v>2014</v>
      </c>
      <c r="L216" s="551"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8"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4" t="s">
        <v>1173</v>
      </c>
      <c r="AG216" s="173" t="s">
        <v>1443</v>
      </c>
      <c r="AH216" s="284" t="s">
        <v>560</v>
      </c>
      <c r="AI216" s="174" t="s">
        <v>1381</v>
      </c>
      <c r="AJ216" s="174" t="s">
        <v>901</v>
      </c>
      <c r="AK216" s="181" t="str">
        <f t="shared" ca="1" si="46"/>
        <v>TERMINO</v>
      </c>
      <c r="AL216" s="181" t="s">
        <v>576</v>
      </c>
      <c r="AM216" s="176" t="s">
        <v>390</v>
      </c>
      <c r="AN216" s="875" t="str">
        <f>IFERROR(VLOOKUP(E216,'liquidaciones '!$B$2:$C$1048576,2,0),"NO")</f>
        <v>EN TRÁMITE</v>
      </c>
      <c r="AO216" s="983">
        <f>IFERROR(VLOOKUP(E216,'liquidaciones '!$B$2:$I$1048576,8,0),"")</f>
        <v>0</v>
      </c>
      <c r="AP216" s="342"/>
      <c r="AQ216" s="177" t="str">
        <f t="shared" ca="1" si="47"/>
        <v>NO</v>
      </c>
      <c r="AR216" s="177" t="s">
        <v>2395</v>
      </c>
      <c r="AS216" s="438"/>
      <c r="AT216" s="1015"/>
    </row>
    <row r="217" spans="2:46" ht="47.25" customHeight="1" x14ac:dyDescent="0.25">
      <c r="B217" s="15">
        <v>211</v>
      </c>
      <c r="C217" s="442"/>
      <c r="D217" s="442" t="str">
        <f t="shared" si="38"/>
        <v>2014</v>
      </c>
      <c r="E217" s="347" t="s">
        <v>299</v>
      </c>
      <c r="F217" s="132" t="s">
        <v>1049</v>
      </c>
      <c r="G217" s="133">
        <v>19303649</v>
      </c>
      <c r="H217" s="132" t="s">
        <v>535</v>
      </c>
      <c r="I217" s="140">
        <v>2962640</v>
      </c>
      <c r="J217" s="134" t="s">
        <v>1088</v>
      </c>
      <c r="K217" s="157">
        <v>2014</v>
      </c>
      <c r="L217" s="551"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8"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4"/>
      <c r="AI217" s="174"/>
      <c r="AJ217" s="174" t="s">
        <v>901</v>
      </c>
      <c r="AK217" s="181" t="str">
        <f t="shared" ca="1" si="46"/>
        <v>TERMINO</v>
      </c>
      <c r="AL217" s="181" t="s">
        <v>576</v>
      </c>
      <c r="AM217" s="176" t="s">
        <v>391</v>
      </c>
      <c r="AN217" s="875" t="str">
        <f>IFERROR(VLOOKUP(E217,'liquidaciones '!$B$2:$C$1048576,2,0),"NO")</f>
        <v>LIQUIDADO</v>
      </c>
      <c r="AO217" s="983">
        <f>IFERROR(VLOOKUP(E217,'liquidaciones '!$B$2:$I$1048576,8,0),"")</f>
        <v>0</v>
      </c>
      <c r="AP217" s="338">
        <v>42088</v>
      </c>
      <c r="AQ217" s="177" t="str">
        <f t="shared" ca="1" si="47"/>
        <v>NO</v>
      </c>
      <c r="AR217" s="177" t="s">
        <v>1152</v>
      </c>
      <c r="AS217" s="438"/>
      <c r="AT217" s="1015"/>
    </row>
    <row r="218" spans="2:46" ht="47.25" customHeight="1" x14ac:dyDescent="0.25">
      <c r="B218" s="15">
        <v>212</v>
      </c>
      <c r="C218" s="442"/>
      <c r="D218" s="442" t="str">
        <f t="shared" si="38"/>
        <v>2014</v>
      </c>
      <c r="E218" s="347" t="s">
        <v>294</v>
      </c>
      <c r="F218" s="132" t="s">
        <v>295</v>
      </c>
      <c r="G218" s="133">
        <v>900153597</v>
      </c>
      <c r="H218" s="132" t="s">
        <v>536</v>
      </c>
      <c r="I218" s="140">
        <v>36581760</v>
      </c>
      <c r="J218" s="879" t="s">
        <v>2632</v>
      </c>
      <c r="K218" s="157">
        <v>2014</v>
      </c>
      <c r="L218" s="551"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8"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4" t="s">
        <v>1141</v>
      </c>
      <c r="AG218" s="173" t="s">
        <v>1443</v>
      </c>
      <c r="AH218" s="284" t="s">
        <v>560</v>
      </c>
      <c r="AI218" s="174" t="s">
        <v>1380</v>
      </c>
      <c r="AJ218" s="174" t="s">
        <v>901</v>
      </c>
      <c r="AK218" s="181" t="str">
        <f t="shared" ca="1" si="46"/>
        <v>TERMINO</v>
      </c>
      <c r="AL218" s="181" t="s">
        <v>921</v>
      </c>
      <c r="AM218" s="176" t="s">
        <v>390</v>
      </c>
      <c r="AN218" s="875" t="str">
        <f>IFERROR(VLOOKUP(E218,'liquidaciones '!$B$2:$C$1048576,2,0),"NO")</f>
        <v>LIQUIDADO</v>
      </c>
      <c r="AO218" s="983">
        <f>IFERROR(VLOOKUP(E218,'liquidaciones '!$B$2:$I$1048576,8,0),"")</f>
        <v>0</v>
      </c>
      <c r="AP218" s="342"/>
      <c r="AQ218" s="177" t="str">
        <f t="shared" ca="1" si="47"/>
        <v>NO</v>
      </c>
      <c r="AR218" s="177" t="s">
        <v>981</v>
      </c>
      <c r="AS218" s="438"/>
      <c r="AT218" s="1015"/>
    </row>
    <row r="219" spans="2:46" ht="47.25" customHeight="1" x14ac:dyDescent="0.25">
      <c r="B219" s="15">
        <v>213</v>
      </c>
      <c r="C219" s="442"/>
      <c r="D219" s="442" t="str">
        <f t="shared" si="38"/>
        <v>2014</v>
      </c>
      <c r="E219" s="347" t="s">
        <v>292</v>
      </c>
      <c r="F219" s="132" t="s">
        <v>293</v>
      </c>
      <c r="G219" s="133">
        <v>79619132</v>
      </c>
      <c r="H219" s="132" t="s">
        <v>537</v>
      </c>
      <c r="I219" s="140">
        <v>16390000</v>
      </c>
      <c r="J219" s="134" t="s">
        <v>1088</v>
      </c>
      <c r="K219" s="157">
        <v>2014</v>
      </c>
      <c r="L219" s="551"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8" t="s">
        <v>1194</v>
      </c>
      <c r="Y219" s="42">
        <f t="shared" si="41"/>
        <v>1</v>
      </c>
      <c r="Z219" s="42">
        <f t="shared" ca="1" si="42"/>
        <v>1</v>
      </c>
      <c r="AA219" s="43">
        <f t="shared" ca="1" si="43"/>
        <v>0</v>
      </c>
      <c r="AB219" s="202" t="str">
        <f t="shared" ca="1" si="44"/>
        <v/>
      </c>
      <c r="AC219" s="44" t="str">
        <f t="shared" si="45"/>
        <v>SI</v>
      </c>
      <c r="AD219" s="44"/>
      <c r="AE219" s="173" t="s">
        <v>1257</v>
      </c>
      <c r="AF219" s="304" t="s">
        <v>1142</v>
      </c>
      <c r="AG219" s="173" t="s">
        <v>1443</v>
      </c>
      <c r="AH219" s="284" t="s">
        <v>560</v>
      </c>
      <c r="AI219" s="174" t="s">
        <v>1381</v>
      </c>
      <c r="AJ219" s="174" t="s">
        <v>901</v>
      </c>
      <c r="AK219" s="181" t="str">
        <f t="shared" ca="1" si="46"/>
        <v>TERMINO</v>
      </c>
      <c r="AL219" s="181" t="s">
        <v>576</v>
      </c>
      <c r="AM219" s="176" t="s">
        <v>390</v>
      </c>
      <c r="AN219" s="875" t="str">
        <f>IFERROR(VLOOKUP(E219,'liquidaciones '!$B$2:$C$1048576,2,0),"NO")</f>
        <v>LIQUIDADO</v>
      </c>
      <c r="AO219" s="983">
        <f>IFERROR(VLOOKUP(E219,'liquidaciones '!$B$2:$I$1048576,8,0),"")</f>
        <v>0</v>
      </c>
      <c r="AP219" s="342"/>
      <c r="AQ219" s="177" t="str">
        <f t="shared" ca="1" si="47"/>
        <v>SI</v>
      </c>
      <c r="AR219" s="177" t="s">
        <v>981</v>
      </c>
      <c r="AS219" s="438"/>
      <c r="AT219" s="1015"/>
    </row>
    <row r="220" spans="2:46" ht="57.75" customHeight="1" x14ac:dyDescent="0.25">
      <c r="B220" s="15">
        <v>214</v>
      </c>
      <c r="C220" s="442"/>
      <c r="D220" s="442" t="str">
        <f t="shared" si="38"/>
        <v>2014</v>
      </c>
      <c r="E220" s="139" t="s">
        <v>298</v>
      </c>
      <c r="F220" s="132" t="s">
        <v>90</v>
      </c>
      <c r="G220" s="133">
        <v>830109807</v>
      </c>
      <c r="H220" s="132" t="s">
        <v>538</v>
      </c>
      <c r="I220" s="140">
        <v>683000</v>
      </c>
      <c r="J220" s="134" t="s">
        <v>1088</v>
      </c>
      <c r="K220" s="157">
        <v>2014</v>
      </c>
      <c r="L220" s="551"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8" t="s">
        <v>1232</v>
      </c>
      <c r="Y220" s="42">
        <f t="shared" si="41"/>
        <v>1</v>
      </c>
      <c r="Z220" s="42">
        <f t="shared" ca="1" si="42"/>
        <v>1</v>
      </c>
      <c r="AA220" s="43">
        <f t="shared" ca="1" si="43"/>
        <v>0</v>
      </c>
      <c r="AB220" s="202" t="str">
        <f t="shared" ca="1" si="44"/>
        <v/>
      </c>
      <c r="AC220" s="44" t="str">
        <f t="shared" si="45"/>
        <v>SI</v>
      </c>
      <c r="AD220" s="44"/>
      <c r="AE220" s="173" t="s">
        <v>1257</v>
      </c>
      <c r="AF220" s="304" t="s">
        <v>1143</v>
      </c>
      <c r="AG220" s="173" t="s">
        <v>1431</v>
      </c>
      <c r="AH220" s="284" t="s">
        <v>564</v>
      </c>
      <c r="AI220" s="174"/>
      <c r="AJ220" s="174" t="s">
        <v>901</v>
      </c>
      <c r="AK220" s="181" t="str">
        <f t="shared" ca="1" si="46"/>
        <v>TERMINO</v>
      </c>
      <c r="AL220" s="181" t="s">
        <v>576</v>
      </c>
      <c r="AM220" s="176" t="s">
        <v>390</v>
      </c>
      <c r="AN220" s="875" t="str">
        <f>IFERROR(VLOOKUP(E220,'liquidaciones '!$B$2:$C$1048576,2,0),"NO")</f>
        <v>LIQUIDADO</v>
      </c>
      <c r="AO220" s="983">
        <f>IFERROR(VLOOKUP(E220,'liquidaciones '!$B$2:$I$1048576,8,0),"")</f>
        <v>0</v>
      </c>
      <c r="AP220" s="342"/>
      <c r="AQ220" s="177" t="str">
        <f t="shared" ca="1" si="47"/>
        <v>NO</v>
      </c>
      <c r="AR220" s="177" t="s">
        <v>1511</v>
      </c>
      <c r="AS220" s="438"/>
      <c r="AT220" s="1015"/>
    </row>
    <row r="221" spans="2:46" ht="47.25" customHeight="1" x14ac:dyDescent="0.25">
      <c r="B221" s="15">
        <v>215</v>
      </c>
      <c r="C221" s="442"/>
      <c r="D221" s="442" t="str">
        <f t="shared" si="38"/>
        <v>2014</v>
      </c>
      <c r="E221" s="139" t="s">
        <v>302</v>
      </c>
      <c r="F221" s="132" t="s">
        <v>303</v>
      </c>
      <c r="G221" s="133">
        <v>832004433</v>
      </c>
      <c r="H221" s="132" t="s">
        <v>539</v>
      </c>
      <c r="I221" s="140">
        <v>4672000</v>
      </c>
      <c r="J221" s="705" t="s">
        <v>2232</v>
      </c>
      <c r="K221" s="157">
        <v>2014</v>
      </c>
      <c r="L221" s="551"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8"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4" t="s">
        <v>560</v>
      </c>
      <c r="AI221" s="174" t="s">
        <v>1381</v>
      </c>
      <c r="AJ221" s="174" t="s">
        <v>954</v>
      </c>
      <c r="AK221" s="181" t="str">
        <f t="shared" ca="1" si="46"/>
        <v>TERMINO</v>
      </c>
      <c r="AL221" s="181" t="s">
        <v>576</v>
      </c>
      <c r="AM221" s="176" t="s">
        <v>390</v>
      </c>
      <c r="AN221" s="875" t="str">
        <f>IFERROR(VLOOKUP(E221,'liquidaciones '!$B$2:$C$1048576,2,0),"NO")</f>
        <v>LIQUIDADO</v>
      </c>
      <c r="AO221" s="983">
        <f>IFERROR(VLOOKUP(E221,'liquidaciones '!$B$2:$I$1048576,8,0),"")</f>
        <v>0</v>
      </c>
      <c r="AP221" s="342">
        <v>42321</v>
      </c>
      <c r="AQ221" s="177" t="str">
        <f t="shared" ca="1" si="47"/>
        <v>NO</v>
      </c>
      <c r="AR221" s="177" t="s">
        <v>1056</v>
      </c>
      <c r="AS221" s="438"/>
      <c r="AT221" s="1015"/>
    </row>
    <row r="222" spans="2:46" ht="47.25" customHeight="1" x14ac:dyDescent="0.25">
      <c r="B222" s="15">
        <v>216</v>
      </c>
      <c r="C222" s="442"/>
      <c r="D222" s="442" t="str">
        <f t="shared" si="38"/>
        <v>2014</v>
      </c>
      <c r="E222" s="139" t="s">
        <v>919</v>
      </c>
      <c r="F222" s="132" t="s">
        <v>1104</v>
      </c>
      <c r="G222" s="137"/>
      <c r="H222" s="132" t="s">
        <v>1105</v>
      </c>
      <c r="I222" s="140">
        <v>3846133</v>
      </c>
      <c r="J222" s="134" t="s">
        <v>1088</v>
      </c>
      <c r="K222" s="157">
        <v>2014</v>
      </c>
      <c r="L222" s="551"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8"/>
      <c r="Y222" s="42">
        <f t="shared" si="41"/>
        <v>0</v>
      </c>
      <c r="Z222" s="42">
        <f t="shared" ca="1" si="42"/>
        <v>1</v>
      </c>
      <c r="AA222" s="43">
        <f t="shared" ca="1" si="43"/>
        <v>1</v>
      </c>
      <c r="AB222" s="202" t="str">
        <f t="shared" ca="1" si="44"/>
        <v/>
      </c>
      <c r="AC222" s="44"/>
      <c r="AD222" s="44"/>
      <c r="AE222" s="173"/>
      <c r="AF222" s="173"/>
      <c r="AG222" s="173"/>
      <c r="AH222" s="284"/>
      <c r="AI222" s="174"/>
      <c r="AJ222" s="174"/>
      <c r="AK222" s="181" t="str">
        <f t="shared" ca="1" si="46"/>
        <v>TERMINO</v>
      </c>
      <c r="AL222" s="181"/>
      <c r="AM222" s="176"/>
      <c r="AN222" s="875" t="str">
        <f>IFERROR(VLOOKUP(E222,'liquidaciones '!$B$2:$C$1048576,2,0),"NO")</f>
        <v>DEVUELTO</v>
      </c>
      <c r="AO222" s="983" t="str">
        <f>IFERROR(VLOOKUP(E222,'liquidaciones '!$B$2:$I$1048576,8,0),"")</f>
        <v>JULIETH ANGARITA</v>
      </c>
      <c r="AP222" s="342"/>
      <c r="AQ222" s="177"/>
      <c r="AR222" s="177"/>
      <c r="AS222" s="438"/>
      <c r="AT222" s="1015"/>
    </row>
    <row r="223" spans="2:46" ht="57.75" customHeight="1" x14ac:dyDescent="0.25">
      <c r="B223" s="15">
        <v>217</v>
      </c>
      <c r="C223" s="442"/>
      <c r="D223" s="442" t="str">
        <f t="shared" si="38"/>
        <v>2014</v>
      </c>
      <c r="E223" s="347" t="s">
        <v>400</v>
      </c>
      <c r="F223" s="132" t="s">
        <v>198</v>
      </c>
      <c r="G223" s="133">
        <v>900268429</v>
      </c>
      <c r="H223" s="132" t="s">
        <v>1144</v>
      </c>
      <c r="I223" s="140">
        <v>10564000</v>
      </c>
      <c r="J223" s="134" t="s">
        <v>1088</v>
      </c>
      <c r="K223" s="157">
        <v>2014</v>
      </c>
      <c r="L223" s="551"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8"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4" t="s">
        <v>1145</v>
      </c>
      <c r="AG223" s="173" t="s">
        <v>1443</v>
      </c>
      <c r="AH223" s="284" t="s">
        <v>560</v>
      </c>
      <c r="AI223" s="174" t="s">
        <v>1381</v>
      </c>
      <c r="AJ223" s="174" t="s">
        <v>954</v>
      </c>
      <c r="AK223" s="181" t="str">
        <f t="shared" ca="1" si="46"/>
        <v>TERMINO</v>
      </c>
      <c r="AL223" s="181" t="s">
        <v>574</v>
      </c>
      <c r="AM223" s="176" t="s">
        <v>390</v>
      </c>
      <c r="AN223" s="875" t="str">
        <f>IFERROR(VLOOKUP(E223,'liquidaciones '!$B$2:$C$1048576,2,0),"NO")</f>
        <v>LIQUIDADO</v>
      </c>
      <c r="AO223" s="983">
        <f>IFERROR(VLOOKUP(E223,'liquidaciones '!$B$2:$I$1048576,8,0),"")</f>
        <v>0</v>
      </c>
      <c r="AP223" s="342">
        <v>42376</v>
      </c>
      <c r="AQ223" s="177" t="str">
        <f t="shared" ref="AQ223:AQ254" ca="1" si="49">IF((TODAY()-T223&lt;900),"SI","NO")</f>
        <v>NO</v>
      </c>
      <c r="AR223" s="177" t="s">
        <v>1573</v>
      </c>
      <c r="AS223" s="438"/>
      <c r="AT223" s="1015"/>
    </row>
    <row r="224" spans="2:46" ht="63.75" customHeight="1" x14ac:dyDescent="0.25">
      <c r="B224" s="15">
        <v>218</v>
      </c>
      <c r="C224" s="442"/>
      <c r="D224" s="442" t="str">
        <f t="shared" si="38"/>
        <v>2014</v>
      </c>
      <c r="E224" s="347" t="s">
        <v>401</v>
      </c>
      <c r="F224" s="132" t="s">
        <v>547</v>
      </c>
      <c r="G224" s="133">
        <v>830021364</v>
      </c>
      <c r="H224" s="132" t="s">
        <v>1051</v>
      </c>
      <c r="I224" s="140">
        <v>249991314</v>
      </c>
      <c r="J224" s="134" t="s">
        <v>1088</v>
      </c>
      <c r="K224" s="157">
        <v>2014</v>
      </c>
      <c r="L224" s="551"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8"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4" t="s">
        <v>1174</v>
      </c>
      <c r="AG224" s="173" t="s">
        <v>1443</v>
      </c>
      <c r="AH224" s="284" t="s">
        <v>560</v>
      </c>
      <c r="AI224" s="174" t="s">
        <v>1381</v>
      </c>
      <c r="AJ224" s="174" t="s">
        <v>954</v>
      </c>
      <c r="AK224" s="181" t="str">
        <f t="shared" ca="1" si="46"/>
        <v>TERMINO</v>
      </c>
      <c r="AL224" s="181" t="s">
        <v>576</v>
      </c>
      <c r="AM224" s="176" t="s">
        <v>391</v>
      </c>
      <c r="AN224" s="875" t="str">
        <f>IFERROR(VLOOKUP(E224,'liquidaciones '!$B$2:$C$1048576,2,0),"NO")</f>
        <v>LIQUIDADO</v>
      </c>
      <c r="AO224" s="983">
        <f>IFERROR(VLOOKUP(E224,'liquidaciones '!$B$2:$I$1048576,8,0),"")</f>
        <v>0</v>
      </c>
      <c r="AP224" s="342"/>
      <c r="AQ224" s="177" t="str">
        <f t="shared" ca="1" si="49"/>
        <v>NO</v>
      </c>
      <c r="AR224" s="177" t="s">
        <v>981</v>
      </c>
      <c r="AS224" s="438"/>
      <c r="AT224" s="1015"/>
    </row>
    <row r="225" spans="2:46" ht="47.25" customHeight="1" x14ac:dyDescent="0.25">
      <c r="B225" s="15">
        <v>219</v>
      </c>
      <c r="C225" s="442"/>
      <c r="D225" s="442" t="str">
        <f t="shared" si="38"/>
        <v>2014</v>
      </c>
      <c r="E225" s="347" t="s">
        <v>1334</v>
      </c>
      <c r="F225" s="132" t="s">
        <v>1335</v>
      </c>
      <c r="G225" s="133">
        <v>830145054</v>
      </c>
      <c r="H225" s="132" t="s">
        <v>1336</v>
      </c>
      <c r="I225" s="140">
        <v>4136000</v>
      </c>
      <c r="J225" s="134" t="s">
        <v>1088</v>
      </c>
      <c r="K225" s="157">
        <v>2014</v>
      </c>
      <c r="L225" s="551"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8"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4" t="s">
        <v>1301</v>
      </c>
      <c r="AG225" s="173" t="s">
        <v>1443</v>
      </c>
      <c r="AH225" s="284" t="s">
        <v>560</v>
      </c>
      <c r="AI225" s="174" t="s">
        <v>1381</v>
      </c>
      <c r="AJ225" s="174" t="s">
        <v>954</v>
      </c>
      <c r="AK225" s="181" t="str">
        <f t="shared" ca="1" si="46"/>
        <v>TERMINO</v>
      </c>
      <c r="AL225" s="181" t="s">
        <v>576</v>
      </c>
      <c r="AM225" s="176" t="s">
        <v>390</v>
      </c>
      <c r="AN225" s="875" t="str">
        <f>IFERROR(VLOOKUP(E225,'liquidaciones '!$B$2:$C$1048576,2,0),"NO")</f>
        <v>NO</v>
      </c>
      <c r="AO225" s="983" t="str">
        <f>IFERROR(VLOOKUP(E225,'liquidaciones '!$B$2:$I$1048576,8,0),"")</f>
        <v>MANUEL ROJAS</v>
      </c>
      <c r="AP225" s="342"/>
      <c r="AQ225" s="177" t="str">
        <f t="shared" ca="1" si="49"/>
        <v>NO</v>
      </c>
      <c r="AR225" s="177" t="s">
        <v>1574</v>
      </c>
      <c r="AS225" s="438"/>
      <c r="AT225" s="1015"/>
    </row>
    <row r="226" spans="2:46" ht="47.25" customHeight="1" x14ac:dyDescent="0.25">
      <c r="B226" s="15">
        <v>220</v>
      </c>
      <c r="C226" s="442"/>
      <c r="D226" s="442" t="str">
        <f t="shared" si="38"/>
        <v>2014</v>
      </c>
      <c r="E226" s="347" t="s">
        <v>297</v>
      </c>
      <c r="F226" s="132" t="s">
        <v>999</v>
      </c>
      <c r="G226" s="133">
        <v>860066942</v>
      </c>
      <c r="H226" s="132" t="s">
        <v>540</v>
      </c>
      <c r="I226" s="140">
        <v>65200000</v>
      </c>
      <c r="J226" s="134" t="s">
        <v>1088</v>
      </c>
      <c r="K226" s="157">
        <v>2014</v>
      </c>
      <c r="L226" s="551"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8"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4" t="s">
        <v>560</v>
      </c>
      <c r="AI226" s="174" t="s">
        <v>1387</v>
      </c>
      <c r="AJ226" s="174" t="s">
        <v>901</v>
      </c>
      <c r="AK226" s="181" t="str">
        <f t="shared" ca="1" si="46"/>
        <v>TERMINO</v>
      </c>
      <c r="AL226" s="181" t="s">
        <v>582</v>
      </c>
      <c r="AM226" s="176" t="s">
        <v>390</v>
      </c>
      <c r="AN226" s="875" t="str">
        <f>IFERROR(VLOOKUP(E226,'liquidaciones '!$B$2:$C$1048576,2,0),"NO")</f>
        <v>LIQUIDADO</v>
      </c>
      <c r="AO226" s="983">
        <f>IFERROR(VLOOKUP(E226,'liquidaciones '!$B$2:$I$1048576,8,0),"")</f>
        <v>0</v>
      </c>
      <c r="AP226" s="342">
        <v>42345</v>
      </c>
      <c r="AQ226" s="177" t="str">
        <f t="shared" ca="1" si="49"/>
        <v>NO</v>
      </c>
      <c r="AR226" s="177" t="s">
        <v>2080</v>
      </c>
      <c r="AS226" s="438"/>
      <c r="AT226" s="1015"/>
    </row>
    <row r="227" spans="2:46" ht="47.25" customHeight="1" x14ac:dyDescent="0.25">
      <c r="B227" s="15">
        <v>221</v>
      </c>
      <c r="C227" s="442"/>
      <c r="D227" s="442" t="str">
        <f t="shared" si="38"/>
        <v>2014</v>
      </c>
      <c r="E227" s="348" t="s">
        <v>304</v>
      </c>
      <c r="F227" s="164" t="s">
        <v>1006</v>
      </c>
      <c r="G227" s="165">
        <v>830040274</v>
      </c>
      <c r="H227" s="164" t="s">
        <v>371</v>
      </c>
      <c r="I227" s="166">
        <v>2228070</v>
      </c>
      <c r="J227" s="134" t="s">
        <v>1088</v>
      </c>
      <c r="K227" s="167">
        <v>2014</v>
      </c>
      <c r="L227" s="551"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8" t="s">
        <v>1234</v>
      </c>
      <c r="Y227" s="42">
        <f t="shared" si="41"/>
        <v>1</v>
      </c>
      <c r="Z227" s="42">
        <f t="shared" ca="1" si="42"/>
        <v>1</v>
      </c>
      <c r="AA227" s="45">
        <f t="shared" ca="1" si="43"/>
        <v>0</v>
      </c>
      <c r="AB227" s="202" t="str">
        <f t="shared" ca="1" si="44"/>
        <v/>
      </c>
      <c r="AC227" s="44" t="str">
        <f t="shared" si="48"/>
        <v>SI</v>
      </c>
      <c r="AD227" s="44"/>
      <c r="AE227" s="173" t="s">
        <v>1257</v>
      </c>
      <c r="AF227" s="304" t="s">
        <v>1146</v>
      </c>
      <c r="AG227" s="173"/>
      <c r="AH227" s="284" t="s">
        <v>563</v>
      </c>
      <c r="AI227" s="174" t="s">
        <v>1388</v>
      </c>
      <c r="AJ227" s="174" t="s">
        <v>954</v>
      </c>
      <c r="AK227" s="181" t="str">
        <f t="shared" ca="1" si="46"/>
        <v>TERMINO</v>
      </c>
      <c r="AL227" s="181" t="s">
        <v>576</v>
      </c>
      <c r="AM227" s="176" t="s">
        <v>390</v>
      </c>
      <c r="AN227" s="875" t="str">
        <f>IFERROR(VLOOKUP(E227,'liquidaciones '!$B$2:$C$1048576,2,0),"NO")</f>
        <v>LIQUIDADO</v>
      </c>
      <c r="AO227" s="983">
        <f>IFERROR(VLOOKUP(E227,'liquidaciones '!$B$2:$I$1048576,8,0),"")</f>
        <v>0</v>
      </c>
      <c r="AP227" s="342">
        <v>42265</v>
      </c>
      <c r="AQ227" s="177" t="str">
        <f t="shared" ca="1" si="49"/>
        <v>NO</v>
      </c>
      <c r="AR227" s="177" t="s">
        <v>981</v>
      </c>
      <c r="AS227" s="438"/>
      <c r="AT227" s="1015"/>
    </row>
    <row r="228" spans="2:46" ht="47.25" customHeight="1" x14ac:dyDescent="0.25">
      <c r="B228" s="15">
        <v>222</v>
      </c>
      <c r="C228" s="442"/>
      <c r="D228" s="442" t="str">
        <f t="shared" si="38"/>
        <v>2014</v>
      </c>
      <c r="E228" s="348" t="s">
        <v>308</v>
      </c>
      <c r="F228" s="164" t="s">
        <v>1050</v>
      </c>
      <c r="G228" s="165">
        <v>800047094</v>
      </c>
      <c r="H228" s="164" t="s">
        <v>373</v>
      </c>
      <c r="I228" s="166">
        <v>2260000</v>
      </c>
      <c r="J228" s="134" t="s">
        <v>1088</v>
      </c>
      <c r="K228" s="167">
        <v>2014</v>
      </c>
      <c r="L228" s="551"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8"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4"/>
      <c r="AI228" s="174" t="s">
        <v>1388</v>
      </c>
      <c r="AJ228" s="174" t="s">
        <v>901</v>
      </c>
      <c r="AK228" s="181" t="str">
        <f t="shared" ca="1" si="46"/>
        <v>TERMINO</v>
      </c>
      <c r="AL228" s="181" t="s">
        <v>576</v>
      </c>
      <c r="AM228" s="176" t="s">
        <v>390</v>
      </c>
      <c r="AN228" s="875" t="str">
        <f>IFERROR(VLOOKUP(E228,'liquidaciones '!$B$2:$C$1048576,2,0),"NO")</f>
        <v>LIQUIDADO</v>
      </c>
      <c r="AO228" s="983">
        <f>IFERROR(VLOOKUP(E228,'liquidaciones '!$B$2:$I$1048576,8,0),"")</f>
        <v>0</v>
      </c>
      <c r="AP228" s="342">
        <v>42150</v>
      </c>
      <c r="AQ228" s="177" t="str">
        <f t="shared" ca="1" si="49"/>
        <v>NO</v>
      </c>
      <c r="AR228" s="177" t="s">
        <v>1152</v>
      </c>
      <c r="AS228" s="438"/>
      <c r="AT228" s="1015"/>
    </row>
    <row r="229" spans="2:46" ht="47.25" customHeight="1" x14ac:dyDescent="0.25">
      <c r="B229" s="15">
        <v>223</v>
      </c>
      <c r="C229" s="442"/>
      <c r="D229" s="442" t="str">
        <f t="shared" si="38"/>
        <v>2014</v>
      </c>
      <c r="E229" s="348" t="s">
        <v>307</v>
      </c>
      <c r="F229" s="164" t="s">
        <v>144</v>
      </c>
      <c r="G229" s="165">
        <v>900450570</v>
      </c>
      <c r="H229" s="164" t="s">
        <v>372</v>
      </c>
      <c r="I229" s="166">
        <v>202978686</v>
      </c>
      <c r="J229" s="134" t="s">
        <v>1088</v>
      </c>
      <c r="K229" s="167">
        <v>2014</v>
      </c>
      <c r="L229" s="551"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8" t="s">
        <v>1199</v>
      </c>
      <c r="Y229" s="42">
        <f t="shared" si="41"/>
        <v>1</v>
      </c>
      <c r="Z229" s="42">
        <f t="shared" ca="1" si="42"/>
        <v>1</v>
      </c>
      <c r="AA229" s="45">
        <f t="shared" ca="1" si="43"/>
        <v>0</v>
      </c>
      <c r="AB229" s="202" t="str">
        <f t="shared" ca="1" si="44"/>
        <v/>
      </c>
      <c r="AC229" s="44" t="str">
        <f t="shared" si="48"/>
        <v>SI</v>
      </c>
      <c r="AD229" s="44"/>
      <c r="AE229" s="173" t="s">
        <v>1257</v>
      </c>
      <c r="AF229" s="304" t="s">
        <v>1147</v>
      </c>
      <c r="AG229" s="173" t="s">
        <v>1443</v>
      </c>
      <c r="AH229" s="284" t="s">
        <v>560</v>
      </c>
      <c r="AI229" s="174" t="s">
        <v>1320</v>
      </c>
      <c r="AJ229" s="174" t="s">
        <v>954</v>
      </c>
      <c r="AK229" s="181" t="str">
        <f t="shared" ca="1" si="46"/>
        <v>TERMINO</v>
      </c>
      <c r="AL229" s="181" t="s">
        <v>574</v>
      </c>
      <c r="AM229" s="176" t="s">
        <v>390</v>
      </c>
      <c r="AN229" s="875" t="str">
        <f>IFERROR(VLOOKUP(E229,'liquidaciones '!$B$2:$C$1048576,2,0),"NO")</f>
        <v>LIQUIDADO</v>
      </c>
      <c r="AO229" s="983">
        <f>IFERROR(VLOOKUP(E229,'liquidaciones '!$B$2:$I$1048576,8,0),"")</f>
        <v>0</v>
      </c>
      <c r="AP229" s="342">
        <v>42278</v>
      </c>
      <c r="AQ229" s="177" t="str">
        <f t="shared" ca="1" si="49"/>
        <v>NO</v>
      </c>
      <c r="AR229" s="177" t="s">
        <v>982</v>
      </c>
      <c r="AS229" s="438"/>
      <c r="AT229" s="1015"/>
    </row>
    <row r="230" spans="2:46" ht="47.25" customHeight="1" x14ac:dyDescent="0.25">
      <c r="B230" s="15">
        <v>224</v>
      </c>
      <c r="C230" s="442"/>
      <c r="D230" s="442" t="str">
        <f t="shared" si="38"/>
        <v>2014</v>
      </c>
      <c r="E230" s="349" t="s">
        <v>1163</v>
      </c>
      <c r="F230" s="212" t="s">
        <v>1164</v>
      </c>
      <c r="G230" s="204">
        <v>800188299</v>
      </c>
      <c r="H230" s="212" t="s">
        <v>2137</v>
      </c>
      <c r="I230" s="166">
        <v>16592327</v>
      </c>
      <c r="J230" s="134" t="s">
        <v>1088</v>
      </c>
      <c r="K230" s="167">
        <v>2014</v>
      </c>
      <c r="L230" s="551"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8"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4" t="s">
        <v>1175</v>
      </c>
      <c r="AG230" s="173" t="s">
        <v>1440</v>
      </c>
      <c r="AH230" s="284" t="s">
        <v>560</v>
      </c>
      <c r="AI230" s="174" t="s">
        <v>1510</v>
      </c>
      <c r="AJ230" s="174" t="s">
        <v>954</v>
      </c>
      <c r="AK230" s="181" t="str">
        <f t="shared" ca="1" si="46"/>
        <v>TERMINO</v>
      </c>
      <c r="AL230" s="181" t="s">
        <v>576</v>
      </c>
      <c r="AM230" s="176" t="s">
        <v>390</v>
      </c>
      <c r="AN230" s="875" t="str">
        <f>IFERROR(VLOOKUP(E230,'liquidaciones '!$B$2:$C$1048576,2,0),"NO")</f>
        <v>LIQUIDADO</v>
      </c>
      <c r="AO230" s="983">
        <f>IFERROR(VLOOKUP(E230,'liquidaciones '!$B$2:$I$1048576,8,0),"")</f>
        <v>0</v>
      </c>
      <c r="AP230" s="342"/>
      <c r="AQ230" s="177" t="str">
        <f t="shared" ca="1" si="49"/>
        <v>SI</v>
      </c>
      <c r="AR230" s="177" t="s">
        <v>1995</v>
      </c>
      <c r="AS230" s="438"/>
      <c r="AT230" s="1015"/>
    </row>
    <row r="231" spans="2:46" ht="47.25" customHeight="1" x14ac:dyDescent="0.25">
      <c r="B231" s="15">
        <v>225</v>
      </c>
      <c r="C231" s="442"/>
      <c r="D231" s="442" t="str">
        <f t="shared" si="38"/>
        <v>2014</v>
      </c>
      <c r="E231" s="349" t="s">
        <v>1156</v>
      </c>
      <c r="F231" s="212" t="s">
        <v>33</v>
      </c>
      <c r="G231" s="133">
        <v>860509265</v>
      </c>
      <c r="H231" s="212" t="s">
        <v>1157</v>
      </c>
      <c r="I231" s="166">
        <v>807000</v>
      </c>
      <c r="J231" s="134" t="s">
        <v>1088</v>
      </c>
      <c r="K231" s="167">
        <v>2014</v>
      </c>
      <c r="L231" s="551"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8" t="s">
        <v>1201</v>
      </c>
      <c r="Y231" s="42">
        <f t="shared" si="41"/>
        <v>1</v>
      </c>
      <c r="Z231" s="42">
        <f t="shared" ca="1" si="42"/>
        <v>1</v>
      </c>
      <c r="AA231" s="45">
        <f t="shared" ca="1" si="43"/>
        <v>0</v>
      </c>
      <c r="AB231" s="202" t="str">
        <f t="shared" ca="1" si="44"/>
        <v/>
      </c>
      <c r="AC231" s="44" t="str">
        <f t="shared" si="48"/>
        <v>SI</v>
      </c>
      <c r="AD231" s="44"/>
      <c r="AE231" s="173" t="s">
        <v>1257</v>
      </c>
      <c r="AF231" s="304" t="s">
        <v>1470</v>
      </c>
      <c r="AG231" s="173" t="s">
        <v>1431</v>
      </c>
      <c r="AH231" s="284" t="s">
        <v>564</v>
      </c>
      <c r="AI231" s="174" t="s">
        <v>2172</v>
      </c>
      <c r="AJ231" s="174" t="s">
        <v>954</v>
      </c>
      <c r="AK231" s="181" t="str">
        <f t="shared" ca="1" si="46"/>
        <v>TERMINO</v>
      </c>
      <c r="AL231" s="181" t="s">
        <v>582</v>
      </c>
      <c r="AM231" s="176" t="s">
        <v>390</v>
      </c>
      <c r="AN231" s="875" t="str">
        <f>IFERROR(VLOOKUP(E231,'liquidaciones '!$B$2:$C$1048576,2,0),"NO")</f>
        <v>LIQUIDADO</v>
      </c>
      <c r="AO231" s="983">
        <f>IFERROR(VLOOKUP(E231,'liquidaciones '!$B$2:$I$1048576,8,0),"")</f>
        <v>0</v>
      </c>
      <c r="AP231" s="342"/>
      <c r="AQ231" s="177" t="str">
        <f t="shared" ca="1" si="49"/>
        <v>SI</v>
      </c>
      <c r="AR231" s="177" t="s">
        <v>1610</v>
      </c>
      <c r="AS231" s="438"/>
      <c r="AT231" s="1015"/>
    </row>
    <row r="232" spans="2:46" ht="47.25" customHeight="1" x14ac:dyDescent="0.25">
      <c r="B232" s="15">
        <v>226</v>
      </c>
      <c r="C232" s="442"/>
      <c r="D232" s="442" t="str">
        <f t="shared" si="38"/>
        <v>2014</v>
      </c>
      <c r="E232" s="349" t="s">
        <v>548</v>
      </c>
      <c r="F232" s="132" t="s">
        <v>13</v>
      </c>
      <c r="G232" s="133">
        <v>860007590</v>
      </c>
      <c r="H232" s="212" t="s">
        <v>550</v>
      </c>
      <c r="I232" s="166">
        <v>936000</v>
      </c>
      <c r="J232" s="134" t="s">
        <v>1088</v>
      </c>
      <c r="K232" s="167">
        <v>2014</v>
      </c>
      <c r="L232" s="551"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8" t="s">
        <v>1202</v>
      </c>
      <c r="Y232" s="42">
        <f t="shared" si="41"/>
        <v>1</v>
      </c>
      <c r="Z232" s="42">
        <f t="shared" ca="1" si="42"/>
        <v>1</v>
      </c>
      <c r="AA232" s="45">
        <f t="shared" ca="1" si="43"/>
        <v>0</v>
      </c>
      <c r="AB232" s="202" t="str">
        <f t="shared" ca="1" si="44"/>
        <v/>
      </c>
      <c r="AC232" s="44" t="str">
        <f t="shared" si="48"/>
        <v>SI</v>
      </c>
      <c r="AD232" s="44"/>
      <c r="AE232" s="173" t="s">
        <v>1257</v>
      </c>
      <c r="AF232" s="304" t="s">
        <v>1126</v>
      </c>
      <c r="AG232" s="173" t="s">
        <v>1431</v>
      </c>
      <c r="AH232" s="284" t="s">
        <v>564</v>
      </c>
      <c r="AI232" s="174" t="s">
        <v>2172</v>
      </c>
      <c r="AJ232" s="174" t="s">
        <v>954</v>
      </c>
      <c r="AK232" s="181" t="str">
        <f t="shared" ca="1" si="46"/>
        <v>TERMINO</v>
      </c>
      <c r="AL232" s="181" t="s">
        <v>582</v>
      </c>
      <c r="AM232" s="176" t="s">
        <v>390</v>
      </c>
      <c r="AN232" s="875" t="str">
        <f>IFERROR(VLOOKUP(E232,'liquidaciones '!$B$2:$C$1048576,2,0),"NO")</f>
        <v>LIQUIDADO</v>
      </c>
      <c r="AO232" s="983">
        <f>IFERROR(VLOOKUP(E232,'liquidaciones '!$B$2:$I$1048576,8,0),"")</f>
        <v>0</v>
      </c>
      <c r="AP232" s="342">
        <v>42377</v>
      </c>
      <c r="AQ232" s="177" t="str">
        <f t="shared" ca="1" si="49"/>
        <v>SI</v>
      </c>
      <c r="AR232" s="177" t="s">
        <v>1511</v>
      </c>
      <c r="AS232" s="438"/>
      <c r="AT232" s="1015"/>
    </row>
    <row r="233" spans="2:46" ht="47.25" customHeight="1" x14ac:dyDescent="0.25">
      <c r="B233" s="15">
        <v>227</v>
      </c>
      <c r="C233" s="442"/>
      <c r="D233" s="442" t="str">
        <f t="shared" si="38"/>
        <v>2014</v>
      </c>
      <c r="E233" s="348" t="s">
        <v>551</v>
      </c>
      <c r="F233" s="132" t="s">
        <v>29</v>
      </c>
      <c r="G233" s="133">
        <v>860536029</v>
      </c>
      <c r="H233" s="164" t="s">
        <v>1001</v>
      </c>
      <c r="I233" s="166">
        <v>855000</v>
      </c>
      <c r="J233" s="774" t="s">
        <v>551</v>
      </c>
      <c r="K233" s="167">
        <v>2014</v>
      </c>
      <c r="L233" s="551"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8" t="s">
        <v>1203</v>
      </c>
      <c r="Y233" s="42">
        <f t="shared" si="41"/>
        <v>1</v>
      </c>
      <c r="Z233" s="42">
        <f t="shared" ca="1" si="42"/>
        <v>1</v>
      </c>
      <c r="AA233" s="45">
        <f t="shared" ca="1" si="43"/>
        <v>0</v>
      </c>
      <c r="AB233" s="202" t="str">
        <f t="shared" ca="1" si="44"/>
        <v/>
      </c>
      <c r="AC233" s="44" t="str">
        <f t="shared" si="48"/>
        <v>SI</v>
      </c>
      <c r="AD233" s="44"/>
      <c r="AE233" s="173" t="s">
        <v>1257</v>
      </c>
      <c r="AF233" s="304" t="s">
        <v>1126</v>
      </c>
      <c r="AG233" s="173" t="s">
        <v>1431</v>
      </c>
      <c r="AH233" s="284" t="s">
        <v>564</v>
      </c>
      <c r="AI233" s="174" t="s">
        <v>2172</v>
      </c>
      <c r="AJ233" s="174" t="s">
        <v>954</v>
      </c>
      <c r="AK233" s="181" t="str">
        <f t="shared" ca="1" si="46"/>
        <v>TERMINO</v>
      </c>
      <c r="AL233" s="181" t="s">
        <v>582</v>
      </c>
      <c r="AM233" s="176" t="s">
        <v>390</v>
      </c>
      <c r="AN233" s="875" t="str">
        <f>IFERROR(VLOOKUP(E233,'liquidaciones '!$B$2:$C$1048576,2,0),"NO")</f>
        <v>LIQUIDADO</v>
      </c>
      <c r="AO233" s="983">
        <f>IFERROR(VLOOKUP(E233,'liquidaciones '!$B$2:$I$1048576,8,0),"")</f>
        <v>0</v>
      </c>
      <c r="AP233" s="342">
        <v>42318</v>
      </c>
      <c r="AQ233" s="177" t="str">
        <f t="shared" ca="1" si="49"/>
        <v>SI</v>
      </c>
      <c r="AR233" s="177" t="s">
        <v>1511</v>
      </c>
      <c r="AS233" s="438"/>
      <c r="AT233" s="1015"/>
    </row>
    <row r="234" spans="2:46" ht="47.25" customHeight="1" x14ac:dyDescent="0.25">
      <c r="B234" s="15">
        <v>228</v>
      </c>
      <c r="C234" s="442"/>
      <c r="D234" s="442" t="str">
        <f t="shared" si="38"/>
        <v>2014</v>
      </c>
      <c r="E234" s="348" t="s">
        <v>553</v>
      </c>
      <c r="F234" s="164" t="s">
        <v>554</v>
      </c>
      <c r="G234" s="165">
        <v>830144875</v>
      </c>
      <c r="H234" s="164" t="s">
        <v>1002</v>
      </c>
      <c r="I234" s="166">
        <v>19356282</v>
      </c>
      <c r="J234" s="134" t="s">
        <v>1088</v>
      </c>
      <c r="K234" s="167">
        <v>2014</v>
      </c>
      <c r="L234" s="551"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8"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4" t="s">
        <v>560</v>
      </c>
      <c r="AI234" s="174" t="s">
        <v>1389</v>
      </c>
      <c r="AJ234" s="174" t="s">
        <v>954</v>
      </c>
      <c r="AK234" s="181" t="str">
        <f t="shared" ca="1" si="46"/>
        <v>TERMINO</v>
      </c>
      <c r="AL234" s="181" t="s">
        <v>582</v>
      </c>
      <c r="AM234" s="176" t="s">
        <v>390</v>
      </c>
      <c r="AN234" s="875" t="str">
        <f>IFERROR(VLOOKUP(E234,'liquidaciones '!$B$2:$C$1048576,2,0),"NO")</f>
        <v>LIQUIDADO</v>
      </c>
      <c r="AO234" s="983">
        <f>IFERROR(VLOOKUP(E234,'liquidaciones '!$B$2:$I$1048576,8,0),"")</f>
        <v>0</v>
      </c>
      <c r="AP234" s="342"/>
      <c r="AQ234" s="177" t="str">
        <f t="shared" ca="1" si="49"/>
        <v>NO</v>
      </c>
      <c r="AR234" s="177" t="s">
        <v>2395</v>
      </c>
      <c r="AS234" s="438"/>
      <c r="AT234" s="1015"/>
    </row>
    <row r="235" spans="2:46" ht="47.25" customHeight="1" x14ac:dyDescent="0.25">
      <c r="B235" s="15">
        <v>229</v>
      </c>
      <c r="C235" s="442"/>
      <c r="D235" s="442" t="str">
        <f t="shared" si="38"/>
        <v>2014</v>
      </c>
      <c r="E235" s="348" t="s">
        <v>1330</v>
      </c>
      <c r="F235" s="164" t="s">
        <v>1020</v>
      </c>
      <c r="G235" s="133">
        <v>900169179</v>
      </c>
      <c r="H235" s="164" t="s">
        <v>1331</v>
      </c>
      <c r="I235" s="166">
        <v>810000</v>
      </c>
      <c r="J235" s="879" t="s">
        <v>2633</v>
      </c>
      <c r="K235" s="167">
        <v>2014</v>
      </c>
      <c r="L235" s="551"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8"/>
      <c r="Y235" s="42">
        <f t="shared" si="41"/>
        <v>1</v>
      </c>
      <c r="Z235" s="42">
        <f t="shared" ca="1" si="42"/>
        <v>1</v>
      </c>
      <c r="AA235" s="45">
        <f t="shared" ca="1" si="43"/>
        <v>0</v>
      </c>
      <c r="AB235" s="202" t="str">
        <f t="shared" ca="1" si="44"/>
        <v/>
      </c>
      <c r="AC235" s="44" t="str">
        <f t="shared" si="48"/>
        <v>SI</v>
      </c>
      <c r="AD235" s="44"/>
      <c r="AE235" s="173" t="s">
        <v>1257</v>
      </c>
      <c r="AF235" s="304" t="s">
        <v>1126</v>
      </c>
      <c r="AG235" s="173" t="s">
        <v>1431</v>
      </c>
      <c r="AH235" s="284" t="s">
        <v>564</v>
      </c>
      <c r="AI235" s="174" t="s">
        <v>2172</v>
      </c>
      <c r="AJ235" s="174" t="s">
        <v>954</v>
      </c>
      <c r="AK235" s="181" t="str">
        <f t="shared" ca="1" si="46"/>
        <v>TERMINO</v>
      </c>
      <c r="AL235" s="181" t="s">
        <v>582</v>
      </c>
      <c r="AM235" s="176" t="s">
        <v>390</v>
      </c>
      <c r="AN235" s="875" t="str">
        <f>IFERROR(VLOOKUP(E235,'liquidaciones '!$B$2:$C$1048576,2,0),"NO")</f>
        <v>NO</v>
      </c>
      <c r="AO235" s="983" t="str">
        <f>IFERROR(VLOOKUP(E235,'liquidaciones '!$B$2:$I$1048576,8,0),"")</f>
        <v/>
      </c>
      <c r="AP235" s="342">
        <v>42341</v>
      </c>
      <c r="AQ235" s="177" t="str">
        <f t="shared" ca="1" si="49"/>
        <v>SI</v>
      </c>
      <c r="AR235" s="177" t="s">
        <v>1610</v>
      </c>
      <c r="AS235" s="438"/>
      <c r="AT235" s="1015"/>
    </row>
    <row r="236" spans="2:46" ht="47.25" customHeight="1" x14ac:dyDescent="0.25">
      <c r="B236" s="15">
        <v>230</v>
      </c>
      <c r="C236" s="442"/>
      <c r="D236" s="442" t="str">
        <f t="shared" si="38"/>
        <v>2014</v>
      </c>
      <c r="E236" s="348" t="s">
        <v>1337</v>
      </c>
      <c r="F236" s="164" t="s">
        <v>203</v>
      </c>
      <c r="G236" s="133">
        <v>860049921</v>
      </c>
      <c r="H236" s="164" t="s">
        <v>1338</v>
      </c>
      <c r="I236" s="166">
        <v>4621440</v>
      </c>
      <c r="J236" s="134" t="s">
        <v>1088</v>
      </c>
      <c r="K236" s="167">
        <v>2014</v>
      </c>
      <c r="L236" s="551"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8"/>
      <c r="Y236" s="42">
        <f t="shared" si="41"/>
        <v>1</v>
      </c>
      <c r="Z236" s="42">
        <f t="shared" ca="1" si="42"/>
        <v>1</v>
      </c>
      <c r="AA236" s="45">
        <f t="shared" ca="1" si="43"/>
        <v>0</v>
      </c>
      <c r="AB236" s="202" t="str">
        <f t="shared" ca="1" si="44"/>
        <v/>
      </c>
      <c r="AC236" s="44" t="str">
        <f t="shared" si="48"/>
        <v>SI</v>
      </c>
      <c r="AD236" s="44"/>
      <c r="AE236" s="173" t="s">
        <v>1257</v>
      </c>
      <c r="AF236" s="304" t="s">
        <v>1351</v>
      </c>
      <c r="AG236" s="173" t="s">
        <v>1432</v>
      </c>
      <c r="AH236" s="284" t="s">
        <v>563</v>
      </c>
      <c r="AI236" s="174"/>
      <c r="AJ236" s="174" t="s">
        <v>954</v>
      </c>
      <c r="AK236" s="181" t="str">
        <f t="shared" ca="1" si="46"/>
        <v>TERMINO</v>
      </c>
      <c r="AL236" s="181" t="s">
        <v>582</v>
      </c>
      <c r="AM236" s="176" t="s">
        <v>390</v>
      </c>
      <c r="AN236" s="875" t="str">
        <f>IFERROR(VLOOKUP(E236,'liquidaciones '!$B$2:$C$1048576,2,0),"NO")</f>
        <v>LIQUIDADO</v>
      </c>
      <c r="AO236" s="983">
        <f>IFERROR(VLOOKUP(E236,'liquidaciones '!$B$2:$I$1048576,8,0),"")</f>
        <v>0</v>
      </c>
      <c r="AP236" s="342"/>
      <c r="AQ236" s="177" t="str">
        <f t="shared" ca="1" si="49"/>
        <v>NO</v>
      </c>
      <c r="AR236" s="177" t="s">
        <v>1573</v>
      </c>
      <c r="AS236" s="438"/>
      <c r="AT236" s="1015"/>
    </row>
    <row r="237" spans="2:46" ht="47.25" customHeight="1" x14ac:dyDescent="0.25">
      <c r="B237" s="15">
        <v>231</v>
      </c>
      <c r="C237" s="442"/>
      <c r="D237" s="442" t="str">
        <f t="shared" si="38"/>
        <v>2014</v>
      </c>
      <c r="E237" s="348" t="s">
        <v>1161</v>
      </c>
      <c r="F237" s="164" t="s">
        <v>1162</v>
      </c>
      <c r="G237" s="165">
        <v>800180176</v>
      </c>
      <c r="H237" s="164" t="s">
        <v>1772</v>
      </c>
      <c r="I237" s="166">
        <v>41850000</v>
      </c>
      <c r="J237" s="134" t="s">
        <v>1088</v>
      </c>
      <c r="K237" s="167">
        <v>2014</v>
      </c>
      <c r="L237" s="551"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8"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4" t="s">
        <v>1176</v>
      </c>
      <c r="AG237" s="173" t="s">
        <v>1436</v>
      </c>
      <c r="AH237" s="284" t="s">
        <v>560</v>
      </c>
      <c r="AI237" s="174" t="s">
        <v>1390</v>
      </c>
      <c r="AJ237" s="174" t="s">
        <v>954</v>
      </c>
      <c r="AK237" s="181" t="str">
        <f t="shared" ca="1" si="46"/>
        <v>TERMINO</v>
      </c>
      <c r="AL237" s="173" t="s">
        <v>577</v>
      </c>
      <c r="AM237" s="176" t="s">
        <v>390</v>
      </c>
      <c r="AN237" s="875" t="str">
        <f>IFERROR(VLOOKUP(E237,'liquidaciones '!$B$2:$C$1048576,2,0),"NO")</f>
        <v>LIQUIDADO</v>
      </c>
      <c r="AO237" s="983">
        <f>IFERROR(VLOOKUP(E237,'liquidaciones '!$B$2:$I$1048576,8,0),"")</f>
        <v>0</v>
      </c>
      <c r="AP237" s="342"/>
      <c r="AQ237" s="177" t="str">
        <f t="shared" ca="1" si="49"/>
        <v>NO</v>
      </c>
      <c r="AR237" s="177" t="s">
        <v>2395</v>
      </c>
      <c r="AS237" s="438"/>
      <c r="AT237" s="1015"/>
    </row>
    <row r="238" spans="2:46" ht="47.25" customHeight="1" x14ac:dyDescent="0.25">
      <c r="B238" s="15">
        <v>232</v>
      </c>
      <c r="C238" s="442"/>
      <c r="D238" s="442" t="str">
        <f t="shared" si="38"/>
        <v>2014</v>
      </c>
      <c r="E238" s="348" t="s">
        <v>555</v>
      </c>
      <c r="F238" s="164" t="s">
        <v>1067</v>
      </c>
      <c r="G238" s="165">
        <v>52857895</v>
      </c>
      <c r="H238" s="164" t="s">
        <v>1003</v>
      </c>
      <c r="I238" s="166">
        <v>25000000</v>
      </c>
      <c r="J238" s="134" t="s">
        <v>1088</v>
      </c>
      <c r="K238" s="167">
        <v>2014</v>
      </c>
      <c r="L238" s="551"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8" t="s">
        <v>1276</v>
      </c>
      <c r="Y238" s="42">
        <f t="shared" si="41"/>
        <v>1</v>
      </c>
      <c r="Z238" s="42">
        <f t="shared" ca="1" si="42"/>
        <v>1</v>
      </c>
      <c r="AA238" s="45">
        <f t="shared" ca="1" si="43"/>
        <v>0</v>
      </c>
      <c r="AB238" s="202" t="str">
        <f t="shared" ca="1" si="44"/>
        <v/>
      </c>
      <c r="AC238" s="44" t="str">
        <f t="shared" si="48"/>
        <v>SI</v>
      </c>
      <c r="AD238" s="44"/>
      <c r="AE238" s="173" t="s">
        <v>1257</v>
      </c>
      <c r="AF238" s="304" t="s">
        <v>1132</v>
      </c>
      <c r="AG238" s="173" t="s">
        <v>1178</v>
      </c>
      <c r="AH238" s="284" t="s">
        <v>559</v>
      </c>
      <c r="AI238" s="174"/>
      <c r="AJ238" s="174" t="s">
        <v>954</v>
      </c>
      <c r="AK238" s="181" t="str">
        <f t="shared" ca="1" si="46"/>
        <v>TERMINO</v>
      </c>
      <c r="AL238" s="181" t="s">
        <v>582</v>
      </c>
      <c r="AM238" s="176" t="s">
        <v>391</v>
      </c>
      <c r="AN238" s="875" t="str">
        <f>IFERROR(VLOOKUP(E238,'liquidaciones '!$B$2:$C$1048576,2,0),"NO")</f>
        <v>LIQUIDADO</v>
      </c>
      <c r="AO238" s="983">
        <f>IFERROR(VLOOKUP(E238,'liquidaciones '!$B$2:$I$1048576,8,0),"")</f>
        <v>0</v>
      </c>
      <c r="AP238" s="342">
        <v>42145</v>
      </c>
      <c r="AQ238" s="177" t="str">
        <f t="shared" ca="1" si="49"/>
        <v>NO</v>
      </c>
      <c r="AR238" s="177" t="s">
        <v>981</v>
      </c>
      <c r="AS238" s="438"/>
      <c r="AT238" s="1015"/>
    </row>
    <row r="239" spans="2:46" ht="47.25" customHeight="1" x14ac:dyDescent="0.25">
      <c r="B239" s="15">
        <v>233</v>
      </c>
      <c r="C239" s="442"/>
      <c r="D239" s="442" t="str">
        <f t="shared" si="38"/>
        <v>2014</v>
      </c>
      <c r="E239" s="348" t="s">
        <v>556</v>
      </c>
      <c r="F239" s="164" t="s">
        <v>1004</v>
      </c>
      <c r="G239" s="165">
        <v>1026250449</v>
      </c>
      <c r="H239" s="164" t="s">
        <v>557</v>
      </c>
      <c r="I239" s="166">
        <v>25000000</v>
      </c>
      <c r="J239" s="134" t="s">
        <v>1088</v>
      </c>
      <c r="K239" s="167">
        <v>2014</v>
      </c>
      <c r="L239" s="551"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8" t="s">
        <v>1275</v>
      </c>
      <c r="Y239" s="42">
        <f t="shared" si="41"/>
        <v>1</v>
      </c>
      <c r="Z239" s="42">
        <f t="shared" ca="1" si="42"/>
        <v>1</v>
      </c>
      <c r="AA239" s="43">
        <f t="shared" ca="1" si="43"/>
        <v>0</v>
      </c>
      <c r="AB239" s="202" t="str">
        <f t="shared" ca="1" si="44"/>
        <v/>
      </c>
      <c r="AC239" s="44" t="str">
        <f t="shared" si="48"/>
        <v>SI</v>
      </c>
      <c r="AD239" s="44"/>
      <c r="AE239" s="173" t="s">
        <v>1257</v>
      </c>
      <c r="AF239" s="304" t="s">
        <v>1132</v>
      </c>
      <c r="AG239" s="173" t="s">
        <v>1178</v>
      </c>
      <c r="AH239" s="284" t="s">
        <v>559</v>
      </c>
      <c r="AI239" s="174"/>
      <c r="AJ239" s="174" t="s">
        <v>954</v>
      </c>
      <c r="AK239" s="181" t="str">
        <f t="shared" ca="1" si="46"/>
        <v>TERMINO</v>
      </c>
      <c r="AL239" s="181" t="s">
        <v>582</v>
      </c>
      <c r="AM239" s="176" t="s">
        <v>391</v>
      </c>
      <c r="AN239" s="875" t="str">
        <f>IFERROR(VLOOKUP(E239,'liquidaciones '!$B$2:$C$1048576,2,0),"NO")</f>
        <v>LIQUIDADO</v>
      </c>
      <c r="AO239" s="983">
        <f>IFERROR(VLOOKUP(E239,'liquidaciones '!$B$2:$I$1048576,8,0),"")</f>
        <v>0</v>
      </c>
      <c r="AP239" s="342">
        <v>42254</v>
      </c>
      <c r="AQ239" s="177" t="str">
        <f t="shared" ca="1" si="49"/>
        <v>NO</v>
      </c>
      <c r="AR239" s="177" t="s">
        <v>981</v>
      </c>
      <c r="AS239" s="438"/>
      <c r="AT239" s="1015"/>
    </row>
    <row r="240" spans="2:46" ht="47.25" customHeight="1" x14ac:dyDescent="0.25">
      <c r="B240" s="15">
        <v>234</v>
      </c>
      <c r="C240" s="442"/>
      <c r="D240" s="442" t="str">
        <f t="shared" si="38"/>
        <v>2014</v>
      </c>
      <c r="E240" s="348" t="s">
        <v>1158</v>
      </c>
      <c r="F240" s="132" t="s">
        <v>186</v>
      </c>
      <c r="G240" s="133">
        <v>800039398</v>
      </c>
      <c r="H240" s="164" t="s">
        <v>1317</v>
      </c>
      <c r="I240" s="166">
        <v>311460000</v>
      </c>
      <c r="J240" s="879" t="s">
        <v>2627</v>
      </c>
      <c r="K240" s="167">
        <v>2014</v>
      </c>
      <c r="L240" s="551"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8">
        <v>0</v>
      </c>
      <c r="Y240" s="42">
        <f t="shared" si="41"/>
        <v>0.3</v>
      </c>
      <c r="Z240" s="42">
        <f t="shared" ca="1" si="42"/>
        <v>1</v>
      </c>
      <c r="AA240" s="43">
        <f t="shared" ca="1" si="43"/>
        <v>0.7</v>
      </c>
      <c r="AB240" s="202" t="str">
        <f t="shared" ca="1" si="44"/>
        <v/>
      </c>
      <c r="AC240" s="44" t="str">
        <f t="shared" si="48"/>
        <v>NO</v>
      </c>
      <c r="AD240" s="44"/>
      <c r="AE240" s="173" t="s">
        <v>1258</v>
      </c>
      <c r="AF240" s="304" t="s">
        <v>1318</v>
      </c>
      <c r="AG240" s="173" t="s">
        <v>1440</v>
      </c>
      <c r="AH240" s="284" t="s">
        <v>560</v>
      </c>
      <c r="AI240" s="174" t="s">
        <v>1510</v>
      </c>
      <c r="AJ240" s="174" t="s">
        <v>954</v>
      </c>
      <c r="AK240" s="181" t="str">
        <f t="shared" ca="1" si="46"/>
        <v>TERMINO</v>
      </c>
      <c r="AL240" s="173" t="s">
        <v>575</v>
      </c>
      <c r="AM240" s="176" t="s">
        <v>390</v>
      </c>
      <c r="AN240" s="875" t="str">
        <f>IFERROR(VLOOKUP(E240,'liquidaciones '!$B$2:$C$1048576,2,0),"NO")</f>
        <v>LIQUIDADO</v>
      </c>
      <c r="AO240" s="983">
        <f>IFERROR(VLOOKUP(E240,'liquidaciones '!$B$2:$I$1048576,8,0),"")</f>
        <v>0</v>
      </c>
      <c r="AP240" s="342">
        <v>42298</v>
      </c>
      <c r="AQ240" s="177" t="str">
        <f t="shared" ca="1" si="49"/>
        <v>NO</v>
      </c>
      <c r="AR240" s="177" t="s">
        <v>981</v>
      </c>
      <c r="AS240" s="438"/>
      <c r="AT240" s="1015"/>
    </row>
    <row r="241" spans="2:46" ht="47.25" customHeight="1" x14ac:dyDescent="0.25">
      <c r="B241" s="15">
        <v>235</v>
      </c>
      <c r="C241" s="442"/>
      <c r="D241" s="442" t="str">
        <f t="shared" si="38"/>
        <v>2014</v>
      </c>
      <c r="E241" s="350" t="s">
        <v>1069</v>
      </c>
      <c r="F241" s="132" t="s">
        <v>1070</v>
      </c>
      <c r="G241" s="165">
        <v>1073156298</v>
      </c>
      <c r="H241" s="132" t="s">
        <v>1074</v>
      </c>
      <c r="I241" s="166">
        <v>17500000</v>
      </c>
      <c r="J241" s="134" t="s">
        <v>1088</v>
      </c>
      <c r="K241" s="167">
        <v>2014</v>
      </c>
      <c r="L241" s="551"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8"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4" t="s">
        <v>559</v>
      </c>
      <c r="AI241" s="174"/>
      <c r="AJ241" s="174" t="s">
        <v>954</v>
      </c>
      <c r="AK241" s="181" t="str">
        <f t="shared" ca="1" si="46"/>
        <v>TERMINO</v>
      </c>
      <c r="AL241" s="181" t="s">
        <v>582</v>
      </c>
      <c r="AM241" s="176" t="s">
        <v>391</v>
      </c>
      <c r="AN241" s="875" t="str">
        <f>IFERROR(VLOOKUP(E241,'liquidaciones '!$B$2:$C$1048576,2,0),"NO")</f>
        <v>LIQUIDADO</v>
      </c>
      <c r="AO241" s="983">
        <f>IFERROR(VLOOKUP(E241,'liquidaciones '!$B$2:$I$1048576,8,0),"")</f>
        <v>0</v>
      </c>
      <c r="AP241" s="342">
        <v>42187</v>
      </c>
      <c r="AQ241" s="177" t="str">
        <f t="shared" ca="1" si="49"/>
        <v>NO</v>
      </c>
      <c r="AR241" s="177" t="s">
        <v>981</v>
      </c>
      <c r="AS241" s="438"/>
      <c r="AT241" s="1015"/>
    </row>
    <row r="242" spans="2:46" ht="47.25" customHeight="1" x14ac:dyDescent="0.25">
      <c r="B242" s="15">
        <v>236</v>
      </c>
      <c r="C242" s="442"/>
      <c r="D242" s="442" t="str">
        <f t="shared" si="38"/>
        <v>2014</v>
      </c>
      <c r="E242" s="350" t="s">
        <v>1114</v>
      </c>
      <c r="F242" s="132" t="s">
        <v>1115</v>
      </c>
      <c r="G242" s="165">
        <v>830024826</v>
      </c>
      <c r="H242" s="132" t="s">
        <v>1116</v>
      </c>
      <c r="I242" s="166">
        <v>14153603</v>
      </c>
      <c r="J242" s="134" t="s">
        <v>1088</v>
      </c>
      <c r="K242" s="167">
        <v>2014</v>
      </c>
      <c r="L242" s="551"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8" t="s">
        <v>1207</v>
      </c>
      <c r="Y242" s="42">
        <f t="shared" si="41"/>
        <v>1</v>
      </c>
      <c r="Z242" s="42">
        <f t="shared" ca="1" si="42"/>
        <v>1</v>
      </c>
      <c r="AA242" s="43">
        <f t="shared" ca="1" si="43"/>
        <v>0</v>
      </c>
      <c r="AB242" s="202" t="str">
        <f t="shared" ca="1" si="44"/>
        <v/>
      </c>
      <c r="AC242" s="44" t="str">
        <f t="shared" si="48"/>
        <v>SI</v>
      </c>
      <c r="AD242" s="44"/>
      <c r="AE242" s="173" t="s">
        <v>1258</v>
      </c>
      <c r="AF242" s="304" t="s">
        <v>1177</v>
      </c>
      <c r="AG242" s="173" t="s">
        <v>1440</v>
      </c>
      <c r="AH242" s="284" t="s">
        <v>560</v>
      </c>
      <c r="AI242" s="174" t="s">
        <v>1510</v>
      </c>
      <c r="AJ242" s="174" t="s">
        <v>954</v>
      </c>
      <c r="AK242" s="181" t="str">
        <f t="shared" ca="1" si="46"/>
        <v>TERMINO</v>
      </c>
      <c r="AL242" s="173" t="s">
        <v>575</v>
      </c>
      <c r="AM242" s="176" t="s">
        <v>390</v>
      </c>
      <c r="AN242" s="875" t="str">
        <f>IFERROR(VLOOKUP(E242,'liquidaciones '!$B$2:$C$1048576,2,0),"NO")</f>
        <v>LIQUIDADO</v>
      </c>
      <c r="AO242" s="983">
        <f>IFERROR(VLOOKUP(E242,'liquidaciones '!$B$2:$I$1048576,8,0),"")</f>
        <v>0</v>
      </c>
      <c r="AP242" s="342">
        <v>42145</v>
      </c>
      <c r="AQ242" s="177" t="str">
        <f t="shared" ca="1" si="49"/>
        <v>NO</v>
      </c>
      <c r="AR242" s="177" t="s">
        <v>981</v>
      </c>
      <c r="AS242" s="438"/>
      <c r="AT242" s="1015"/>
    </row>
    <row r="243" spans="2:46" ht="47.25" customHeight="1" x14ac:dyDescent="0.25">
      <c r="B243" s="15">
        <v>237</v>
      </c>
      <c r="C243" s="442"/>
      <c r="D243" s="442" t="str">
        <f t="shared" si="38"/>
        <v>2014</v>
      </c>
      <c r="E243" s="347" t="s">
        <v>1071</v>
      </c>
      <c r="F243" s="132" t="s">
        <v>1072</v>
      </c>
      <c r="G243" s="165">
        <v>1026269949</v>
      </c>
      <c r="H243" s="132" t="s">
        <v>1075</v>
      </c>
      <c r="I243" s="166">
        <v>10000000</v>
      </c>
      <c r="J243" s="134" t="s">
        <v>1088</v>
      </c>
      <c r="K243" s="167">
        <v>2014</v>
      </c>
      <c r="L243" s="551"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8" t="s">
        <v>1208</v>
      </c>
      <c r="Y243" s="42">
        <f t="shared" si="41"/>
        <v>1</v>
      </c>
      <c r="Z243" s="42">
        <f t="shared" ca="1" si="42"/>
        <v>1</v>
      </c>
      <c r="AA243" s="43">
        <f t="shared" ca="1" si="43"/>
        <v>0</v>
      </c>
      <c r="AB243" s="202" t="str">
        <f t="shared" ca="1" si="44"/>
        <v/>
      </c>
      <c r="AC243" s="44" t="str">
        <f t="shared" si="48"/>
        <v>SI</v>
      </c>
      <c r="AD243" s="44"/>
      <c r="AE243" s="173" t="s">
        <v>1257</v>
      </c>
      <c r="AF243" s="304" t="s">
        <v>1132</v>
      </c>
      <c r="AG243" s="173" t="s">
        <v>1178</v>
      </c>
      <c r="AH243" s="284" t="s">
        <v>559</v>
      </c>
      <c r="AI243" s="174"/>
      <c r="AJ243" s="174" t="s">
        <v>954</v>
      </c>
      <c r="AK243" s="181" t="str">
        <f t="shared" ca="1" si="46"/>
        <v>TERMINO</v>
      </c>
      <c r="AL243" s="181" t="s">
        <v>582</v>
      </c>
      <c r="AM243" s="176" t="s">
        <v>391</v>
      </c>
      <c r="AN243" s="875" t="str">
        <f>IFERROR(VLOOKUP(E243,'liquidaciones '!$B$2:$C$1048576,2,0),"NO")</f>
        <v>LIQUIDADO</v>
      </c>
      <c r="AO243" s="983">
        <f>IFERROR(VLOOKUP(E243,'liquidaciones '!$B$2:$I$1048576,8,0),"")</f>
        <v>0</v>
      </c>
      <c r="AP243" s="342">
        <v>42152</v>
      </c>
      <c r="AQ243" s="177" t="str">
        <f t="shared" ca="1" si="49"/>
        <v>NO</v>
      </c>
      <c r="AR243" s="177" t="s">
        <v>981</v>
      </c>
      <c r="AS243" s="438"/>
      <c r="AT243" s="1015"/>
    </row>
    <row r="244" spans="2:46" ht="47.25" customHeight="1" x14ac:dyDescent="0.25">
      <c r="B244" s="15">
        <v>238</v>
      </c>
      <c r="C244" s="442"/>
      <c r="D244" s="442" t="str">
        <f t="shared" si="38"/>
        <v>2014</v>
      </c>
      <c r="E244" s="351" t="s">
        <v>1120</v>
      </c>
      <c r="F244" s="207" t="s">
        <v>1121</v>
      </c>
      <c r="G244" s="20">
        <v>900332071</v>
      </c>
      <c r="H244" s="282" t="s">
        <v>1773</v>
      </c>
      <c r="I244" s="209">
        <v>812500</v>
      </c>
      <c r="J244" s="134" t="s">
        <v>1088</v>
      </c>
      <c r="K244" s="167">
        <v>2014</v>
      </c>
      <c r="L244" s="551" t="s">
        <v>1088</v>
      </c>
      <c r="M244" s="311">
        <v>41928</v>
      </c>
      <c r="N244" s="311">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8"/>
      <c r="Y244" s="42">
        <f t="shared" si="41"/>
        <v>1</v>
      </c>
      <c r="Z244" s="42">
        <f t="shared" ca="1" si="42"/>
        <v>1</v>
      </c>
      <c r="AA244" s="43">
        <f t="shared" ca="1" si="43"/>
        <v>0</v>
      </c>
      <c r="AB244" s="202" t="str">
        <f t="shared" ca="1" si="44"/>
        <v/>
      </c>
      <c r="AC244" s="44" t="str">
        <f t="shared" si="48"/>
        <v>SI</v>
      </c>
      <c r="AD244" s="44"/>
      <c r="AE244" s="173" t="s">
        <v>1258</v>
      </c>
      <c r="AF244" s="304" t="s">
        <v>1472</v>
      </c>
      <c r="AG244" s="173" t="s">
        <v>1440</v>
      </c>
      <c r="AH244" s="284" t="s">
        <v>560</v>
      </c>
      <c r="AI244" s="174" t="s">
        <v>1510</v>
      </c>
      <c r="AJ244" s="174" t="s">
        <v>954</v>
      </c>
      <c r="AK244" s="181" t="str">
        <f t="shared" ca="1" si="46"/>
        <v>TERMINO</v>
      </c>
      <c r="AL244" s="181" t="s">
        <v>582</v>
      </c>
      <c r="AM244" s="176" t="s">
        <v>390</v>
      </c>
      <c r="AN244" s="875" t="str">
        <f>IFERROR(VLOOKUP(E244,'liquidaciones '!$B$2:$C$1048576,2,0),"NO")</f>
        <v>NO</v>
      </c>
      <c r="AO244" s="983" t="str">
        <f>IFERROR(VLOOKUP(E244,'liquidaciones '!$B$2:$I$1048576,8,0),"")</f>
        <v/>
      </c>
      <c r="AP244" s="342"/>
      <c r="AQ244" s="177" t="str">
        <f t="shared" ca="1" si="49"/>
        <v>NO</v>
      </c>
      <c r="AR244" s="177" t="s">
        <v>981</v>
      </c>
      <c r="AS244" s="438"/>
      <c r="AT244" s="1015"/>
    </row>
    <row r="245" spans="2:46" ht="128.25" customHeight="1" x14ac:dyDescent="0.25">
      <c r="B245" s="15">
        <v>239</v>
      </c>
      <c r="C245" s="442"/>
      <c r="D245" s="442" t="str">
        <f t="shared" si="38"/>
        <v>2014</v>
      </c>
      <c r="E245" s="351" t="s">
        <v>1159</v>
      </c>
      <c r="F245" s="207" t="s">
        <v>22</v>
      </c>
      <c r="G245" s="133">
        <v>830112518</v>
      </c>
      <c r="H245" s="282" t="s">
        <v>1160</v>
      </c>
      <c r="I245" s="209">
        <v>44544000</v>
      </c>
      <c r="J245" s="134" t="s">
        <v>1088</v>
      </c>
      <c r="K245" s="167">
        <v>2014</v>
      </c>
      <c r="L245" s="551" t="s">
        <v>1088</v>
      </c>
      <c r="M245" s="311">
        <v>41929</v>
      </c>
      <c r="N245" s="311">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8"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4" t="s">
        <v>560</v>
      </c>
      <c r="AI245" s="174" t="s">
        <v>1510</v>
      </c>
      <c r="AJ245" s="174" t="s">
        <v>954</v>
      </c>
      <c r="AK245" s="181" t="str">
        <f t="shared" ca="1" si="46"/>
        <v>TERMINO</v>
      </c>
      <c r="AL245" s="181" t="s">
        <v>582</v>
      </c>
      <c r="AM245" s="176" t="s">
        <v>390</v>
      </c>
      <c r="AN245" s="875" t="str">
        <f>IFERROR(VLOOKUP(E245,'liquidaciones '!$B$2:$C$1048576,2,0),"NO")</f>
        <v>LIQUIDADO</v>
      </c>
      <c r="AO245" s="983">
        <f>IFERROR(VLOOKUP(E245,'liquidaciones '!$B$2:$I$1048576,8,0),"")</f>
        <v>0</v>
      </c>
      <c r="AP245" s="342"/>
      <c r="AQ245" s="177" t="str">
        <f t="shared" ca="1" si="49"/>
        <v>SI</v>
      </c>
      <c r="AR245" s="177" t="s">
        <v>1995</v>
      </c>
      <c r="AS245" s="438"/>
      <c r="AT245" s="1015"/>
    </row>
    <row r="246" spans="2:46" ht="47.25" customHeight="1" x14ac:dyDescent="0.25">
      <c r="B246" s="15">
        <v>240</v>
      </c>
      <c r="C246" s="442"/>
      <c r="D246" s="442" t="str">
        <f t="shared" si="38"/>
        <v>2014</v>
      </c>
      <c r="E246" s="351" t="s">
        <v>1111</v>
      </c>
      <c r="F246" s="207" t="s">
        <v>1112</v>
      </c>
      <c r="G246" s="20">
        <v>830005370</v>
      </c>
      <c r="H246" s="282" t="s">
        <v>1113</v>
      </c>
      <c r="I246" s="209">
        <v>818527824</v>
      </c>
      <c r="J246" s="134" t="s">
        <v>1088</v>
      </c>
      <c r="K246" s="167">
        <v>2014</v>
      </c>
      <c r="L246" s="551" t="s">
        <v>1088</v>
      </c>
      <c r="M246" s="311">
        <v>41921</v>
      </c>
      <c r="N246" s="311">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8"/>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4" t="s">
        <v>564</v>
      </c>
      <c r="AI246" s="174" t="s">
        <v>1382</v>
      </c>
      <c r="AJ246" s="174" t="s">
        <v>954</v>
      </c>
      <c r="AK246" s="181" t="str">
        <f t="shared" ca="1" si="46"/>
        <v>TERMINO</v>
      </c>
      <c r="AL246" s="181" t="s">
        <v>582</v>
      </c>
      <c r="AM246" s="176" t="s">
        <v>390</v>
      </c>
      <c r="AN246" s="875" t="str">
        <f>IFERROR(VLOOKUP(E246,'liquidaciones '!$B$2:$C$1048576,2,0),"NO")</f>
        <v>LIQUIDADO</v>
      </c>
      <c r="AO246" s="983">
        <f>IFERROR(VLOOKUP(E246,'liquidaciones '!$B$2:$I$1048576,8,0),"")</f>
        <v>0</v>
      </c>
      <c r="AP246" s="342"/>
      <c r="AQ246" s="177" t="str">
        <f t="shared" ca="1" si="49"/>
        <v>NO</v>
      </c>
      <c r="AR246" s="177" t="s">
        <v>2080</v>
      </c>
      <c r="AS246" s="438"/>
      <c r="AT246" s="1015"/>
    </row>
    <row r="247" spans="2:46" ht="47.25" customHeight="1" x14ac:dyDescent="0.25">
      <c r="B247" s="15">
        <v>241</v>
      </c>
      <c r="C247" s="442"/>
      <c r="D247" s="442" t="str">
        <f t="shared" si="38"/>
        <v>2014</v>
      </c>
      <c r="E247" s="352" t="s">
        <v>1117</v>
      </c>
      <c r="F247" s="208" t="s">
        <v>1118</v>
      </c>
      <c r="G247" s="151">
        <v>830001338</v>
      </c>
      <c r="H247" s="893" t="s">
        <v>1119</v>
      </c>
      <c r="I247" s="210">
        <v>75520000</v>
      </c>
      <c r="J247" s="134" t="s">
        <v>1088</v>
      </c>
      <c r="K247" s="157">
        <v>2014</v>
      </c>
      <c r="L247" s="551" t="s">
        <v>1088</v>
      </c>
      <c r="M247" s="894">
        <v>41929</v>
      </c>
      <c r="N247" s="894">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8"/>
      <c r="Y247" s="42">
        <f t="shared" si="41"/>
        <v>0.99999998675847457</v>
      </c>
      <c r="Z247" s="42">
        <f t="shared" ca="1" si="42"/>
        <v>1</v>
      </c>
      <c r="AA247" s="43">
        <f t="shared" ca="1" si="43"/>
        <v>1.3241525431695322E-8</v>
      </c>
      <c r="AB247" s="202" t="str">
        <f t="shared" ca="1" si="44"/>
        <v/>
      </c>
      <c r="AC247" s="44" t="str">
        <f t="shared" si="48"/>
        <v>SI</v>
      </c>
      <c r="AD247" s="44"/>
      <c r="AE247" s="173" t="s">
        <v>1258</v>
      </c>
      <c r="AF247" s="284" t="s">
        <v>1177</v>
      </c>
      <c r="AG247" s="173" t="s">
        <v>1440</v>
      </c>
      <c r="AH247" s="284" t="s">
        <v>560</v>
      </c>
      <c r="AI247" s="308" t="s">
        <v>1510</v>
      </c>
      <c r="AJ247" s="308" t="s">
        <v>954</v>
      </c>
      <c r="AK247" s="181" t="str">
        <f t="shared" ca="1" si="46"/>
        <v>TERMINO</v>
      </c>
      <c r="AL247" s="284" t="s">
        <v>575</v>
      </c>
      <c r="AM247" s="176" t="s">
        <v>390</v>
      </c>
      <c r="AN247" s="875" t="str">
        <f>IFERROR(VLOOKUP(E247,'liquidaciones '!$B$2:$C$1048576,2,0),"NO")</f>
        <v>LIQUIDADO</v>
      </c>
      <c r="AO247" s="983">
        <f>IFERROR(VLOOKUP(E247,'liquidaciones '!$B$2:$I$1048576,8,0),"")</f>
        <v>0</v>
      </c>
      <c r="AP247" s="342"/>
      <c r="AQ247" s="177" t="str">
        <f t="shared" ca="1" si="49"/>
        <v>SI</v>
      </c>
      <c r="AR247" s="177" t="s">
        <v>1995</v>
      </c>
      <c r="AS247" s="438"/>
      <c r="AT247" s="1015"/>
    </row>
    <row r="248" spans="2:46" ht="47.25" customHeight="1" x14ac:dyDescent="0.25">
      <c r="B248" s="15">
        <v>242</v>
      </c>
      <c r="C248" s="442"/>
      <c r="D248" s="442" t="str">
        <f t="shared" si="38"/>
        <v>2014</v>
      </c>
      <c r="E248" s="353" t="s">
        <v>1332</v>
      </c>
      <c r="F248" s="173" t="s">
        <v>212</v>
      </c>
      <c r="G248" s="133">
        <v>830080652</v>
      </c>
      <c r="H248" s="284" t="s">
        <v>1333</v>
      </c>
      <c r="I248" s="241">
        <v>324800</v>
      </c>
      <c r="J248" s="134" t="s">
        <v>1088</v>
      </c>
      <c r="K248" s="293">
        <v>2014</v>
      </c>
      <c r="L248" s="551" t="s">
        <v>1088</v>
      </c>
      <c r="M248" s="295">
        <v>41939</v>
      </c>
      <c r="N248" s="295">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12" t="s">
        <v>1108</v>
      </c>
      <c r="Y248" s="42">
        <f t="shared" si="41"/>
        <v>1</v>
      </c>
      <c r="Z248" s="42">
        <f t="shared" ca="1" si="42"/>
        <v>1</v>
      </c>
      <c r="AA248" s="45">
        <f t="shared" ca="1" si="43"/>
        <v>0</v>
      </c>
      <c r="AB248" s="202" t="str">
        <f t="shared" ca="1" si="44"/>
        <v/>
      </c>
      <c r="AC248" s="44" t="str">
        <f t="shared" si="48"/>
        <v>SI</v>
      </c>
      <c r="AD248" s="44"/>
      <c r="AE248" s="173" t="s">
        <v>1257</v>
      </c>
      <c r="AF248" s="284" t="s">
        <v>1364</v>
      </c>
      <c r="AG248" s="173" t="s">
        <v>1443</v>
      </c>
      <c r="AH248" s="284" t="s">
        <v>560</v>
      </c>
      <c r="AI248" s="308" t="s">
        <v>1381</v>
      </c>
      <c r="AJ248" s="308" t="s">
        <v>954</v>
      </c>
      <c r="AK248" s="181" t="str">
        <f t="shared" ca="1" si="46"/>
        <v>TERMINO</v>
      </c>
      <c r="AL248" s="313" t="s">
        <v>576</v>
      </c>
      <c r="AM248" s="176" t="s">
        <v>391</v>
      </c>
      <c r="AN248" s="875" t="str">
        <f>IFERROR(VLOOKUP(E248,'liquidaciones '!$B$2:$C$1048576,2,0),"NO")</f>
        <v>LIQUIDADO</v>
      </c>
      <c r="AO248" s="983">
        <f>IFERROR(VLOOKUP(E248,'liquidaciones '!$B$2:$I$1048576,8,0),"")</f>
        <v>0</v>
      </c>
      <c r="AP248" s="342">
        <v>42145</v>
      </c>
      <c r="AQ248" s="177" t="str">
        <f t="shared" ca="1" si="49"/>
        <v>NO</v>
      </c>
      <c r="AR248" s="177" t="s">
        <v>1056</v>
      </c>
      <c r="AS248" s="438"/>
      <c r="AT248" s="1015"/>
    </row>
    <row r="249" spans="2:46" ht="47.25" customHeight="1" x14ac:dyDescent="0.25">
      <c r="B249" s="15">
        <v>243</v>
      </c>
      <c r="C249" s="442"/>
      <c r="D249" s="442" t="str">
        <f t="shared" si="38"/>
        <v>2014</v>
      </c>
      <c r="E249" s="353" t="s">
        <v>1345</v>
      </c>
      <c r="F249" s="173" t="s">
        <v>1346</v>
      </c>
      <c r="G249" s="143">
        <v>830120684</v>
      </c>
      <c r="H249" s="284" t="s">
        <v>1347</v>
      </c>
      <c r="I249" s="241">
        <v>1659960</v>
      </c>
      <c r="J249" s="879" t="s">
        <v>2635</v>
      </c>
      <c r="K249" s="293">
        <v>2014</v>
      </c>
      <c r="L249" s="551" t="s">
        <v>1088</v>
      </c>
      <c r="M249" s="295">
        <v>41968</v>
      </c>
      <c r="N249" s="295">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12"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4" t="s">
        <v>1300</v>
      </c>
      <c r="AG249" s="173" t="s">
        <v>1441</v>
      </c>
      <c r="AH249" s="284" t="s">
        <v>562</v>
      </c>
      <c r="AI249" s="308" t="s">
        <v>1474</v>
      </c>
      <c r="AJ249" s="308" t="s">
        <v>954</v>
      </c>
      <c r="AK249" s="181" t="str">
        <f t="shared" ca="1" si="46"/>
        <v>TERMINO</v>
      </c>
      <c r="AL249" s="313" t="s">
        <v>576</v>
      </c>
      <c r="AM249" s="176" t="s">
        <v>390</v>
      </c>
      <c r="AN249" s="875" t="str">
        <f>IFERROR(VLOOKUP(E249,'liquidaciones '!$B$2:$C$1048576,2,0),"NO")</f>
        <v>LIQUIDADO</v>
      </c>
      <c r="AO249" s="983">
        <f>IFERROR(VLOOKUP(E249,'liquidaciones '!$B$2:$I$1048576,8,0),"")</f>
        <v>0</v>
      </c>
      <c r="AP249" s="342">
        <v>42368</v>
      </c>
      <c r="AQ249" s="177" t="str">
        <f t="shared" ca="1" si="49"/>
        <v>SI</v>
      </c>
      <c r="AR249" s="177" t="s">
        <v>1573</v>
      </c>
      <c r="AS249" s="438"/>
      <c r="AT249" s="1015"/>
    </row>
    <row r="250" spans="2:46" ht="47.25" customHeight="1" x14ac:dyDescent="0.25">
      <c r="B250" s="15">
        <v>244</v>
      </c>
      <c r="C250" s="442"/>
      <c r="D250" s="442" t="str">
        <f t="shared" si="38"/>
        <v>2014</v>
      </c>
      <c r="E250" s="353" t="s">
        <v>1348</v>
      </c>
      <c r="F250" s="173" t="s">
        <v>1349</v>
      </c>
      <c r="G250" s="143">
        <v>79403174</v>
      </c>
      <c r="H250" s="284" t="s">
        <v>1350</v>
      </c>
      <c r="I250" s="241">
        <v>20188000</v>
      </c>
      <c r="J250" s="879" t="s">
        <v>2624</v>
      </c>
      <c r="K250" s="293">
        <v>2014</v>
      </c>
      <c r="L250" s="551" t="s">
        <v>1088</v>
      </c>
      <c r="M250" s="295">
        <v>41957</v>
      </c>
      <c r="N250" s="295">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12"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4" t="s">
        <v>560</v>
      </c>
      <c r="AI250" s="308" t="s">
        <v>1473</v>
      </c>
      <c r="AJ250" s="308" t="s">
        <v>954</v>
      </c>
      <c r="AK250" s="181" t="str">
        <f t="shared" ca="1" si="46"/>
        <v>TERMINO</v>
      </c>
      <c r="AL250" s="313" t="s">
        <v>582</v>
      </c>
      <c r="AM250" s="176" t="s">
        <v>391</v>
      </c>
      <c r="AN250" s="875" t="str">
        <f>IFERROR(VLOOKUP(E250,'liquidaciones '!$B$2:$C$1048576,2,0),"NO")</f>
        <v>LIQUIDADO</v>
      </c>
      <c r="AO250" s="983">
        <f>IFERROR(VLOOKUP(E250,'liquidaciones '!$B$2:$I$1048576,8,0),"")</f>
        <v>0</v>
      </c>
      <c r="AP250" s="342">
        <v>42251</v>
      </c>
      <c r="AQ250" s="177" t="str">
        <f t="shared" ca="1" si="49"/>
        <v>NO</v>
      </c>
      <c r="AR250" s="177" t="s">
        <v>1473</v>
      </c>
      <c r="AS250" s="438"/>
      <c r="AT250" s="1015"/>
    </row>
    <row r="251" spans="2:46" ht="47.25" customHeight="1" x14ac:dyDescent="0.25">
      <c r="B251" s="15">
        <v>245</v>
      </c>
      <c r="C251" s="442"/>
      <c r="D251" s="442" t="str">
        <f t="shared" si="38"/>
        <v>2014</v>
      </c>
      <c r="E251" s="354" t="s">
        <v>1352</v>
      </c>
      <c r="F251" s="284" t="s">
        <v>1353</v>
      </c>
      <c r="G251" s="308">
        <v>830025104</v>
      </c>
      <c r="H251" s="284" t="s">
        <v>1575</v>
      </c>
      <c r="I251" s="292">
        <v>59383678</v>
      </c>
      <c r="J251" s="879" t="s">
        <v>2631</v>
      </c>
      <c r="K251" s="293">
        <v>2014</v>
      </c>
      <c r="L251" s="551" t="s">
        <v>1088</v>
      </c>
      <c r="M251" s="294">
        <v>41941</v>
      </c>
      <c r="N251" s="295">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6">
        <f t="shared" si="40"/>
        <v>31613526</v>
      </c>
      <c r="X251" s="312"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4" t="s">
        <v>560</v>
      </c>
      <c r="AI251" s="308" t="s">
        <v>1510</v>
      </c>
      <c r="AJ251" s="308" t="s">
        <v>954</v>
      </c>
      <c r="AK251" s="181" t="str">
        <f t="shared" ca="1" si="46"/>
        <v>TERMINO</v>
      </c>
      <c r="AL251" s="313" t="s">
        <v>576</v>
      </c>
      <c r="AM251" s="176" t="s">
        <v>390</v>
      </c>
      <c r="AN251" s="875" t="str">
        <f>IFERROR(VLOOKUP(E251,'liquidaciones '!$B$2:$C$1048576,2,0),"NO")</f>
        <v>LIQUIDADO</v>
      </c>
      <c r="AO251" s="983">
        <f>IFERROR(VLOOKUP(E251,'liquidaciones '!$B$2:$I$1048576,8,0),"")</f>
        <v>0</v>
      </c>
      <c r="AP251" s="342"/>
      <c r="AQ251" s="177" t="str">
        <f t="shared" ca="1" si="49"/>
        <v>NO</v>
      </c>
      <c r="AR251" s="177" t="s">
        <v>1995</v>
      </c>
      <c r="AS251" s="438"/>
      <c r="AT251" s="1015"/>
    </row>
    <row r="252" spans="2:46" ht="47.25" customHeight="1" x14ac:dyDescent="0.25">
      <c r="B252" s="15">
        <v>246</v>
      </c>
      <c r="C252" s="442"/>
      <c r="D252" s="442" t="str">
        <f t="shared" si="38"/>
        <v>2014</v>
      </c>
      <c r="E252" s="355" t="s">
        <v>1355</v>
      </c>
      <c r="F252" s="893" t="s">
        <v>27</v>
      </c>
      <c r="G252" s="895">
        <v>860009759</v>
      </c>
      <c r="H252" s="893" t="s">
        <v>1356</v>
      </c>
      <c r="I252" s="297">
        <v>764100</v>
      </c>
      <c r="J252" s="134" t="s">
        <v>1088</v>
      </c>
      <c r="K252" s="298">
        <v>2014</v>
      </c>
      <c r="L252" s="551" t="s">
        <v>1088</v>
      </c>
      <c r="M252" s="894">
        <v>41970</v>
      </c>
      <c r="N252" s="894">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6">
        <f t="shared" si="40"/>
        <v>0</v>
      </c>
      <c r="X252" s="312" t="s">
        <v>1108</v>
      </c>
      <c r="Y252" s="42">
        <f t="shared" si="41"/>
        <v>1</v>
      </c>
      <c r="Z252" s="42">
        <f t="shared" ca="1" si="42"/>
        <v>1</v>
      </c>
      <c r="AA252" s="43">
        <f t="shared" ca="1" si="43"/>
        <v>0</v>
      </c>
      <c r="AB252" s="202" t="str">
        <f t="shared" ca="1" si="44"/>
        <v/>
      </c>
      <c r="AC252" s="44" t="str">
        <f t="shared" si="48"/>
        <v>SI</v>
      </c>
      <c r="AD252" s="44"/>
      <c r="AE252" s="173" t="s">
        <v>1257</v>
      </c>
      <c r="AF252" s="284" t="s">
        <v>1126</v>
      </c>
      <c r="AG252" s="173" t="s">
        <v>1431</v>
      </c>
      <c r="AH252" s="284" t="s">
        <v>564</v>
      </c>
      <c r="AI252" s="174" t="s">
        <v>2172</v>
      </c>
      <c r="AJ252" s="308" t="s">
        <v>954</v>
      </c>
      <c r="AK252" s="181" t="str">
        <f t="shared" ca="1" si="46"/>
        <v>TERMINO</v>
      </c>
      <c r="AL252" s="313" t="s">
        <v>582</v>
      </c>
      <c r="AM252" s="176" t="s">
        <v>390</v>
      </c>
      <c r="AN252" s="875" t="str">
        <f>IFERROR(VLOOKUP(E252,'liquidaciones '!$B$2:$C$1048576,2,0),"NO")</f>
        <v>LIQUIDADO</v>
      </c>
      <c r="AO252" s="983">
        <f>IFERROR(VLOOKUP(E252,'liquidaciones '!$B$2:$I$1048576,8,0),"")</f>
        <v>0</v>
      </c>
      <c r="AP252" s="342"/>
      <c r="AQ252" s="177" t="str">
        <f t="shared" ca="1" si="49"/>
        <v>SI</v>
      </c>
      <c r="AR252" s="177" t="s">
        <v>1511</v>
      </c>
      <c r="AS252" s="438"/>
      <c r="AT252" s="1015"/>
    </row>
    <row r="253" spans="2:46" ht="47.25" customHeight="1" x14ac:dyDescent="0.25">
      <c r="B253" s="15">
        <v>247</v>
      </c>
      <c r="C253" s="442"/>
      <c r="D253" s="442" t="str">
        <f t="shared" si="38"/>
        <v>2014</v>
      </c>
      <c r="E253" s="355" t="s">
        <v>1357</v>
      </c>
      <c r="F253" s="893" t="s">
        <v>1358</v>
      </c>
      <c r="G253" s="895">
        <v>805007625</v>
      </c>
      <c r="H253" s="893" t="s">
        <v>1359</v>
      </c>
      <c r="I253" s="297">
        <v>108570688</v>
      </c>
      <c r="J253" s="134" t="s">
        <v>1088</v>
      </c>
      <c r="K253" s="298">
        <v>2014</v>
      </c>
      <c r="L253" s="551" t="s">
        <v>1088</v>
      </c>
      <c r="M253" s="894">
        <v>41935</v>
      </c>
      <c r="N253" s="894">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6">
        <f t="shared" si="40"/>
        <v>142056991</v>
      </c>
      <c r="X253" s="312"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4" t="s">
        <v>560</v>
      </c>
      <c r="AI253" s="308" t="s">
        <v>1510</v>
      </c>
      <c r="AJ253" s="308" t="s">
        <v>954</v>
      </c>
      <c r="AK253" s="181" t="str">
        <f t="shared" ca="1" si="46"/>
        <v>TERMINO</v>
      </c>
      <c r="AL253" s="313" t="s">
        <v>576</v>
      </c>
      <c r="AM253" s="176" t="s">
        <v>390</v>
      </c>
      <c r="AN253" s="875" t="str">
        <f>IFERROR(VLOOKUP(E253,'liquidaciones '!$B$2:$C$1048576,2,0),"NO")</f>
        <v>LIQUIDADO</v>
      </c>
      <c r="AO253" s="983">
        <f>IFERROR(VLOOKUP(E253,'liquidaciones '!$B$2:$I$1048576,8,0),"")</f>
        <v>0</v>
      </c>
      <c r="AP253" s="342"/>
      <c r="AQ253" s="177" t="str">
        <f t="shared" ca="1" si="49"/>
        <v>NO</v>
      </c>
      <c r="AR253" s="177" t="s">
        <v>1995</v>
      </c>
      <c r="AS253" s="438"/>
      <c r="AT253" s="1015"/>
    </row>
    <row r="254" spans="2:46" ht="47.25" customHeight="1" x14ac:dyDescent="0.25">
      <c r="B254" s="15">
        <v>248</v>
      </c>
      <c r="C254" s="442"/>
      <c r="D254" s="442" t="str">
        <f t="shared" si="38"/>
        <v>2014</v>
      </c>
      <c r="E254" s="355" t="s">
        <v>1360</v>
      </c>
      <c r="F254" s="310" t="s">
        <v>1361</v>
      </c>
      <c r="G254" s="895">
        <v>860353110</v>
      </c>
      <c r="H254" s="893" t="s">
        <v>1362</v>
      </c>
      <c r="I254" s="297">
        <v>27235640</v>
      </c>
      <c r="J254" s="134" t="s">
        <v>1088</v>
      </c>
      <c r="K254" s="298">
        <v>2014</v>
      </c>
      <c r="L254" s="551" t="s">
        <v>1088</v>
      </c>
      <c r="M254" s="894">
        <v>41969</v>
      </c>
      <c r="N254" s="894">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6">
        <f t="shared" si="40"/>
        <v>9865800</v>
      </c>
      <c r="X254" s="312"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4" t="s">
        <v>1363</v>
      </c>
      <c r="AG254" s="173" t="s">
        <v>1440</v>
      </c>
      <c r="AH254" s="284" t="s">
        <v>560</v>
      </c>
      <c r="AI254" s="308" t="s">
        <v>1510</v>
      </c>
      <c r="AJ254" s="308" t="s">
        <v>954</v>
      </c>
      <c r="AK254" s="181" t="str">
        <f t="shared" ca="1" si="46"/>
        <v>TERMINO</v>
      </c>
      <c r="AL254" s="313" t="s">
        <v>576</v>
      </c>
      <c r="AM254" s="176" t="s">
        <v>390</v>
      </c>
      <c r="AN254" s="875" t="str">
        <f>IFERROR(VLOOKUP(E254,'liquidaciones '!$B$2:$C$1048576,2,0),"NO")</f>
        <v>LIQUIDADO</v>
      </c>
      <c r="AO254" s="983">
        <f>IFERROR(VLOOKUP(E254,'liquidaciones '!$B$2:$I$1048576,8,0),"")</f>
        <v>0</v>
      </c>
      <c r="AP254" s="342"/>
      <c r="AQ254" s="177" t="str">
        <f t="shared" ca="1" si="49"/>
        <v>SI</v>
      </c>
      <c r="AR254" s="177" t="s">
        <v>1995</v>
      </c>
      <c r="AS254" s="438"/>
      <c r="AT254" s="1015"/>
    </row>
    <row r="255" spans="2:46" ht="47.25" customHeight="1" x14ac:dyDescent="0.25">
      <c r="B255" s="15">
        <v>249</v>
      </c>
      <c r="C255" s="442"/>
      <c r="D255" s="442" t="str">
        <f t="shared" si="38"/>
        <v>2014</v>
      </c>
      <c r="E255" s="895" t="s">
        <v>1367</v>
      </c>
      <c r="F255" s="893" t="s">
        <v>1368</v>
      </c>
      <c r="G255" s="895">
        <v>79797614</v>
      </c>
      <c r="H255" s="893" t="s">
        <v>1369</v>
      </c>
      <c r="I255" s="297">
        <v>39999999</v>
      </c>
      <c r="J255" s="879"/>
      <c r="K255" s="298">
        <v>2014</v>
      </c>
      <c r="L255" s="551" t="s">
        <v>1088</v>
      </c>
      <c r="M255" s="894">
        <v>41957</v>
      </c>
      <c r="N255" s="894">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6">
        <f t="shared" si="40"/>
        <v>1</v>
      </c>
      <c r="X255" s="312"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4" t="s">
        <v>1370</v>
      </c>
      <c r="AG255" s="173" t="s">
        <v>1440</v>
      </c>
      <c r="AH255" s="284" t="s">
        <v>560</v>
      </c>
      <c r="AI255" s="308" t="s">
        <v>1510</v>
      </c>
      <c r="AJ255" s="308" t="s">
        <v>954</v>
      </c>
      <c r="AK255" s="181" t="str">
        <f t="shared" ca="1" si="46"/>
        <v>TERMINO</v>
      </c>
      <c r="AL255" s="313" t="s">
        <v>576</v>
      </c>
      <c r="AM255" s="176" t="s">
        <v>390</v>
      </c>
      <c r="AN255" s="875" t="str">
        <f>IFERROR(VLOOKUP(E255,'liquidaciones '!$B$2:$C$1048576,2,0),"NO")</f>
        <v>EN TRÁMITE</v>
      </c>
      <c r="AO255" s="983">
        <f>IFERROR(VLOOKUP(E255,'liquidaciones '!$B$2:$I$1048576,8,0),"")</f>
        <v>0</v>
      </c>
      <c r="AP255" s="342"/>
      <c r="AQ255" s="177" t="str">
        <f t="shared" ref="AQ255:AQ286" ca="1" si="51">IF((TODAY()-T255&lt;900),"SI","NO")</f>
        <v>SI</v>
      </c>
      <c r="AR255" s="177" t="s">
        <v>2395</v>
      </c>
      <c r="AS255" s="438"/>
      <c r="AT255" s="1015"/>
    </row>
    <row r="256" spans="2:46" ht="47.25" customHeight="1" x14ac:dyDescent="0.25">
      <c r="B256" s="15">
        <v>250</v>
      </c>
      <c r="C256" s="442"/>
      <c r="D256" s="442" t="str">
        <f t="shared" si="38"/>
        <v>2014</v>
      </c>
      <c r="E256" s="355" t="s">
        <v>1365</v>
      </c>
      <c r="F256" s="893" t="s">
        <v>1537</v>
      </c>
      <c r="G256" s="895">
        <v>80100229</v>
      </c>
      <c r="H256" s="893" t="s">
        <v>1366</v>
      </c>
      <c r="I256" s="297">
        <v>17664500</v>
      </c>
      <c r="J256" s="134" t="s">
        <v>1088</v>
      </c>
      <c r="K256" s="298">
        <v>2014</v>
      </c>
      <c r="L256" s="551" t="s">
        <v>1088</v>
      </c>
      <c r="M256" s="894">
        <v>41956</v>
      </c>
      <c r="N256" s="894">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6">
        <f t="shared" si="40"/>
        <v>0</v>
      </c>
      <c r="X256" s="312" t="s">
        <v>1095</v>
      </c>
      <c r="Y256" s="42">
        <f t="shared" si="41"/>
        <v>1</v>
      </c>
      <c r="Z256" s="42">
        <f t="shared" ca="1" si="42"/>
        <v>1</v>
      </c>
      <c r="AA256" s="43">
        <f t="shared" ca="1" si="43"/>
        <v>0</v>
      </c>
      <c r="AB256" s="202" t="str">
        <f t="shared" ca="1" si="44"/>
        <v/>
      </c>
      <c r="AC256" s="44" t="str">
        <f t="shared" si="50"/>
        <v>SI</v>
      </c>
      <c r="AD256" s="44"/>
      <c r="AE256" s="173" t="s">
        <v>1258</v>
      </c>
      <c r="AF256" s="173" t="s">
        <v>2195</v>
      </c>
      <c r="AG256" s="173" t="s">
        <v>1178</v>
      </c>
      <c r="AH256" s="284" t="s">
        <v>559</v>
      </c>
      <c r="AI256" s="308" t="s">
        <v>2194</v>
      </c>
      <c r="AJ256" s="308" t="s">
        <v>954</v>
      </c>
      <c r="AK256" s="181" t="str">
        <f t="shared" ca="1" si="46"/>
        <v>TERMINO</v>
      </c>
      <c r="AL256" s="314" t="s">
        <v>582</v>
      </c>
      <c r="AM256" s="176" t="s">
        <v>391</v>
      </c>
      <c r="AN256" s="875" t="str">
        <f>IFERROR(VLOOKUP(E256,'liquidaciones '!$B$2:$C$1048576,2,0),"NO")</f>
        <v>LIQUIDADO</v>
      </c>
      <c r="AO256" s="983">
        <f>IFERROR(VLOOKUP(E256,'liquidaciones '!$B$2:$I$1048576,8,0),"")</f>
        <v>0</v>
      </c>
      <c r="AP256" s="342">
        <v>42265</v>
      </c>
      <c r="AQ256" s="177" t="str">
        <f t="shared" ca="1" si="51"/>
        <v>NO</v>
      </c>
      <c r="AR256" s="177" t="s">
        <v>981</v>
      </c>
      <c r="AS256" s="438"/>
      <c r="AT256" s="1015"/>
    </row>
    <row r="257" spans="2:46" ht="47.25" customHeight="1" x14ac:dyDescent="0.25">
      <c r="B257" s="15">
        <v>251</v>
      </c>
      <c r="C257" s="442"/>
      <c r="D257" s="442" t="str">
        <f t="shared" si="38"/>
        <v>2014</v>
      </c>
      <c r="E257" s="355" t="s">
        <v>1420</v>
      </c>
      <c r="F257" s="893" t="s">
        <v>1421</v>
      </c>
      <c r="G257" s="895">
        <v>830087030</v>
      </c>
      <c r="H257" s="893" t="s">
        <v>1422</v>
      </c>
      <c r="I257" s="210">
        <v>4750000</v>
      </c>
      <c r="J257" s="134" t="s">
        <v>1088</v>
      </c>
      <c r="K257" s="298">
        <v>2014</v>
      </c>
      <c r="L257" s="551" t="s">
        <v>1088</v>
      </c>
      <c r="M257" s="894">
        <v>41968</v>
      </c>
      <c r="N257" s="894">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12"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4" t="s">
        <v>1424</v>
      </c>
      <c r="AG257" s="173" t="s">
        <v>1443</v>
      </c>
      <c r="AH257" s="284" t="s">
        <v>560</v>
      </c>
      <c r="AI257" s="308" t="s">
        <v>1508</v>
      </c>
      <c r="AJ257" s="308" t="s">
        <v>954</v>
      </c>
      <c r="AK257" s="181" t="str">
        <f t="shared" ca="1" si="46"/>
        <v>TERMINO</v>
      </c>
      <c r="AL257" s="313" t="s">
        <v>576</v>
      </c>
      <c r="AM257" s="176" t="s">
        <v>390</v>
      </c>
      <c r="AN257" s="875" t="str">
        <f>IFERROR(VLOOKUP(E257,'liquidaciones '!$B$2:$C$1048576,2,0),"NO")</f>
        <v>LIQUIDADO</v>
      </c>
      <c r="AO257" s="983">
        <f>IFERROR(VLOOKUP(E257,'liquidaciones '!$B$2:$I$1048576,8,0),"")</f>
        <v>0</v>
      </c>
      <c r="AP257" s="342"/>
      <c r="AQ257" s="177" t="str">
        <f t="shared" ca="1" si="51"/>
        <v>NO</v>
      </c>
      <c r="AR257" s="177" t="s">
        <v>1573</v>
      </c>
      <c r="AS257" s="438"/>
      <c r="AT257" s="1015"/>
    </row>
    <row r="258" spans="2:46" ht="47.25" customHeight="1" x14ac:dyDescent="0.25">
      <c r="B258" s="15">
        <v>252</v>
      </c>
      <c r="C258" s="442"/>
      <c r="D258" s="442" t="str">
        <f t="shared" si="38"/>
        <v>2014</v>
      </c>
      <c r="E258" s="355" t="s">
        <v>1425</v>
      </c>
      <c r="F258" s="893" t="s">
        <v>428</v>
      </c>
      <c r="G258" s="895">
        <v>830050919</v>
      </c>
      <c r="H258" s="893" t="s">
        <v>1426</v>
      </c>
      <c r="I258" s="210">
        <v>506601000</v>
      </c>
      <c r="J258" s="879" t="s">
        <v>2460</v>
      </c>
      <c r="K258" s="298">
        <v>2014</v>
      </c>
      <c r="L258" s="551" t="s">
        <v>1088</v>
      </c>
      <c r="M258" s="894">
        <v>41963</v>
      </c>
      <c r="N258" s="894">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12"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4" t="s">
        <v>1427</v>
      </c>
      <c r="AG258" s="173" t="s">
        <v>1436</v>
      </c>
      <c r="AH258" s="284" t="s">
        <v>560</v>
      </c>
      <c r="AI258" s="174" t="s">
        <v>1387</v>
      </c>
      <c r="AJ258" s="308" t="s">
        <v>954</v>
      </c>
      <c r="AK258" s="181" t="str">
        <f t="shared" ca="1" si="46"/>
        <v>TERMINO</v>
      </c>
      <c r="AL258" s="313" t="s">
        <v>573</v>
      </c>
      <c r="AM258" s="176" t="s">
        <v>390</v>
      </c>
      <c r="AN258" s="875" t="str">
        <f>IFERROR(VLOOKUP(E258,'liquidaciones '!$B$2:$C$1048576,2,0),"NO")</f>
        <v>LIQUIDADO</v>
      </c>
      <c r="AO258" s="983">
        <f>IFERROR(VLOOKUP(E258,'liquidaciones '!$B$2:$I$1048576,8,0),"")</f>
        <v>0</v>
      </c>
      <c r="AP258" s="342"/>
      <c r="AQ258" s="177" t="str">
        <f t="shared" ca="1" si="51"/>
        <v>NO</v>
      </c>
      <c r="AR258" s="177" t="s">
        <v>2080</v>
      </c>
      <c r="AS258" s="438"/>
      <c r="AT258" s="1015"/>
    </row>
    <row r="259" spans="2:46" ht="47.25" customHeight="1" x14ac:dyDescent="0.25">
      <c r="B259" s="15">
        <v>253</v>
      </c>
      <c r="C259" s="442"/>
      <c r="D259" s="442" t="str">
        <f t="shared" si="38"/>
        <v>2014</v>
      </c>
      <c r="E259" s="355" t="s">
        <v>1475</v>
      </c>
      <c r="F259" s="893" t="s">
        <v>64</v>
      </c>
      <c r="G259" s="895">
        <v>830143378</v>
      </c>
      <c r="H259" s="893" t="s">
        <v>1476</v>
      </c>
      <c r="I259" s="210">
        <v>401058400</v>
      </c>
      <c r="J259" s="134" t="s">
        <v>1088</v>
      </c>
      <c r="K259" s="298">
        <v>2014</v>
      </c>
      <c r="L259" s="551" t="s">
        <v>1088</v>
      </c>
      <c r="M259" s="894">
        <v>42031</v>
      </c>
      <c r="N259" s="894">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12" t="s">
        <v>1477</v>
      </c>
      <c r="Y259" s="42">
        <f t="shared" si="41"/>
        <v>1</v>
      </c>
      <c r="Z259" s="42">
        <f t="shared" ca="1" si="42"/>
        <v>1</v>
      </c>
      <c r="AA259" s="43">
        <f t="shared" ca="1" si="43"/>
        <v>0</v>
      </c>
      <c r="AB259" s="202" t="str">
        <f t="shared" ca="1" si="44"/>
        <v/>
      </c>
      <c r="AC259" s="44" t="str">
        <f t="shared" si="50"/>
        <v>SI</v>
      </c>
      <c r="AD259" s="44"/>
      <c r="AE259" s="173" t="s">
        <v>1257</v>
      </c>
      <c r="AF259" s="284" t="s">
        <v>1284</v>
      </c>
      <c r="AG259" s="173" t="s">
        <v>1436</v>
      </c>
      <c r="AH259" s="284" t="s">
        <v>560</v>
      </c>
      <c r="AI259" s="308" t="s">
        <v>1387</v>
      </c>
      <c r="AJ259" s="308" t="s">
        <v>954</v>
      </c>
      <c r="AK259" s="181" t="str">
        <f t="shared" ca="1" si="46"/>
        <v>TERMINO</v>
      </c>
      <c r="AL259" s="313" t="s">
        <v>573</v>
      </c>
      <c r="AM259" s="176" t="s">
        <v>390</v>
      </c>
      <c r="AN259" s="875" t="str">
        <f>IFERROR(VLOOKUP(E259,'liquidaciones '!$B$2:$C$1048576,2,0),"NO")</f>
        <v>LIQUIDADO</v>
      </c>
      <c r="AO259" s="983" t="str">
        <f>IFERROR(VLOOKUP(E259,'liquidaciones '!$B$2:$I$1048576,8,0),"")</f>
        <v>LEIDY RIVERA</v>
      </c>
      <c r="AP259" s="342"/>
      <c r="AQ259" s="177" t="str">
        <f t="shared" ca="1" si="51"/>
        <v>SI</v>
      </c>
      <c r="AR259" s="177" t="s">
        <v>2080</v>
      </c>
      <c r="AS259" s="438"/>
      <c r="AT259" s="1015"/>
    </row>
    <row r="260" spans="2:46" ht="47.25" customHeight="1" x14ac:dyDescent="0.25">
      <c r="B260" s="15">
        <v>254</v>
      </c>
      <c r="C260" s="442"/>
      <c r="D260" s="442" t="str">
        <f t="shared" si="38"/>
        <v>2014</v>
      </c>
      <c r="E260" s="895" t="s">
        <v>1478</v>
      </c>
      <c r="F260" s="893" t="s">
        <v>3</v>
      </c>
      <c r="G260" s="133">
        <v>830095213</v>
      </c>
      <c r="H260" s="893" t="s">
        <v>402</v>
      </c>
      <c r="I260" s="210">
        <v>171253333</v>
      </c>
      <c r="J260" s="134" t="s">
        <v>1088</v>
      </c>
      <c r="K260" s="298">
        <v>2014</v>
      </c>
      <c r="L260" s="551" t="s">
        <v>1088</v>
      </c>
      <c r="M260" s="894">
        <v>41961</v>
      </c>
      <c r="N260" s="894">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12"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4" t="s">
        <v>1140</v>
      </c>
      <c r="AG260" s="173" t="s">
        <v>1443</v>
      </c>
      <c r="AH260" s="284" t="s">
        <v>560</v>
      </c>
      <c r="AI260" s="308" t="s">
        <v>1320</v>
      </c>
      <c r="AJ260" s="308" t="s">
        <v>954</v>
      </c>
      <c r="AK260" s="181" t="str">
        <f t="shared" ca="1" si="46"/>
        <v>TERMINO</v>
      </c>
      <c r="AL260" s="313"/>
      <c r="AM260" s="176"/>
      <c r="AN260" s="875" t="str">
        <f>IFERROR(VLOOKUP(E260,'liquidaciones '!$B$2:$C$1048576,2,0),"NO")</f>
        <v>EN TRÁMITE</v>
      </c>
      <c r="AO260" s="983" t="str">
        <f>IFERROR(VLOOKUP(E260,'liquidaciones '!$B$2:$I$1048576,8,0),"")</f>
        <v>JULIETH ANGARITA</v>
      </c>
      <c r="AP260" s="342"/>
      <c r="AQ260" s="177" t="str">
        <f t="shared" ca="1" si="51"/>
        <v>NO</v>
      </c>
      <c r="AR260" s="177" t="s">
        <v>1574</v>
      </c>
      <c r="AS260" s="438"/>
      <c r="AT260" s="1015"/>
    </row>
    <row r="261" spans="2:46" ht="47.25" customHeight="1" x14ac:dyDescent="0.25">
      <c r="B261" s="15">
        <v>255</v>
      </c>
      <c r="C261" s="442"/>
      <c r="D261" s="442" t="str">
        <f t="shared" si="38"/>
        <v>2014</v>
      </c>
      <c r="E261" s="355" t="s">
        <v>1486</v>
      </c>
      <c r="F261" s="893" t="s">
        <v>1599</v>
      </c>
      <c r="G261" s="133">
        <v>79106019</v>
      </c>
      <c r="H261" s="893" t="s">
        <v>1487</v>
      </c>
      <c r="I261" s="210">
        <v>12700000</v>
      </c>
      <c r="J261" s="134" t="s">
        <v>1088</v>
      </c>
      <c r="K261" s="298">
        <v>2014</v>
      </c>
      <c r="L261" s="551" t="s">
        <v>1088</v>
      </c>
      <c r="M261" s="894">
        <v>41982</v>
      </c>
      <c r="N261" s="894">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12"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4" t="s">
        <v>1489</v>
      </c>
      <c r="AG261" s="173" t="s">
        <v>1443</v>
      </c>
      <c r="AH261" s="284" t="s">
        <v>560</v>
      </c>
      <c r="AI261" s="308" t="s">
        <v>1381</v>
      </c>
      <c r="AJ261" s="308" t="s">
        <v>954</v>
      </c>
      <c r="AK261" s="181" t="str">
        <f t="shared" ca="1" si="46"/>
        <v>TERMINO</v>
      </c>
      <c r="AL261" s="313" t="s">
        <v>576</v>
      </c>
      <c r="AM261" s="176" t="s">
        <v>390</v>
      </c>
      <c r="AN261" s="875" t="str">
        <f>IFERROR(VLOOKUP(E261,'liquidaciones '!$B$2:$C$1048576,2,0),"NO")</f>
        <v>LIQUIDADO</v>
      </c>
      <c r="AO261" s="983">
        <f>IFERROR(VLOOKUP(E261,'liquidaciones '!$B$2:$I$1048576,8,0),"")</f>
        <v>0</v>
      </c>
      <c r="AP261" s="342">
        <v>42272</v>
      </c>
      <c r="AQ261" s="177" t="str">
        <f t="shared" ca="1" si="51"/>
        <v>NO</v>
      </c>
      <c r="AR261" s="177" t="s">
        <v>1056</v>
      </c>
      <c r="AS261" s="438"/>
      <c r="AT261" s="1015"/>
    </row>
    <row r="262" spans="2:46" ht="47.25" customHeight="1" x14ac:dyDescent="0.25">
      <c r="B262" s="15">
        <v>256</v>
      </c>
      <c r="C262" s="442"/>
      <c r="D262" s="442" t="str">
        <f t="shared" si="38"/>
        <v>2014</v>
      </c>
      <c r="E262" s="355" t="s">
        <v>1482</v>
      </c>
      <c r="F262" s="893" t="s">
        <v>1483</v>
      </c>
      <c r="G262" s="895">
        <v>860007336</v>
      </c>
      <c r="H262" s="893" t="s">
        <v>1484</v>
      </c>
      <c r="I262" s="210">
        <v>39424000</v>
      </c>
      <c r="J262" s="134" t="s">
        <v>1088</v>
      </c>
      <c r="K262" s="298">
        <v>2014</v>
      </c>
      <c r="L262" s="551" t="s">
        <v>1088</v>
      </c>
      <c r="M262" s="894">
        <v>41982</v>
      </c>
      <c r="N262" s="894">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12" t="s">
        <v>1108</v>
      </c>
      <c r="Y262" s="42">
        <f t="shared" si="41"/>
        <v>1</v>
      </c>
      <c r="Z262" s="42">
        <f t="shared" ca="1" si="42"/>
        <v>1</v>
      </c>
      <c r="AA262" s="43">
        <f t="shared" ca="1" si="43"/>
        <v>0</v>
      </c>
      <c r="AB262" s="202" t="str">
        <f t="shared" ca="1" si="44"/>
        <v/>
      </c>
      <c r="AC262" s="44" t="str">
        <f t="shared" si="50"/>
        <v>SI</v>
      </c>
      <c r="AD262" s="44"/>
      <c r="AE262" s="173" t="s">
        <v>1257</v>
      </c>
      <c r="AF262" s="284" t="s">
        <v>1485</v>
      </c>
      <c r="AG262" s="173" t="s">
        <v>1436</v>
      </c>
      <c r="AH262" s="284" t="s">
        <v>560</v>
      </c>
      <c r="AI262" s="308" t="s">
        <v>1387</v>
      </c>
      <c r="AJ262" s="308" t="s">
        <v>954</v>
      </c>
      <c r="AK262" s="181" t="str">
        <f t="shared" ca="1" si="46"/>
        <v>TERMINO</v>
      </c>
      <c r="AL262" s="313" t="s">
        <v>574</v>
      </c>
      <c r="AM262" s="176" t="s">
        <v>391</v>
      </c>
      <c r="AN262" s="875" t="str">
        <f>IFERROR(VLOOKUP(E262,'liquidaciones '!$B$2:$C$1048576,2,0),"NO")</f>
        <v>LIQUIDADO</v>
      </c>
      <c r="AO262" s="983">
        <f>IFERROR(VLOOKUP(E262,'liquidaciones '!$B$2:$I$1048576,8,0),"")</f>
        <v>0</v>
      </c>
      <c r="AP262" s="342">
        <v>42278</v>
      </c>
      <c r="AQ262" s="177" t="str">
        <f t="shared" ca="1" si="51"/>
        <v>NO</v>
      </c>
      <c r="AR262" s="177" t="s">
        <v>1574</v>
      </c>
      <c r="AS262" s="438"/>
      <c r="AT262" s="1015"/>
    </row>
    <row r="263" spans="2:46" ht="47.25" customHeight="1" x14ac:dyDescent="0.25">
      <c r="B263" s="15">
        <v>257</v>
      </c>
      <c r="C263" s="442"/>
      <c r="D263" s="442" t="str">
        <f t="shared" ref="D263:D326" si="53">K263&amp;C263</f>
        <v>2014</v>
      </c>
      <c r="E263" s="355" t="s">
        <v>1498</v>
      </c>
      <c r="F263" s="132" t="s">
        <v>418</v>
      </c>
      <c r="G263" s="133">
        <v>891501783</v>
      </c>
      <c r="H263" s="893" t="s">
        <v>1499</v>
      </c>
      <c r="I263" s="210">
        <v>187940000</v>
      </c>
      <c r="J263" s="134" t="s">
        <v>1088</v>
      </c>
      <c r="K263" s="298">
        <v>2014</v>
      </c>
      <c r="L263" s="551" t="s">
        <v>1088</v>
      </c>
      <c r="M263" s="894">
        <v>42023</v>
      </c>
      <c r="N263" s="894">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12"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4" t="s">
        <v>1500</v>
      </c>
      <c r="AG263" s="173" t="s">
        <v>1440</v>
      </c>
      <c r="AH263" s="284" t="s">
        <v>560</v>
      </c>
      <c r="AI263" s="308" t="s">
        <v>1510</v>
      </c>
      <c r="AJ263" s="308" t="s">
        <v>954</v>
      </c>
      <c r="AK263" s="181" t="str">
        <f t="shared" ref="AK263:AK326" ca="1" si="60">IF(T263&gt;=$F$3,"EN EJECUCIÓN","TERMINO")</f>
        <v>TERMINO</v>
      </c>
      <c r="AL263" s="313" t="s">
        <v>575</v>
      </c>
      <c r="AM263" s="176" t="s">
        <v>390</v>
      </c>
      <c r="AN263" s="875" t="str">
        <f>IFERROR(VLOOKUP(E263,'liquidaciones '!$B$2:$C$1048576,2,0),"NO")</f>
        <v>LIQUIDADO</v>
      </c>
      <c r="AO263" s="983">
        <f>IFERROR(VLOOKUP(E263,'liquidaciones '!$B$2:$I$1048576,8,0),"")</f>
        <v>0</v>
      </c>
      <c r="AP263" s="342"/>
      <c r="AQ263" s="177" t="str">
        <f t="shared" ca="1" si="51"/>
        <v>NO</v>
      </c>
      <c r="AR263" s="177" t="s">
        <v>1995</v>
      </c>
      <c r="AS263" s="438"/>
      <c r="AT263" s="1015"/>
    </row>
    <row r="264" spans="2:46" ht="47.25" customHeight="1" x14ac:dyDescent="0.25">
      <c r="B264" s="15">
        <v>258</v>
      </c>
      <c r="C264" s="442"/>
      <c r="D264" s="442" t="str">
        <f t="shared" si="53"/>
        <v>2014</v>
      </c>
      <c r="E264" s="895" t="s">
        <v>1492</v>
      </c>
      <c r="F264" s="893" t="s">
        <v>1493</v>
      </c>
      <c r="G264" s="895">
        <v>800085526</v>
      </c>
      <c r="H264" s="893" t="s">
        <v>1494</v>
      </c>
      <c r="I264" s="210">
        <v>300000000</v>
      </c>
      <c r="J264" s="134" t="s">
        <v>1088</v>
      </c>
      <c r="K264" s="298">
        <v>2014</v>
      </c>
      <c r="L264" s="551" t="s">
        <v>1088</v>
      </c>
      <c r="M264" s="894">
        <v>41989</v>
      </c>
      <c r="N264" s="894">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12"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4" t="s">
        <v>1128</v>
      </c>
      <c r="AG264" s="173"/>
      <c r="AH264" s="284" t="s">
        <v>560</v>
      </c>
      <c r="AI264" s="308"/>
      <c r="AJ264" s="308" t="s">
        <v>954</v>
      </c>
      <c r="AK264" s="181" t="str">
        <f t="shared" ca="1" si="60"/>
        <v>TERMINO</v>
      </c>
      <c r="AL264" s="313" t="s">
        <v>575</v>
      </c>
      <c r="AM264" s="176" t="s">
        <v>390</v>
      </c>
      <c r="AN264" s="875" t="str">
        <f>IFERROR(VLOOKUP(E264,'liquidaciones '!$B$2:$C$1048576,2,0),"NO")</f>
        <v>LIQUIDADO</v>
      </c>
      <c r="AO264" s="983">
        <f>IFERROR(VLOOKUP(E264,'liquidaciones '!$B$2:$I$1048576,8,0),"")</f>
        <v>0</v>
      </c>
      <c r="AP264" s="342"/>
      <c r="AQ264" s="177" t="str">
        <f t="shared" ca="1" si="51"/>
        <v>NO</v>
      </c>
      <c r="AR264" s="177" t="s">
        <v>2080</v>
      </c>
      <c r="AS264" s="438"/>
      <c r="AT264" s="1015"/>
    </row>
    <row r="265" spans="2:46" ht="56.25" x14ac:dyDescent="0.25">
      <c r="B265" s="15">
        <v>259</v>
      </c>
      <c r="C265" s="442"/>
      <c r="D265" s="442" t="str">
        <f t="shared" si="53"/>
        <v>2014</v>
      </c>
      <c r="E265" s="895" t="s">
        <v>1495</v>
      </c>
      <c r="F265" s="893" t="s">
        <v>1421</v>
      </c>
      <c r="G265" s="895">
        <v>830087030</v>
      </c>
      <c r="H265" s="893" t="s">
        <v>1496</v>
      </c>
      <c r="I265" s="210">
        <v>29997466</v>
      </c>
      <c r="J265" s="134" t="s">
        <v>1088</v>
      </c>
      <c r="K265" s="298">
        <v>2014</v>
      </c>
      <c r="L265" s="551" t="s">
        <v>1088</v>
      </c>
      <c r="M265" s="894">
        <v>41988</v>
      </c>
      <c r="N265" s="894">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12" t="s">
        <v>1497</v>
      </c>
      <c r="Y265" s="42">
        <f t="shared" si="56"/>
        <v>1</v>
      </c>
      <c r="Z265" s="42">
        <f t="shared" ca="1" si="57"/>
        <v>1</v>
      </c>
      <c r="AA265" s="43">
        <f t="shared" ca="1" si="58"/>
        <v>0</v>
      </c>
      <c r="AB265" s="202" t="str">
        <f t="shared" ca="1" si="59"/>
        <v/>
      </c>
      <c r="AC265" s="44" t="str">
        <f t="shared" si="50"/>
        <v>SI</v>
      </c>
      <c r="AD265" s="44"/>
      <c r="AE265" s="173" t="s">
        <v>1257</v>
      </c>
      <c r="AF265" s="284" t="s">
        <v>1131</v>
      </c>
      <c r="AG265" s="173" t="s">
        <v>1443</v>
      </c>
      <c r="AH265" s="284" t="s">
        <v>560</v>
      </c>
      <c r="AI265" s="308" t="s">
        <v>1380</v>
      </c>
      <c r="AJ265" s="308" t="s">
        <v>954</v>
      </c>
      <c r="AK265" s="181" t="str">
        <f t="shared" ca="1" si="60"/>
        <v>TERMINO</v>
      </c>
      <c r="AL265" s="313" t="s">
        <v>574</v>
      </c>
      <c r="AM265" s="176" t="s">
        <v>390</v>
      </c>
      <c r="AN265" s="875" t="str">
        <f>IFERROR(VLOOKUP(E265,'liquidaciones '!$B$2:$C$1048576,2,0),"NO")</f>
        <v>EN TRÁMITE</v>
      </c>
      <c r="AO265" s="983">
        <f>IFERROR(VLOOKUP(E265,'liquidaciones '!$B$2:$I$1048576,8,0),"")</f>
        <v>0</v>
      </c>
      <c r="AP265" s="342"/>
      <c r="AQ265" s="177" t="str">
        <f t="shared" ca="1" si="51"/>
        <v>NO</v>
      </c>
      <c r="AR265" s="177" t="s">
        <v>1511</v>
      </c>
      <c r="AS265" s="438"/>
      <c r="AT265" s="1015"/>
    </row>
    <row r="266" spans="2:46" ht="47.25" customHeight="1" x14ac:dyDescent="0.25">
      <c r="B266" s="15">
        <v>260</v>
      </c>
      <c r="C266" s="442"/>
      <c r="D266" s="442" t="str">
        <f t="shared" si="53"/>
        <v>2014</v>
      </c>
      <c r="E266" s="895" t="s">
        <v>1502</v>
      </c>
      <c r="F266" s="893" t="s">
        <v>1503</v>
      </c>
      <c r="G266" s="895">
        <v>830117370</v>
      </c>
      <c r="H266" s="893" t="s">
        <v>1504</v>
      </c>
      <c r="I266" s="210">
        <v>1624000</v>
      </c>
      <c r="J266" s="134" t="s">
        <v>1088</v>
      </c>
      <c r="K266" s="298">
        <v>2014</v>
      </c>
      <c r="L266" s="551" t="s">
        <v>1088</v>
      </c>
      <c r="M266" s="894">
        <v>42037</v>
      </c>
      <c r="N266" s="894">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12" t="s">
        <v>1506</v>
      </c>
      <c r="Y266" s="42">
        <f t="shared" si="56"/>
        <v>0</v>
      </c>
      <c r="Z266" s="42">
        <f t="shared" ca="1" si="57"/>
        <v>1</v>
      </c>
      <c r="AA266" s="43">
        <f t="shared" ca="1" si="58"/>
        <v>1</v>
      </c>
      <c r="AB266" s="202" t="str">
        <f t="shared" ca="1" si="59"/>
        <v/>
      </c>
      <c r="AC266" s="44" t="str">
        <f t="shared" si="50"/>
        <v>NO</v>
      </c>
      <c r="AD266" s="44"/>
      <c r="AE266" s="173" t="s">
        <v>1257</v>
      </c>
      <c r="AF266" s="284" t="s">
        <v>1505</v>
      </c>
      <c r="AG266" s="173" t="s">
        <v>1443</v>
      </c>
      <c r="AH266" s="284" t="s">
        <v>560</v>
      </c>
      <c r="AI266" s="308"/>
      <c r="AJ266" s="308" t="s">
        <v>954</v>
      </c>
      <c r="AK266" s="181" t="str">
        <f t="shared" ca="1" si="60"/>
        <v>TERMINO</v>
      </c>
      <c r="AL266" s="313" t="s">
        <v>576</v>
      </c>
      <c r="AM266" s="176" t="s">
        <v>390</v>
      </c>
      <c r="AN266" s="875" t="str">
        <f>IFERROR(VLOOKUP(E266,'liquidaciones '!$B$2:$C$1048576,2,0),"NO")</f>
        <v>EN TRÁMITE</v>
      </c>
      <c r="AO266" s="983">
        <f>IFERROR(VLOOKUP(E266,'liquidaciones '!$B$2:$I$1048576,8,0),"")</f>
        <v>0</v>
      </c>
      <c r="AP266" s="342"/>
      <c r="AQ266" s="177" t="str">
        <f t="shared" ca="1" si="51"/>
        <v>SI</v>
      </c>
      <c r="AR266" s="177" t="s">
        <v>1511</v>
      </c>
      <c r="AS266" s="438"/>
      <c r="AT266" s="1015"/>
    </row>
    <row r="267" spans="2:46" ht="47.25" customHeight="1" x14ac:dyDescent="0.25">
      <c r="B267" s="15">
        <v>261</v>
      </c>
      <c r="C267" s="442"/>
      <c r="D267" s="442" t="str">
        <f t="shared" si="53"/>
        <v>2014</v>
      </c>
      <c r="E267" s="355" t="s">
        <v>1517</v>
      </c>
      <c r="F267" s="893" t="s">
        <v>1518</v>
      </c>
      <c r="G267" s="895">
        <v>900335488</v>
      </c>
      <c r="H267" s="893" t="s">
        <v>1519</v>
      </c>
      <c r="I267" s="210">
        <v>64621280</v>
      </c>
      <c r="J267" s="134" t="s">
        <v>1088</v>
      </c>
      <c r="K267" s="298">
        <v>2014</v>
      </c>
      <c r="L267" s="551" t="s">
        <v>1088</v>
      </c>
      <c r="M267" s="894">
        <v>42045</v>
      </c>
      <c r="N267" s="894">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12"/>
      <c r="Y267" s="42">
        <f t="shared" si="56"/>
        <v>1</v>
      </c>
      <c r="Z267" s="42">
        <f t="shared" ca="1" si="57"/>
        <v>1</v>
      </c>
      <c r="AA267" s="43">
        <f t="shared" ca="1" si="58"/>
        <v>0</v>
      </c>
      <c r="AB267" s="202" t="str">
        <f t="shared" ca="1" si="59"/>
        <v/>
      </c>
      <c r="AC267" s="44" t="str">
        <f t="shared" si="50"/>
        <v>SI</v>
      </c>
      <c r="AD267" s="44"/>
      <c r="AE267" s="173" t="s">
        <v>1258</v>
      </c>
      <c r="AF267" s="284" t="s">
        <v>1520</v>
      </c>
      <c r="AG267" s="173" t="s">
        <v>1432</v>
      </c>
      <c r="AH267" s="284" t="s">
        <v>560</v>
      </c>
      <c r="AI267" s="308" t="s">
        <v>2167</v>
      </c>
      <c r="AJ267" s="308" t="s">
        <v>954</v>
      </c>
      <c r="AK267" s="181" t="str">
        <f t="shared" ca="1" si="60"/>
        <v>TERMINO</v>
      </c>
      <c r="AL267" s="313" t="s">
        <v>574</v>
      </c>
      <c r="AM267" s="176" t="s">
        <v>390</v>
      </c>
      <c r="AN267" s="875" t="str">
        <f>IFERROR(VLOOKUP(E267,'liquidaciones '!$B$2:$C$1048576,2,0),"NO")</f>
        <v>LIQUIDADO</v>
      </c>
      <c r="AO267" s="983">
        <f>IFERROR(VLOOKUP(E267,'liquidaciones '!$B$2:$I$1048576,8,0),"")</f>
        <v>0</v>
      </c>
      <c r="AP267" s="342"/>
      <c r="AQ267" s="177" t="str">
        <f t="shared" ca="1" si="51"/>
        <v>SI</v>
      </c>
      <c r="AR267" s="177" t="s">
        <v>2395</v>
      </c>
      <c r="AS267" s="438"/>
      <c r="AT267" s="1015"/>
    </row>
    <row r="268" spans="2:46" ht="47.25" customHeight="1" x14ac:dyDescent="0.25">
      <c r="B268" s="15">
        <v>262</v>
      </c>
      <c r="C268" s="442"/>
      <c r="D268" s="442" t="str">
        <f t="shared" si="53"/>
        <v>2014</v>
      </c>
      <c r="E268" s="895" t="s">
        <v>1521</v>
      </c>
      <c r="F268" s="893" t="s">
        <v>1522</v>
      </c>
      <c r="G268" s="895">
        <v>899999035</v>
      </c>
      <c r="H268" s="893" t="s">
        <v>1523</v>
      </c>
      <c r="I268" s="210">
        <v>300000000</v>
      </c>
      <c r="J268" s="134" t="s">
        <v>1088</v>
      </c>
      <c r="K268" s="298">
        <v>2014</v>
      </c>
      <c r="L268" s="1020" t="s">
        <v>3813</v>
      </c>
      <c r="M268" s="894">
        <v>42002</v>
      </c>
      <c r="N268" s="894">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6" t="s">
        <v>1524</v>
      </c>
      <c r="Y268" s="42">
        <f t="shared" si="56"/>
        <v>0.5</v>
      </c>
      <c r="Z268" s="42">
        <f t="shared" ca="1" si="57"/>
        <v>0.61117196056955092</v>
      </c>
      <c r="AA268" s="43">
        <f t="shared" ca="1" si="58"/>
        <v>0.11117196056955092</v>
      </c>
      <c r="AB268" s="202">
        <f t="shared" ca="1" si="59"/>
        <v>710</v>
      </c>
      <c r="AC268" s="44" t="str">
        <f t="shared" si="50"/>
        <v>NO</v>
      </c>
      <c r="AD268" s="44"/>
      <c r="AE268" s="173" t="s">
        <v>1257</v>
      </c>
      <c r="AF268" s="284" t="s">
        <v>1525</v>
      </c>
      <c r="AG268" s="173" t="s">
        <v>1436</v>
      </c>
      <c r="AH268" s="284" t="s">
        <v>560</v>
      </c>
      <c r="AI268" s="308"/>
      <c r="AJ268" s="308" t="s">
        <v>954</v>
      </c>
      <c r="AK268" s="181" t="str">
        <f t="shared" ca="1" si="60"/>
        <v>EN EJECUCIÓN</v>
      </c>
      <c r="AL268" s="313" t="s">
        <v>582</v>
      </c>
      <c r="AM268" s="176" t="s">
        <v>390</v>
      </c>
      <c r="AN268" s="875" t="str">
        <f>IFERROR(VLOOKUP(E268,'liquidaciones '!$B$2:$C$1048576,2,0),"NO")</f>
        <v>NO</v>
      </c>
      <c r="AO268" s="983" t="str">
        <f>IFERROR(VLOOKUP(E268,'liquidaciones '!$B$2:$I$1048576,8,0),"")</f>
        <v/>
      </c>
      <c r="AP268" s="342"/>
      <c r="AQ268" s="177" t="str">
        <f t="shared" ca="1" si="51"/>
        <v>SI</v>
      </c>
      <c r="AR268" s="177" t="s">
        <v>2996</v>
      </c>
      <c r="AS268" s="438"/>
      <c r="AT268" s="1018" t="s">
        <v>3754</v>
      </c>
    </row>
    <row r="269" spans="2:46" ht="47.25" customHeight="1" x14ac:dyDescent="0.25">
      <c r="B269" s="15">
        <v>263</v>
      </c>
      <c r="C269" s="442"/>
      <c r="D269" s="442" t="str">
        <f t="shared" si="53"/>
        <v>2014</v>
      </c>
      <c r="E269" s="355" t="s">
        <v>1526</v>
      </c>
      <c r="F269" s="984" t="s">
        <v>1361</v>
      </c>
      <c r="G269" s="895">
        <v>860353110</v>
      </c>
      <c r="H269" s="893" t="s">
        <v>1527</v>
      </c>
      <c r="I269" s="210">
        <v>137450000</v>
      </c>
      <c r="J269" s="134" t="s">
        <v>2259</v>
      </c>
      <c r="K269" s="298">
        <v>2014</v>
      </c>
      <c r="L269" s="551" t="s">
        <v>1088</v>
      </c>
      <c r="M269" s="894">
        <v>42018</v>
      </c>
      <c r="N269" s="894">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12"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4" t="s">
        <v>1529</v>
      </c>
      <c r="AG269" s="173" t="s">
        <v>1440</v>
      </c>
      <c r="AH269" s="284" t="s">
        <v>560</v>
      </c>
      <c r="AI269" s="308" t="s">
        <v>1510</v>
      </c>
      <c r="AJ269" s="308" t="s">
        <v>954</v>
      </c>
      <c r="AK269" s="181" t="str">
        <f t="shared" ca="1" si="60"/>
        <v>TERMINO</v>
      </c>
      <c r="AL269" s="313" t="s">
        <v>575</v>
      </c>
      <c r="AM269" s="176" t="s">
        <v>390</v>
      </c>
      <c r="AN269" s="875" t="str">
        <f>IFERROR(VLOOKUP(E269,'liquidaciones '!$B$2:$C$1048576,2,0),"NO")</f>
        <v>LIQUIDADO</v>
      </c>
      <c r="AO269" s="983">
        <f>IFERROR(VLOOKUP(E269,'liquidaciones '!$B$2:$I$1048576,8,0),"")</f>
        <v>0</v>
      </c>
      <c r="AP269" s="342"/>
      <c r="AQ269" s="177" t="str">
        <f t="shared" ca="1" si="51"/>
        <v>SI</v>
      </c>
      <c r="AR269" s="177" t="s">
        <v>1995</v>
      </c>
      <c r="AS269" s="438"/>
      <c r="AT269" s="1015"/>
    </row>
    <row r="270" spans="2:46" ht="47.25" customHeight="1" x14ac:dyDescent="0.25">
      <c r="B270" s="15">
        <v>264</v>
      </c>
      <c r="C270" s="442"/>
      <c r="D270" s="442" t="str">
        <f t="shared" si="53"/>
        <v>2014</v>
      </c>
      <c r="E270" s="355" t="s">
        <v>1530</v>
      </c>
      <c r="F270" s="893" t="s">
        <v>1531</v>
      </c>
      <c r="G270" s="895">
        <v>830075011</v>
      </c>
      <c r="H270" s="893" t="s">
        <v>1532</v>
      </c>
      <c r="I270" s="210">
        <v>249210000</v>
      </c>
      <c r="J270" s="134" t="s">
        <v>2279</v>
      </c>
      <c r="K270" s="298">
        <v>2014</v>
      </c>
      <c r="L270" s="551" t="s">
        <v>1088</v>
      </c>
      <c r="M270" s="894">
        <v>42017</v>
      </c>
      <c r="N270" s="894">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12" t="s">
        <v>1533</v>
      </c>
      <c r="Y270" s="42">
        <f t="shared" si="56"/>
        <v>1</v>
      </c>
      <c r="Z270" s="42">
        <f t="shared" ca="1" si="57"/>
        <v>1</v>
      </c>
      <c r="AA270" s="43">
        <f t="shared" ca="1" si="58"/>
        <v>0</v>
      </c>
      <c r="AB270" s="202" t="str">
        <f t="shared" ca="1" si="59"/>
        <v/>
      </c>
      <c r="AC270" s="44" t="str">
        <f t="shared" si="50"/>
        <v>SI</v>
      </c>
      <c r="AD270" s="44"/>
      <c r="AE270" s="173" t="s">
        <v>1257</v>
      </c>
      <c r="AF270" s="284" t="s">
        <v>1534</v>
      </c>
      <c r="AG270" s="173" t="s">
        <v>1431</v>
      </c>
      <c r="AH270" s="284" t="s">
        <v>564</v>
      </c>
      <c r="AI270" s="174" t="s">
        <v>2172</v>
      </c>
      <c r="AJ270" s="308" t="s">
        <v>954</v>
      </c>
      <c r="AK270" s="181" t="str">
        <f t="shared" ca="1" si="60"/>
        <v>TERMINO</v>
      </c>
      <c r="AL270" s="313" t="s">
        <v>575</v>
      </c>
      <c r="AM270" s="176" t="s">
        <v>390</v>
      </c>
      <c r="AN270" s="875" t="str">
        <f>IFERROR(VLOOKUP(E270,'liquidaciones '!$B$2:$C$1048576,2,0),"NO")</f>
        <v>LIQUIDADO</v>
      </c>
      <c r="AO270" s="983">
        <f>IFERROR(VLOOKUP(E270,'liquidaciones '!$B$2:$I$1048576,8,0),"")</f>
        <v>0</v>
      </c>
      <c r="AP270" s="342"/>
      <c r="AQ270" s="177" t="str">
        <f t="shared" ca="1" si="51"/>
        <v>SI</v>
      </c>
      <c r="AR270" s="177" t="s">
        <v>2080</v>
      </c>
      <c r="AS270" s="438"/>
      <c r="AT270" s="1015"/>
    </row>
    <row r="271" spans="2:46" ht="47.25" customHeight="1" x14ac:dyDescent="0.25">
      <c r="B271" s="15">
        <v>265</v>
      </c>
      <c r="C271" s="442">
        <v>135</v>
      </c>
      <c r="D271" s="442" t="str">
        <f t="shared" si="53"/>
        <v>2015135</v>
      </c>
      <c r="E271" s="949" t="s">
        <v>1538</v>
      </c>
      <c r="F271" s="893" t="s">
        <v>2025</v>
      </c>
      <c r="G271" s="895">
        <v>19335623</v>
      </c>
      <c r="H271" s="893" t="s">
        <v>1003</v>
      </c>
      <c r="I271" s="210">
        <v>84000000</v>
      </c>
      <c r="J271" s="731" t="s">
        <v>1538</v>
      </c>
      <c r="K271" s="298">
        <v>2015</v>
      </c>
      <c r="L271" s="551">
        <v>42027</v>
      </c>
      <c r="M271" s="894">
        <v>42031</v>
      </c>
      <c r="N271" s="894">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12" t="s">
        <v>1533</v>
      </c>
      <c r="Y271" s="42">
        <f t="shared" si="56"/>
        <v>1</v>
      </c>
      <c r="Z271" s="42">
        <f t="shared" ca="1" si="57"/>
        <v>1</v>
      </c>
      <c r="AA271" s="43">
        <f t="shared" ca="1" si="58"/>
        <v>0</v>
      </c>
      <c r="AB271" s="202" t="str">
        <f t="shared" ca="1" si="59"/>
        <v/>
      </c>
      <c r="AC271" s="44" t="str">
        <f t="shared" si="50"/>
        <v>SI</v>
      </c>
      <c r="AD271" s="765" t="str">
        <f>VLOOKUP(C271,[2]Hoja4!$A$2:$E$116,5,0)</f>
        <v>PRESTACION DE SERVICIOS1</v>
      </c>
      <c r="AE271" s="173" t="s">
        <v>1257</v>
      </c>
      <c r="AF271" s="173" t="s">
        <v>2174</v>
      </c>
      <c r="AG271" s="173" t="s">
        <v>1178</v>
      </c>
      <c r="AH271" s="284" t="s">
        <v>559</v>
      </c>
      <c r="AI271" s="308"/>
      <c r="AJ271" s="308" t="s">
        <v>954</v>
      </c>
      <c r="AK271" s="181" t="str">
        <f t="shared" ca="1" si="60"/>
        <v>TERMINO</v>
      </c>
      <c r="AL271" s="313" t="s">
        <v>582</v>
      </c>
      <c r="AM271" s="176" t="s">
        <v>391</v>
      </c>
      <c r="AN271" s="875" t="str">
        <f>IFERROR(VLOOKUP(E271,'liquidaciones '!$B$2:$C$1048576,2,0),"NO")</f>
        <v>LIQUIDADO</v>
      </c>
      <c r="AO271" s="983">
        <f>IFERROR(VLOOKUP(E271,'liquidaciones '!$B$2:$I$1048576,8,0),"")</f>
        <v>0</v>
      </c>
      <c r="AP271" s="342"/>
      <c r="AQ271" s="177" t="str">
        <f t="shared" ca="1" si="51"/>
        <v>SI</v>
      </c>
      <c r="AR271" s="177" t="s">
        <v>981</v>
      </c>
      <c r="AS271" s="438"/>
      <c r="AT271" s="1015"/>
    </row>
    <row r="272" spans="2:46" ht="47.25" customHeight="1" x14ac:dyDescent="0.25">
      <c r="B272" s="41">
        <v>266</v>
      </c>
      <c r="C272" s="442"/>
      <c r="D272" s="442" t="str">
        <f t="shared" si="53"/>
        <v>2014</v>
      </c>
      <c r="E272" s="355" t="s">
        <v>1539</v>
      </c>
      <c r="F272" s="893" t="s">
        <v>1540</v>
      </c>
      <c r="G272" s="895">
        <v>860012336</v>
      </c>
      <c r="H272" s="893" t="s">
        <v>1541</v>
      </c>
      <c r="I272" s="210">
        <v>4961088</v>
      </c>
      <c r="J272" s="705" t="s">
        <v>2090</v>
      </c>
      <c r="K272" s="298">
        <v>2014</v>
      </c>
      <c r="L272" s="551">
        <v>41971</v>
      </c>
      <c r="M272" s="894">
        <v>42178</v>
      </c>
      <c r="N272" s="894">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12" t="s">
        <v>1533</v>
      </c>
      <c r="Y272" s="42">
        <f t="shared" si="56"/>
        <v>1</v>
      </c>
      <c r="Z272" s="42">
        <f t="shared" ca="1" si="57"/>
        <v>1</v>
      </c>
      <c r="AA272" s="43">
        <f t="shared" ca="1" si="58"/>
        <v>0</v>
      </c>
      <c r="AB272" s="202" t="str">
        <f t="shared" ca="1" si="59"/>
        <v/>
      </c>
      <c r="AC272" s="44" t="str">
        <f t="shared" si="50"/>
        <v>SI</v>
      </c>
      <c r="AD272" s="44"/>
      <c r="AE272" s="173" t="s">
        <v>1257</v>
      </c>
      <c r="AF272" s="284" t="s">
        <v>1284</v>
      </c>
      <c r="AG272" s="173" t="s">
        <v>1436</v>
      </c>
      <c r="AH272" s="284" t="s">
        <v>560</v>
      </c>
      <c r="AI272" s="308" t="s">
        <v>1387</v>
      </c>
      <c r="AJ272" s="308" t="s">
        <v>954</v>
      </c>
      <c r="AK272" s="181" t="str">
        <f t="shared" ca="1" si="60"/>
        <v>TERMINO</v>
      </c>
      <c r="AL272" s="313" t="s">
        <v>573</v>
      </c>
      <c r="AM272" s="176" t="s">
        <v>390</v>
      </c>
      <c r="AN272" s="875" t="str">
        <f>IFERROR(VLOOKUP(E272,'liquidaciones '!$B$2:$C$1048576,2,0),"NO")</f>
        <v>LIQUIDADO</v>
      </c>
      <c r="AO272" s="983">
        <f>IFERROR(VLOOKUP(E272,'liquidaciones '!$B$2:$I$1048576,8,0),"")</f>
        <v>0</v>
      </c>
      <c r="AP272" s="342"/>
      <c r="AQ272" s="177" t="str">
        <f t="shared" ca="1" si="51"/>
        <v>SI</v>
      </c>
      <c r="AR272" s="177" t="s">
        <v>2080</v>
      </c>
      <c r="AS272" s="438"/>
      <c r="AT272" s="1015"/>
    </row>
    <row r="273" spans="2:46" ht="47.25" customHeight="1" x14ac:dyDescent="0.25">
      <c r="B273" s="15">
        <v>267</v>
      </c>
      <c r="C273" s="442"/>
      <c r="D273" s="442" t="str">
        <f t="shared" si="53"/>
        <v>2014</v>
      </c>
      <c r="E273" s="355" t="s">
        <v>3126</v>
      </c>
      <c r="F273" s="893" t="s">
        <v>1543</v>
      </c>
      <c r="G273" s="895">
        <v>900801132</v>
      </c>
      <c r="H273" s="893" t="s">
        <v>1544</v>
      </c>
      <c r="I273" s="210">
        <v>10075000</v>
      </c>
      <c r="J273" s="879" t="s">
        <v>2634</v>
      </c>
      <c r="K273" s="298">
        <v>2014</v>
      </c>
      <c r="L273" s="551" t="s">
        <v>1088</v>
      </c>
      <c r="M273" s="894">
        <v>42020</v>
      </c>
      <c r="N273" s="894">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12" t="s">
        <v>1548</v>
      </c>
      <c r="Y273" s="42">
        <f t="shared" si="56"/>
        <v>1</v>
      </c>
      <c r="Z273" s="42">
        <f t="shared" ca="1" si="57"/>
        <v>1</v>
      </c>
      <c r="AA273" s="43">
        <f t="shared" ca="1" si="58"/>
        <v>0</v>
      </c>
      <c r="AB273" s="202" t="str">
        <f t="shared" ca="1" si="59"/>
        <v/>
      </c>
      <c r="AC273" s="44" t="str">
        <f t="shared" si="50"/>
        <v>SI</v>
      </c>
      <c r="AD273" s="44"/>
      <c r="AE273" s="173" t="s">
        <v>1258</v>
      </c>
      <c r="AF273" s="284" t="s">
        <v>1547</v>
      </c>
      <c r="AG273" s="173" t="s">
        <v>1440</v>
      </c>
      <c r="AH273" s="284" t="s">
        <v>560</v>
      </c>
      <c r="AI273" s="308" t="s">
        <v>1510</v>
      </c>
      <c r="AJ273" s="308" t="s">
        <v>954</v>
      </c>
      <c r="AK273" s="181" t="str">
        <f t="shared" ca="1" si="60"/>
        <v>TERMINO</v>
      </c>
      <c r="AL273" s="313" t="s">
        <v>575</v>
      </c>
      <c r="AM273" s="176" t="s">
        <v>390</v>
      </c>
      <c r="AN273" s="875" t="str">
        <f>IFERROR(VLOOKUP(E273,'liquidaciones '!$B$2:$C$1048576,2,0),"NO")</f>
        <v>LIQUIDADO</v>
      </c>
      <c r="AO273" s="983">
        <f>IFERROR(VLOOKUP(E273,'liquidaciones '!$B$2:$I$1048576,8,0),"")</f>
        <v>0</v>
      </c>
      <c r="AP273" s="342"/>
      <c r="AQ273" s="177" t="str">
        <f t="shared" ca="1" si="51"/>
        <v>NO</v>
      </c>
      <c r="AR273" s="177" t="s">
        <v>1511</v>
      </c>
      <c r="AS273" s="438"/>
      <c r="AT273" s="1015"/>
    </row>
    <row r="274" spans="2:46" ht="47.25" customHeight="1" x14ac:dyDescent="0.25">
      <c r="B274" s="15">
        <v>268</v>
      </c>
      <c r="C274" s="442">
        <v>129</v>
      </c>
      <c r="D274" s="442" t="str">
        <f t="shared" si="53"/>
        <v>2015129</v>
      </c>
      <c r="E274" s="895" t="s">
        <v>1545</v>
      </c>
      <c r="F274" s="893" t="s">
        <v>1035</v>
      </c>
      <c r="G274" s="895">
        <v>4098836</v>
      </c>
      <c r="H274" s="893" t="s">
        <v>1546</v>
      </c>
      <c r="I274" s="210">
        <v>46068000</v>
      </c>
      <c r="J274" s="879" t="s">
        <v>1770</v>
      </c>
      <c r="K274" s="298">
        <v>2015</v>
      </c>
      <c r="L274" s="551">
        <v>42033</v>
      </c>
      <c r="M274" s="894">
        <v>42037</v>
      </c>
      <c r="N274" s="894">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12" t="s">
        <v>1533</v>
      </c>
      <c r="Y274" s="42">
        <f t="shared" si="56"/>
        <v>1</v>
      </c>
      <c r="Z274" s="42">
        <f t="shared" ca="1" si="57"/>
        <v>1</v>
      </c>
      <c r="AA274" s="43">
        <f t="shared" ca="1" si="58"/>
        <v>0</v>
      </c>
      <c r="AB274" s="202" t="str">
        <f t="shared" ca="1" si="59"/>
        <v/>
      </c>
      <c r="AC274" s="44" t="str">
        <f t="shared" si="50"/>
        <v>SI</v>
      </c>
      <c r="AD274" s="765" t="str">
        <f>VLOOKUP(C274,[2]Hoja4!$A$2:$E$116,5,0)</f>
        <v>PRESTACION DE SERVICIOS1</v>
      </c>
      <c r="AE274" s="173" t="s">
        <v>1257</v>
      </c>
      <c r="AF274" s="173" t="s">
        <v>2175</v>
      </c>
      <c r="AG274" s="173" t="s">
        <v>1178</v>
      </c>
      <c r="AH274" s="284" t="s">
        <v>559</v>
      </c>
      <c r="AI274" s="308"/>
      <c r="AJ274" s="308" t="s">
        <v>954</v>
      </c>
      <c r="AK274" s="181" t="str">
        <f t="shared" ca="1" si="60"/>
        <v>TERMINO</v>
      </c>
      <c r="AL274" s="313" t="s">
        <v>582</v>
      </c>
      <c r="AM274" s="176" t="s">
        <v>391</v>
      </c>
      <c r="AN274" s="875" t="str">
        <f>IFERROR(VLOOKUP(E274,'liquidaciones '!$B$2:$C$1048576,2,0),"NO")</f>
        <v>LIQUIDADO</v>
      </c>
      <c r="AO274" s="983">
        <f>IFERROR(VLOOKUP(E274,'liquidaciones '!$B$2:$I$1048576,8,0),"")</f>
        <v>0</v>
      </c>
      <c r="AP274" s="342"/>
      <c r="AQ274" s="177" t="str">
        <f t="shared" ca="1" si="51"/>
        <v>SI</v>
      </c>
      <c r="AR274" s="177" t="s">
        <v>981</v>
      </c>
      <c r="AS274" s="438"/>
      <c r="AT274" s="1015"/>
    </row>
    <row r="275" spans="2:46" ht="47.25" customHeight="1" x14ac:dyDescent="0.25">
      <c r="B275" s="15">
        <v>269</v>
      </c>
      <c r="C275" s="442"/>
      <c r="D275" s="442" t="str">
        <f t="shared" si="53"/>
        <v>2014</v>
      </c>
      <c r="E275" s="895" t="s">
        <v>1549</v>
      </c>
      <c r="F275" s="893" t="s">
        <v>3700</v>
      </c>
      <c r="G275" s="895">
        <v>860506170</v>
      </c>
      <c r="H275" s="893" t="s">
        <v>1550</v>
      </c>
      <c r="I275" s="210">
        <v>0</v>
      </c>
      <c r="J275" s="134" t="s">
        <v>1088</v>
      </c>
      <c r="K275" s="298">
        <v>2014</v>
      </c>
      <c r="L275" s="551" t="s">
        <v>1088</v>
      </c>
      <c r="M275" s="894">
        <v>41984</v>
      </c>
      <c r="N275" s="894">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12" t="s">
        <v>590</v>
      </c>
      <c r="Y275" s="42" t="e">
        <f t="shared" si="56"/>
        <v>#DIV/0!</v>
      </c>
      <c r="Z275" s="42">
        <f t="shared" ca="1" si="57"/>
        <v>1</v>
      </c>
      <c r="AA275" s="43" t="e">
        <f t="shared" ca="1" si="58"/>
        <v>#DIV/0!</v>
      </c>
      <c r="AB275" s="202" t="str">
        <f t="shared" ca="1" si="59"/>
        <v/>
      </c>
      <c r="AC275" s="44" t="e">
        <f t="shared" si="50"/>
        <v>#DIV/0!</v>
      </c>
      <c r="AD275" s="44"/>
      <c r="AE275" s="173"/>
      <c r="AF275" s="284" t="s">
        <v>1551</v>
      </c>
      <c r="AG275" s="173"/>
      <c r="AH275" s="284"/>
      <c r="AI275" s="308"/>
      <c r="AJ275" s="308" t="s">
        <v>1552</v>
      </c>
      <c r="AK275" s="181" t="str">
        <f t="shared" ca="1" si="60"/>
        <v>TERMINO</v>
      </c>
      <c r="AL275" s="313" t="s">
        <v>582</v>
      </c>
      <c r="AM275" s="176"/>
      <c r="AN275" s="875" t="str">
        <f>IFERROR(VLOOKUP(E275,'liquidaciones '!$B$2:$C$1048576,2,0),"NO")</f>
        <v>EN TRÁMITE</v>
      </c>
      <c r="AO275" s="983">
        <f>IFERROR(VLOOKUP(E275,'liquidaciones '!$B$2:$I$1048576,8,0),"")</f>
        <v>0</v>
      </c>
      <c r="AP275" s="342"/>
      <c r="AQ275" s="177" t="str">
        <f t="shared" ca="1" si="51"/>
        <v>NO</v>
      </c>
      <c r="AR275" s="177"/>
      <c r="AS275" s="438"/>
      <c r="AT275" s="1015"/>
    </row>
    <row r="276" spans="2:46" ht="47.25" customHeight="1" x14ac:dyDescent="0.25">
      <c r="B276" s="15">
        <v>270</v>
      </c>
      <c r="C276" s="442">
        <v>124</v>
      </c>
      <c r="D276" s="442" t="str">
        <f t="shared" si="53"/>
        <v>2015124</v>
      </c>
      <c r="E276" s="355" t="s">
        <v>1553</v>
      </c>
      <c r="F276" s="893" t="s">
        <v>1033</v>
      </c>
      <c r="G276" s="895">
        <v>51931422</v>
      </c>
      <c r="H276" s="893" t="s">
        <v>1554</v>
      </c>
      <c r="I276" s="210">
        <v>60000000</v>
      </c>
      <c r="J276" s="731" t="s">
        <v>1553</v>
      </c>
      <c r="K276" s="298">
        <v>2015</v>
      </c>
      <c r="L276" s="551">
        <v>42044</v>
      </c>
      <c r="M276" s="894">
        <v>42045</v>
      </c>
      <c r="N276" s="894">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12" t="s">
        <v>1095</v>
      </c>
      <c r="Y276" s="42">
        <f t="shared" si="56"/>
        <v>1</v>
      </c>
      <c r="Z276" s="42">
        <f t="shared" ca="1" si="57"/>
        <v>1</v>
      </c>
      <c r="AA276" s="43">
        <f t="shared" ca="1" si="58"/>
        <v>0</v>
      </c>
      <c r="AB276" s="202" t="str">
        <f t="shared" ca="1" si="59"/>
        <v/>
      </c>
      <c r="AC276" s="44" t="str">
        <f t="shared" si="50"/>
        <v>SI</v>
      </c>
      <c r="AD276" s="765" t="str">
        <f>VLOOKUP(C276,[2]Hoja4!$A$2:$E$116,5,0)</f>
        <v>PRESTACION DE SERVICIOS1</v>
      </c>
      <c r="AE276" s="173" t="s">
        <v>1257</v>
      </c>
      <c r="AF276" s="173" t="s">
        <v>2176</v>
      </c>
      <c r="AG276" s="173" t="s">
        <v>1178</v>
      </c>
      <c r="AH276" s="284" t="s">
        <v>559</v>
      </c>
      <c r="AI276" s="174"/>
      <c r="AJ276" s="308" t="s">
        <v>954</v>
      </c>
      <c r="AK276" s="181" t="str">
        <f t="shared" ca="1" si="60"/>
        <v>TERMINO</v>
      </c>
      <c r="AL276" s="181" t="s">
        <v>582</v>
      </c>
      <c r="AM276" s="176" t="s">
        <v>391</v>
      </c>
      <c r="AN276" s="875" t="str">
        <f>IFERROR(VLOOKUP(E276,'liquidaciones '!$B$2:$C$1048576,2,0),"NO")</f>
        <v>LIQUIDADO</v>
      </c>
      <c r="AO276" s="983">
        <f>IFERROR(VLOOKUP(E276,'liquidaciones '!$B$2:$I$1048576,8,0),"")</f>
        <v>0</v>
      </c>
      <c r="AP276" s="342"/>
      <c r="AQ276" s="177" t="str">
        <f t="shared" ca="1" si="51"/>
        <v>SI</v>
      </c>
      <c r="AR276" s="177" t="s">
        <v>981</v>
      </c>
      <c r="AS276" s="438"/>
      <c r="AT276" s="1015"/>
    </row>
    <row r="277" spans="2:46" ht="47.25" customHeight="1" x14ac:dyDescent="0.25">
      <c r="B277" s="15">
        <v>271</v>
      </c>
      <c r="C277" s="442">
        <v>137</v>
      </c>
      <c r="D277" s="442" t="str">
        <f t="shared" si="53"/>
        <v>2015137</v>
      </c>
      <c r="E277" s="355" t="s">
        <v>1555</v>
      </c>
      <c r="F277" s="893" t="s">
        <v>2018</v>
      </c>
      <c r="G277" s="895">
        <v>79799184</v>
      </c>
      <c r="H277" s="893" t="s">
        <v>1556</v>
      </c>
      <c r="I277" s="210">
        <v>63654000</v>
      </c>
      <c r="J277" s="731" t="s">
        <v>1555</v>
      </c>
      <c r="K277" s="298">
        <v>2015</v>
      </c>
      <c r="L277" s="551">
        <v>42044</v>
      </c>
      <c r="M277" s="894">
        <v>42045</v>
      </c>
      <c r="N277" s="894">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12" t="s">
        <v>1095</v>
      </c>
      <c r="Y277" s="42">
        <f t="shared" si="56"/>
        <v>0.47499978006095456</v>
      </c>
      <c r="Z277" s="42">
        <f t="shared" ca="1" si="57"/>
        <v>1</v>
      </c>
      <c r="AA277" s="43">
        <f t="shared" ca="1" si="58"/>
        <v>0.52500021993904544</v>
      </c>
      <c r="AB277" s="202" t="str">
        <f t="shared" ca="1" si="59"/>
        <v/>
      </c>
      <c r="AC277" s="44" t="str">
        <f t="shared" si="50"/>
        <v>NO</v>
      </c>
      <c r="AD277" s="765" t="str">
        <f>VLOOKUP(C277,[2]Hoja4!$A$2:$E$116,5,0)</f>
        <v>PRESTACION DE SERVICIOS1</v>
      </c>
      <c r="AE277" s="173" t="s">
        <v>1258</v>
      </c>
      <c r="AF277" s="173" t="s">
        <v>2177</v>
      </c>
      <c r="AG277" s="173" t="s">
        <v>1178</v>
      </c>
      <c r="AH277" s="284" t="s">
        <v>559</v>
      </c>
      <c r="AI277" s="174"/>
      <c r="AJ277" s="308" t="s">
        <v>954</v>
      </c>
      <c r="AK277" s="181" t="str">
        <f t="shared" ca="1" si="60"/>
        <v>TERMINO</v>
      </c>
      <c r="AL277" s="181" t="s">
        <v>582</v>
      </c>
      <c r="AM277" s="176" t="s">
        <v>391</v>
      </c>
      <c r="AN277" s="875" t="str">
        <f>IFERROR(VLOOKUP(E277,'liquidaciones '!$B$2:$C$1048576,2,0),"NO")</f>
        <v>LIQUIDADO</v>
      </c>
      <c r="AO277" s="983">
        <f>IFERROR(VLOOKUP(E277,'liquidaciones '!$B$2:$I$1048576,8,0),"")</f>
        <v>0</v>
      </c>
      <c r="AP277" s="342"/>
      <c r="AQ277" s="177" t="str">
        <f t="shared" ca="1" si="51"/>
        <v>SI</v>
      </c>
      <c r="AR277" s="177"/>
      <c r="AS277" s="438"/>
      <c r="AT277" s="1015"/>
    </row>
    <row r="278" spans="2:46" ht="47.25" customHeight="1" x14ac:dyDescent="0.25">
      <c r="B278" s="15">
        <v>272</v>
      </c>
      <c r="C278" s="442">
        <v>126</v>
      </c>
      <c r="D278" s="442" t="str">
        <f t="shared" si="53"/>
        <v>2015126</v>
      </c>
      <c r="E278" s="355" t="s">
        <v>1557</v>
      </c>
      <c r="F278" s="893" t="s">
        <v>1516</v>
      </c>
      <c r="G278" s="133">
        <v>80117116</v>
      </c>
      <c r="H278" s="893" t="s">
        <v>1578</v>
      </c>
      <c r="I278" s="210">
        <v>48000000</v>
      </c>
      <c r="J278" s="731" t="s">
        <v>1557</v>
      </c>
      <c r="K278" s="298">
        <v>2015</v>
      </c>
      <c r="L278" s="551">
        <v>42051</v>
      </c>
      <c r="M278" s="894">
        <v>42053</v>
      </c>
      <c r="N278" s="894">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12" t="s">
        <v>1095</v>
      </c>
      <c r="Y278" s="42">
        <f t="shared" si="56"/>
        <v>1</v>
      </c>
      <c r="Z278" s="42">
        <f t="shared" ca="1" si="57"/>
        <v>1</v>
      </c>
      <c r="AA278" s="43">
        <f t="shared" ca="1" si="58"/>
        <v>0</v>
      </c>
      <c r="AB278" s="202" t="str">
        <f t="shared" ca="1" si="59"/>
        <v/>
      </c>
      <c r="AC278" s="44" t="str">
        <f t="shared" si="50"/>
        <v>SI</v>
      </c>
      <c r="AD278" s="765" t="str">
        <f>VLOOKUP(C278,[2]Hoja4!$A$2:$E$116,5,0)</f>
        <v>PRESTACION DE SERVICIOS1</v>
      </c>
      <c r="AE278" s="173" t="s">
        <v>1257</v>
      </c>
      <c r="AF278" s="173" t="s">
        <v>2178</v>
      </c>
      <c r="AG278" s="173" t="s">
        <v>1431</v>
      </c>
      <c r="AH278" s="284" t="s">
        <v>564</v>
      </c>
      <c r="AI278" s="174" t="s">
        <v>2172</v>
      </c>
      <c r="AJ278" s="308" t="s">
        <v>954</v>
      </c>
      <c r="AK278" s="181" t="str">
        <f t="shared" ca="1" si="60"/>
        <v>TERMINO</v>
      </c>
      <c r="AL278" s="181" t="s">
        <v>582</v>
      </c>
      <c r="AM278" s="176" t="s">
        <v>391</v>
      </c>
      <c r="AN278" s="875" t="str">
        <f>IFERROR(VLOOKUP(E278,'liquidaciones '!$B$2:$C$1048576,2,0),"NO")</f>
        <v>LIQUIDADO</v>
      </c>
      <c r="AO278" s="983">
        <f>IFERROR(VLOOKUP(E278,'liquidaciones '!$B$2:$I$1048576,8,0),"")</f>
        <v>0</v>
      </c>
      <c r="AP278" s="342"/>
      <c r="AQ278" s="177" t="str">
        <f t="shared" ca="1" si="51"/>
        <v>SI</v>
      </c>
      <c r="AR278" s="177" t="s">
        <v>981</v>
      </c>
      <c r="AS278" s="438"/>
      <c r="AT278" s="1015"/>
    </row>
    <row r="279" spans="2:46" ht="47.25" customHeight="1" x14ac:dyDescent="0.25">
      <c r="B279" s="15">
        <v>273</v>
      </c>
      <c r="C279" s="442">
        <v>133</v>
      </c>
      <c r="D279" s="442" t="str">
        <f t="shared" si="53"/>
        <v>2015133</v>
      </c>
      <c r="E279" s="355" t="s">
        <v>1570</v>
      </c>
      <c r="F279" s="893" t="s">
        <v>1569</v>
      </c>
      <c r="G279" s="895">
        <v>41468417</v>
      </c>
      <c r="H279" s="893" t="s">
        <v>1563</v>
      </c>
      <c r="I279" s="210">
        <v>63654000</v>
      </c>
      <c r="J279" s="731" t="s">
        <v>1570</v>
      </c>
      <c r="K279" s="298">
        <v>2015</v>
      </c>
      <c r="L279" s="551">
        <v>42053</v>
      </c>
      <c r="M279" s="894">
        <v>42054</v>
      </c>
      <c r="N279" s="894">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12" t="s">
        <v>1095</v>
      </c>
      <c r="Y279" s="42">
        <f t="shared" si="56"/>
        <v>1</v>
      </c>
      <c r="Z279" s="42">
        <f t="shared" ca="1" si="57"/>
        <v>1</v>
      </c>
      <c r="AA279" s="43">
        <f t="shared" ca="1" si="58"/>
        <v>0</v>
      </c>
      <c r="AB279" s="202" t="str">
        <f t="shared" ca="1" si="59"/>
        <v/>
      </c>
      <c r="AC279" s="44" t="str">
        <f t="shared" si="50"/>
        <v>SI</v>
      </c>
      <c r="AD279" s="765" t="str">
        <f>VLOOKUP(C279,[2]Hoja4!$A$2:$E$116,5,0)</f>
        <v>PRESTACION DE SERVICIOS1</v>
      </c>
      <c r="AE279" s="173" t="s">
        <v>1257</v>
      </c>
      <c r="AF279" s="173" t="s">
        <v>2179</v>
      </c>
      <c r="AG279" s="173" t="s">
        <v>1178</v>
      </c>
      <c r="AH279" s="284" t="s">
        <v>559</v>
      </c>
      <c r="AI279" s="174"/>
      <c r="AJ279" s="308" t="s">
        <v>954</v>
      </c>
      <c r="AK279" s="181" t="str">
        <f t="shared" ca="1" si="60"/>
        <v>TERMINO</v>
      </c>
      <c r="AL279" s="181" t="s">
        <v>582</v>
      </c>
      <c r="AM279" s="176" t="s">
        <v>391</v>
      </c>
      <c r="AN279" s="875" t="str">
        <f>IFERROR(VLOOKUP(E279,'liquidaciones '!$B$2:$C$1048576,2,0),"NO")</f>
        <v>LIQUIDADO</v>
      </c>
      <c r="AO279" s="983">
        <f>IFERROR(VLOOKUP(E279,'liquidaciones '!$B$2:$I$1048576,8,0),"")</f>
        <v>0</v>
      </c>
      <c r="AP279" s="342"/>
      <c r="AQ279" s="177" t="str">
        <f t="shared" ca="1" si="51"/>
        <v>SI</v>
      </c>
      <c r="AR279" s="177" t="s">
        <v>2080</v>
      </c>
      <c r="AS279" s="438"/>
      <c r="AT279" s="1015"/>
    </row>
    <row r="280" spans="2:46" ht="47.25" customHeight="1" x14ac:dyDescent="0.25">
      <c r="B280" s="15">
        <v>274</v>
      </c>
      <c r="C280" s="442">
        <v>130</v>
      </c>
      <c r="D280" s="442" t="str">
        <f t="shared" si="53"/>
        <v>2015130</v>
      </c>
      <c r="E280" s="355" t="s">
        <v>1611</v>
      </c>
      <c r="F280" s="893" t="s">
        <v>2393</v>
      </c>
      <c r="G280" s="895">
        <v>74323767</v>
      </c>
      <c r="H280" s="893" t="s">
        <v>1558</v>
      </c>
      <c r="I280" s="210">
        <v>60000000</v>
      </c>
      <c r="J280" s="731" t="s">
        <v>1611</v>
      </c>
      <c r="K280" s="298">
        <v>2015</v>
      </c>
      <c r="L280" s="551">
        <v>42052</v>
      </c>
      <c r="M280" s="894">
        <v>42054</v>
      </c>
      <c r="N280" s="894">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12" t="s">
        <v>1095</v>
      </c>
      <c r="Y280" s="42">
        <f t="shared" si="56"/>
        <v>1</v>
      </c>
      <c r="Z280" s="42">
        <f t="shared" ca="1" si="57"/>
        <v>1</v>
      </c>
      <c r="AA280" s="43">
        <f t="shared" ca="1" si="58"/>
        <v>0</v>
      </c>
      <c r="AB280" s="202" t="str">
        <f t="shared" ca="1" si="59"/>
        <v/>
      </c>
      <c r="AC280" s="44" t="str">
        <f t="shared" si="50"/>
        <v>SI</v>
      </c>
      <c r="AD280" s="765" t="str">
        <f>VLOOKUP(C280,[2]Hoja4!$A$2:$E$116,5,0)</f>
        <v>PRESTACION DE SERVICIOS1</v>
      </c>
      <c r="AE280" s="173" t="s">
        <v>1257</v>
      </c>
      <c r="AF280" s="173" t="s">
        <v>2180</v>
      </c>
      <c r="AG280" s="173" t="s">
        <v>1178</v>
      </c>
      <c r="AH280" s="284" t="s">
        <v>559</v>
      </c>
      <c r="AI280" s="174"/>
      <c r="AJ280" s="308" t="s">
        <v>954</v>
      </c>
      <c r="AK280" s="181" t="str">
        <f t="shared" ca="1" si="60"/>
        <v>TERMINO</v>
      </c>
      <c r="AL280" s="181" t="s">
        <v>582</v>
      </c>
      <c r="AM280" s="176" t="s">
        <v>391</v>
      </c>
      <c r="AN280" s="875" t="str">
        <f>IFERROR(VLOOKUP(E280,'liquidaciones '!$B$2:$C$1048576,2,0),"NO")</f>
        <v>LIQUIDADO</v>
      </c>
      <c r="AO280" s="983">
        <f>IFERROR(VLOOKUP(E280,'liquidaciones '!$B$2:$I$1048576,8,0),"")</f>
        <v>0</v>
      </c>
      <c r="AP280" s="342"/>
      <c r="AQ280" s="177" t="str">
        <f t="shared" ca="1" si="51"/>
        <v>SI</v>
      </c>
      <c r="AR280" s="177" t="s">
        <v>2080</v>
      </c>
      <c r="AS280" s="438"/>
      <c r="AT280" s="1015"/>
    </row>
    <row r="281" spans="2:46" ht="47.25" customHeight="1" x14ac:dyDescent="0.25">
      <c r="B281" s="15">
        <v>275</v>
      </c>
      <c r="C281" s="442">
        <v>136</v>
      </c>
      <c r="D281" s="442" t="str">
        <f t="shared" si="53"/>
        <v>2015136</v>
      </c>
      <c r="E281" s="355" t="s">
        <v>1560</v>
      </c>
      <c r="F281" s="893" t="s">
        <v>1070</v>
      </c>
      <c r="G281" s="895">
        <v>1073156298</v>
      </c>
      <c r="H281" s="893" t="s">
        <v>1562</v>
      </c>
      <c r="I281" s="210">
        <v>43260000</v>
      </c>
      <c r="J281" s="731" t="s">
        <v>1560</v>
      </c>
      <c r="K281" s="298">
        <v>2015</v>
      </c>
      <c r="L281" s="551">
        <v>42054</v>
      </c>
      <c r="M281" s="894">
        <v>42060</v>
      </c>
      <c r="N281" s="894">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12" t="s">
        <v>1095</v>
      </c>
      <c r="Y281" s="42">
        <f t="shared" si="56"/>
        <v>1</v>
      </c>
      <c r="Z281" s="42">
        <f t="shared" ca="1" si="57"/>
        <v>1</v>
      </c>
      <c r="AA281" s="43">
        <f t="shared" ca="1" si="58"/>
        <v>0</v>
      </c>
      <c r="AB281" s="202" t="str">
        <f t="shared" ca="1" si="59"/>
        <v/>
      </c>
      <c r="AC281" s="44" t="str">
        <f t="shared" si="50"/>
        <v>SI</v>
      </c>
      <c r="AD281" s="765" t="str">
        <f>VLOOKUP(C281,[2]Hoja4!$A$2:$E$116,5,0)</f>
        <v>PRESTACION DE SERVICIOS1</v>
      </c>
      <c r="AE281" s="173" t="s">
        <v>1257</v>
      </c>
      <c r="AF281" s="173" t="s">
        <v>2181</v>
      </c>
      <c r="AG281" s="173" t="s">
        <v>1178</v>
      </c>
      <c r="AH281" s="284" t="s">
        <v>559</v>
      </c>
      <c r="AI281" s="174"/>
      <c r="AJ281" s="308" t="s">
        <v>954</v>
      </c>
      <c r="AK281" s="181" t="str">
        <f t="shared" ca="1" si="60"/>
        <v>TERMINO</v>
      </c>
      <c r="AL281" s="181" t="s">
        <v>582</v>
      </c>
      <c r="AM281" s="176" t="s">
        <v>391</v>
      </c>
      <c r="AN281" s="875" t="str">
        <f>IFERROR(VLOOKUP(E281,'liquidaciones '!$B$2:$C$1048576,2,0),"NO")</f>
        <v>LIQUIDADO</v>
      </c>
      <c r="AO281" s="983">
        <f>IFERROR(VLOOKUP(E281,'liquidaciones '!$B$2:$I$1048576,8,0),"")</f>
        <v>0</v>
      </c>
      <c r="AP281" s="342"/>
      <c r="AQ281" s="177" t="str">
        <f t="shared" ca="1" si="51"/>
        <v>SI</v>
      </c>
      <c r="AR281" s="177" t="s">
        <v>2080</v>
      </c>
      <c r="AS281" s="438"/>
      <c r="AT281" s="1015"/>
    </row>
    <row r="282" spans="2:46" ht="47.25" customHeight="1" x14ac:dyDescent="0.25">
      <c r="B282" s="15">
        <v>276</v>
      </c>
      <c r="C282" s="442">
        <v>125</v>
      </c>
      <c r="D282" s="442" t="str">
        <f t="shared" si="53"/>
        <v>2015125</v>
      </c>
      <c r="E282" s="355" t="s">
        <v>1561</v>
      </c>
      <c r="F282" s="893" t="s">
        <v>2443</v>
      </c>
      <c r="G282" s="895">
        <v>52967877</v>
      </c>
      <c r="H282" s="893" t="s">
        <v>1559</v>
      </c>
      <c r="I282" s="210">
        <v>63654000</v>
      </c>
      <c r="J282" s="731" t="s">
        <v>1561</v>
      </c>
      <c r="K282" s="298">
        <v>2015</v>
      </c>
      <c r="L282" s="551">
        <v>42054</v>
      </c>
      <c r="M282" s="894">
        <v>42060</v>
      </c>
      <c r="N282" s="894">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12" t="s">
        <v>1095</v>
      </c>
      <c r="Y282" s="42">
        <f t="shared" si="56"/>
        <v>0.98611111634775506</v>
      </c>
      <c r="Z282" s="42">
        <f t="shared" ca="1" si="57"/>
        <v>1</v>
      </c>
      <c r="AA282" s="43">
        <f t="shared" ca="1" si="58"/>
        <v>1.3888883652244943E-2</v>
      </c>
      <c r="AB282" s="202" t="str">
        <f t="shared" ca="1" si="59"/>
        <v/>
      </c>
      <c r="AC282" s="44" t="str">
        <f t="shared" si="50"/>
        <v>NO</v>
      </c>
      <c r="AD282" s="765" t="str">
        <f>VLOOKUP(C282,[2]Hoja4!$A$2:$E$116,5,0)</f>
        <v>PRESTACION DE SERVICIOS1</v>
      </c>
      <c r="AE282" s="173" t="s">
        <v>1257</v>
      </c>
      <c r="AF282" s="173" t="s">
        <v>2180</v>
      </c>
      <c r="AG282" s="173" t="s">
        <v>1178</v>
      </c>
      <c r="AH282" s="284" t="s">
        <v>559</v>
      </c>
      <c r="AI282" s="174"/>
      <c r="AJ282" s="308" t="s">
        <v>954</v>
      </c>
      <c r="AK282" s="181" t="str">
        <f t="shared" ca="1" si="60"/>
        <v>TERMINO</v>
      </c>
      <c r="AL282" s="181" t="s">
        <v>582</v>
      </c>
      <c r="AM282" s="176" t="s">
        <v>391</v>
      </c>
      <c r="AN282" s="875" t="str">
        <f>IFERROR(VLOOKUP(E282,'liquidaciones '!$B$2:$C$1048576,2,0),"NO")</f>
        <v>LIQUIDADO</v>
      </c>
      <c r="AO282" s="983">
        <f>IFERROR(VLOOKUP(E282,'liquidaciones '!$B$2:$I$1048576,8,0),"")</f>
        <v>0</v>
      </c>
      <c r="AP282" s="342"/>
      <c r="AQ282" s="177" t="str">
        <f t="shared" ca="1" si="51"/>
        <v>SI</v>
      </c>
      <c r="AR282" s="177" t="s">
        <v>2080</v>
      </c>
      <c r="AS282" s="438"/>
      <c r="AT282" s="1015"/>
    </row>
    <row r="283" spans="2:46" ht="47.25" customHeight="1" x14ac:dyDescent="0.25">
      <c r="B283" s="15">
        <v>277</v>
      </c>
      <c r="C283" s="442">
        <v>132</v>
      </c>
      <c r="D283" s="442" t="str">
        <f t="shared" si="53"/>
        <v>2015132</v>
      </c>
      <c r="E283" s="355" t="s">
        <v>1579</v>
      </c>
      <c r="F283" s="893" t="s">
        <v>1580</v>
      </c>
      <c r="G283" s="895">
        <v>28557652</v>
      </c>
      <c r="H283" s="893" t="s">
        <v>1581</v>
      </c>
      <c r="I283" s="210">
        <v>30900000</v>
      </c>
      <c r="J283" s="731" t="s">
        <v>1579</v>
      </c>
      <c r="K283" s="298">
        <v>2015</v>
      </c>
      <c r="L283" s="551">
        <v>42055</v>
      </c>
      <c r="M283" s="894">
        <v>42065</v>
      </c>
      <c r="N283" s="894">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12" t="s">
        <v>1095</v>
      </c>
      <c r="Y283" s="42">
        <f t="shared" si="56"/>
        <v>1</v>
      </c>
      <c r="Z283" s="42">
        <f t="shared" ca="1" si="57"/>
        <v>1</v>
      </c>
      <c r="AA283" s="43">
        <f t="shared" ca="1" si="58"/>
        <v>0</v>
      </c>
      <c r="AB283" s="202" t="str">
        <f t="shared" ca="1" si="59"/>
        <v/>
      </c>
      <c r="AC283" s="44" t="str">
        <f t="shared" si="50"/>
        <v>SI</v>
      </c>
      <c r="AD283" s="765" t="str">
        <f>VLOOKUP(C283,[2]Hoja4!$A$2:$E$116,5,0)</f>
        <v>PRESTACION DE SERVICIOS1</v>
      </c>
      <c r="AE283" s="173" t="s">
        <v>1257</v>
      </c>
      <c r="AF283" s="173" t="s">
        <v>2182</v>
      </c>
      <c r="AG283" s="173" t="s">
        <v>1431</v>
      </c>
      <c r="AH283" s="284" t="s">
        <v>564</v>
      </c>
      <c r="AI283" s="308"/>
      <c r="AJ283" s="308" t="s">
        <v>954</v>
      </c>
      <c r="AK283" s="181" t="str">
        <f t="shared" ca="1" si="60"/>
        <v>TERMINO</v>
      </c>
      <c r="AL283" s="181" t="s">
        <v>582</v>
      </c>
      <c r="AM283" s="176" t="s">
        <v>391</v>
      </c>
      <c r="AN283" s="875" t="str">
        <f>IFERROR(VLOOKUP(E283,'liquidaciones '!$B$2:$C$1048576,2,0),"NO")</f>
        <v>LIQUIDADO</v>
      </c>
      <c r="AO283" s="983">
        <f>IFERROR(VLOOKUP(E283,'liquidaciones '!$B$2:$I$1048576,8,0),"")</f>
        <v>0</v>
      </c>
      <c r="AP283" s="342"/>
      <c r="AQ283" s="177" t="str">
        <f t="shared" ca="1" si="51"/>
        <v>SI</v>
      </c>
      <c r="AR283" s="177" t="s">
        <v>981</v>
      </c>
      <c r="AS283" s="438"/>
      <c r="AT283" s="1015"/>
    </row>
    <row r="284" spans="2:46" ht="47.25" customHeight="1" x14ac:dyDescent="0.25">
      <c r="B284" s="15">
        <v>278</v>
      </c>
      <c r="C284" s="442">
        <v>162</v>
      </c>
      <c r="D284" s="442" t="str">
        <f t="shared" si="53"/>
        <v>2015162</v>
      </c>
      <c r="E284" s="895" t="s">
        <v>1582</v>
      </c>
      <c r="F284" s="893" t="s">
        <v>3</v>
      </c>
      <c r="G284" s="133">
        <v>830095213</v>
      </c>
      <c r="H284" s="893" t="s">
        <v>402</v>
      </c>
      <c r="I284" s="210">
        <v>444600000</v>
      </c>
      <c r="J284" s="704"/>
      <c r="K284" s="298">
        <v>2015</v>
      </c>
      <c r="L284" s="551"/>
      <c r="M284" s="894">
        <v>42064</v>
      </c>
      <c r="N284" s="894">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12"/>
      <c r="Y284" s="42">
        <f t="shared" si="56"/>
        <v>0.82172098965362128</v>
      </c>
      <c r="Z284" s="42">
        <f t="shared" ca="1" si="57"/>
        <v>1</v>
      </c>
      <c r="AA284" s="43">
        <f t="shared" ca="1" si="58"/>
        <v>0.17827901034637872</v>
      </c>
      <c r="AB284" s="202" t="str">
        <f t="shared" ca="1" si="59"/>
        <v/>
      </c>
      <c r="AC284" s="44" t="str">
        <f t="shared" si="50"/>
        <v>NO</v>
      </c>
      <c r="AD284" s="765" t="str">
        <f>VLOOKUP(C284,[2]Hoja4!$A$2:$E$116,5,0)</f>
        <v>SUMINISTRO</v>
      </c>
      <c r="AE284" s="173" t="s">
        <v>1257</v>
      </c>
      <c r="AF284" s="284" t="s">
        <v>1140</v>
      </c>
      <c r="AG284" s="173" t="s">
        <v>1443</v>
      </c>
      <c r="AH284" s="284" t="s">
        <v>560</v>
      </c>
      <c r="AI284" s="308" t="s">
        <v>1320</v>
      </c>
      <c r="AJ284" s="308" t="s">
        <v>954</v>
      </c>
      <c r="AK284" s="181" t="str">
        <f t="shared" ca="1" si="60"/>
        <v>TERMINO</v>
      </c>
      <c r="AL284" s="313"/>
      <c r="AM284" s="176"/>
      <c r="AN284" s="875" t="str">
        <f>IFERROR(VLOOKUP(E284,'liquidaciones '!$B$2:$C$1048576,2,0),"NO")</f>
        <v>DEVUELTO</v>
      </c>
      <c r="AO284" s="983" t="str">
        <f>IFERROR(VLOOKUP(E284,'liquidaciones '!$B$2:$I$1048576,8,0),"")</f>
        <v>JULIETH ANGARITA</v>
      </c>
      <c r="AP284" s="342"/>
      <c r="AQ284" s="177" t="str">
        <f t="shared" ca="1" si="51"/>
        <v>SI</v>
      </c>
      <c r="AR284" s="177" t="s">
        <v>1511</v>
      </c>
      <c r="AS284" s="438"/>
      <c r="AT284" s="1015"/>
    </row>
    <row r="285" spans="2:46" ht="47.25" customHeight="1" x14ac:dyDescent="0.25">
      <c r="B285" s="15">
        <v>279</v>
      </c>
      <c r="C285" s="442">
        <v>128</v>
      </c>
      <c r="D285" s="442" t="str">
        <f t="shared" si="53"/>
        <v>2015128</v>
      </c>
      <c r="E285" s="355" t="s">
        <v>1583</v>
      </c>
      <c r="F285" s="893" t="s">
        <v>1034</v>
      </c>
      <c r="G285" s="895">
        <v>79887061</v>
      </c>
      <c r="H285" s="893" t="s">
        <v>1612</v>
      </c>
      <c r="I285" s="210">
        <v>38400000</v>
      </c>
      <c r="J285" s="731" t="s">
        <v>1583</v>
      </c>
      <c r="K285" s="298">
        <v>2015</v>
      </c>
      <c r="L285" s="551">
        <v>42062</v>
      </c>
      <c r="M285" s="894">
        <v>42073</v>
      </c>
      <c r="N285" s="894">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12" t="s">
        <v>1095</v>
      </c>
      <c r="Y285" s="42">
        <f t="shared" si="56"/>
        <v>1</v>
      </c>
      <c r="Z285" s="42">
        <f t="shared" ca="1" si="57"/>
        <v>1</v>
      </c>
      <c r="AA285" s="43">
        <f t="shared" ca="1" si="58"/>
        <v>0</v>
      </c>
      <c r="AB285" s="202" t="str">
        <f t="shared" ca="1" si="59"/>
        <v/>
      </c>
      <c r="AC285" s="44" t="str">
        <f t="shared" si="50"/>
        <v>SI</v>
      </c>
      <c r="AD285" s="765" t="str">
        <f>VLOOKUP(C285,[2]Hoja4!$A$2:$E$116,5,0)</f>
        <v>PRESTACION DE SERVICIOS1</v>
      </c>
      <c r="AE285" s="173" t="s">
        <v>1257</v>
      </c>
      <c r="AF285" s="173" t="s">
        <v>2183</v>
      </c>
      <c r="AG285" s="173" t="s">
        <v>1440</v>
      </c>
      <c r="AH285" s="284" t="s">
        <v>560</v>
      </c>
      <c r="AI285" s="308" t="s">
        <v>1510</v>
      </c>
      <c r="AJ285" s="308" t="s">
        <v>954</v>
      </c>
      <c r="AK285" s="181" t="str">
        <f t="shared" ca="1" si="60"/>
        <v>TERMINO</v>
      </c>
      <c r="AL285" s="181" t="s">
        <v>582</v>
      </c>
      <c r="AM285" s="176" t="s">
        <v>391</v>
      </c>
      <c r="AN285" s="875" t="str">
        <f>IFERROR(VLOOKUP(E285,'liquidaciones '!$B$2:$C$1048576,2,0),"NO")</f>
        <v>LIQUIDADO</v>
      </c>
      <c r="AO285" s="983">
        <f>IFERROR(VLOOKUP(E285,'liquidaciones '!$B$2:$I$1048576,8,0),"")</f>
        <v>0</v>
      </c>
      <c r="AP285" s="342"/>
      <c r="AQ285" s="177" t="str">
        <f t="shared" ca="1" si="51"/>
        <v>SI</v>
      </c>
      <c r="AR285" s="177" t="s">
        <v>981</v>
      </c>
      <c r="AS285" s="438"/>
      <c r="AT285" s="1015"/>
    </row>
    <row r="286" spans="2:46" ht="47.25" customHeight="1" x14ac:dyDescent="0.25">
      <c r="B286" s="15">
        <v>280</v>
      </c>
      <c r="C286" s="442">
        <v>127</v>
      </c>
      <c r="D286" s="442" t="str">
        <f t="shared" si="53"/>
        <v>2015127</v>
      </c>
      <c r="E286" s="355" t="s">
        <v>1584</v>
      </c>
      <c r="F286" s="893" t="s">
        <v>1585</v>
      </c>
      <c r="G286" s="895">
        <v>53124369</v>
      </c>
      <c r="H286" s="893" t="s">
        <v>1586</v>
      </c>
      <c r="I286" s="210">
        <v>78000000</v>
      </c>
      <c r="J286" s="731" t="s">
        <v>1584</v>
      </c>
      <c r="K286" s="298">
        <v>2015</v>
      </c>
      <c r="L286" s="551">
        <v>42066</v>
      </c>
      <c r="M286" s="894">
        <v>42066</v>
      </c>
      <c r="N286" s="894">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12" t="s">
        <v>1095</v>
      </c>
      <c r="Y286" s="42">
        <f t="shared" si="56"/>
        <v>1</v>
      </c>
      <c r="Z286" s="42">
        <f t="shared" ca="1" si="57"/>
        <v>1</v>
      </c>
      <c r="AA286" s="43">
        <f t="shared" ca="1" si="58"/>
        <v>0</v>
      </c>
      <c r="AB286" s="202" t="str">
        <f t="shared" ca="1" si="59"/>
        <v/>
      </c>
      <c r="AC286" s="44" t="str">
        <f t="shared" si="50"/>
        <v>SI</v>
      </c>
      <c r="AD286" s="765" t="str">
        <f>VLOOKUP(C286,[2]Hoja4!$A$2:$E$116,5,0)</f>
        <v>PRESTACION DE SERVICIOS1</v>
      </c>
      <c r="AE286" s="173" t="s">
        <v>1257</v>
      </c>
      <c r="AF286" s="173" t="s">
        <v>1972</v>
      </c>
      <c r="AG286" s="173" t="s">
        <v>1438</v>
      </c>
      <c r="AH286" s="284" t="s">
        <v>561</v>
      </c>
      <c r="AI286" s="308"/>
      <c r="AJ286" s="308" t="s">
        <v>954</v>
      </c>
      <c r="AK286" s="181" t="str">
        <f t="shared" ca="1" si="60"/>
        <v>TERMINO</v>
      </c>
      <c r="AL286" s="313" t="s">
        <v>582</v>
      </c>
      <c r="AM286" s="176" t="s">
        <v>391</v>
      </c>
      <c r="AN286" s="875" t="str">
        <f>IFERROR(VLOOKUP(E286,'liquidaciones '!$B$2:$C$1048576,2,0),"NO")</f>
        <v>LIQUIDADO</v>
      </c>
      <c r="AO286" s="983">
        <f>IFERROR(VLOOKUP(E286,'liquidaciones '!$B$2:$I$1048576,8,0),"")</f>
        <v>0</v>
      </c>
      <c r="AP286" s="342"/>
      <c r="AQ286" s="177" t="str">
        <f t="shared" ca="1" si="51"/>
        <v>SI</v>
      </c>
      <c r="AR286" s="177" t="s">
        <v>1511</v>
      </c>
      <c r="AS286" s="438"/>
      <c r="AT286" s="1015"/>
    </row>
    <row r="287" spans="2:46" ht="47.25" customHeight="1" x14ac:dyDescent="0.25">
      <c r="B287" s="15">
        <v>281</v>
      </c>
      <c r="C287" s="442">
        <v>131</v>
      </c>
      <c r="D287" s="442" t="str">
        <f t="shared" si="53"/>
        <v>2015131</v>
      </c>
      <c r="E287" s="355" t="s">
        <v>1587</v>
      </c>
      <c r="F287" s="893" t="s">
        <v>1588</v>
      </c>
      <c r="G287" s="895">
        <v>51961125</v>
      </c>
      <c r="H287" s="893" t="s">
        <v>1075</v>
      </c>
      <c r="I287" s="210">
        <v>30900000</v>
      </c>
      <c r="J287" s="731" t="s">
        <v>1587</v>
      </c>
      <c r="K287" s="298">
        <v>2015</v>
      </c>
      <c r="L287" s="551">
        <v>42066</v>
      </c>
      <c r="M287" s="894">
        <v>42073</v>
      </c>
      <c r="N287" s="894">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12" t="s">
        <v>1095</v>
      </c>
      <c r="Y287" s="42">
        <f t="shared" si="56"/>
        <v>1</v>
      </c>
      <c r="Z287" s="42">
        <f t="shared" ca="1" si="57"/>
        <v>1</v>
      </c>
      <c r="AA287" s="43">
        <f t="shared" ca="1" si="58"/>
        <v>0</v>
      </c>
      <c r="AB287" s="202" t="str">
        <f t="shared" ca="1" si="59"/>
        <v/>
      </c>
      <c r="AC287" s="44" t="str">
        <f t="shared" ref="AC287:AC318" si="61">IF(Y287&lt;=99.9%,"NO","SI")</f>
        <v>SI</v>
      </c>
      <c r="AD287" s="765" t="str">
        <f>VLOOKUP(C287,[2]Hoja4!$A$2:$E$116,5,0)</f>
        <v>PRESTACION DE SERVICIOS1</v>
      </c>
      <c r="AE287" s="173" t="s">
        <v>1257</v>
      </c>
      <c r="AF287" s="173" t="s">
        <v>2184</v>
      </c>
      <c r="AG287" s="173" t="s">
        <v>1178</v>
      </c>
      <c r="AH287" s="284" t="s">
        <v>559</v>
      </c>
      <c r="AI287" s="308"/>
      <c r="AJ287" s="308" t="s">
        <v>954</v>
      </c>
      <c r="AK287" s="181" t="str">
        <f t="shared" ca="1" si="60"/>
        <v>TERMINO</v>
      </c>
      <c r="AL287" s="313" t="s">
        <v>582</v>
      </c>
      <c r="AM287" s="176" t="s">
        <v>391</v>
      </c>
      <c r="AN287" s="875" t="str">
        <f>IFERROR(VLOOKUP(E287,'liquidaciones '!$B$2:$C$1048576,2,0),"NO")</f>
        <v>LIQUIDADO</v>
      </c>
      <c r="AO287" s="983">
        <f>IFERROR(VLOOKUP(E287,'liquidaciones '!$B$2:$I$1048576,8,0),"")</f>
        <v>0</v>
      </c>
      <c r="AP287" s="342"/>
      <c r="AQ287" s="177" t="str">
        <f t="shared" ref="AQ287:AQ318" ca="1" si="62">IF((TODAY()-T287&lt;900),"SI","NO")</f>
        <v>SI</v>
      </c>
      <c r="AR287" s="177" t="s">
        <v>2080</v>
      </c>
      <c r="AS287" s="438"/>
      <c r="AT287" s="1015"/>
    </row>
    <row r="288" spans="2:46" ht="47.25" customHeight="1" x14ac:dyDescent="0.25">
      <c r="B288" s="15">
        <v>282</v>
      </c>
      <c r="C288" s="442">
        <v>68</v>
      </c>
      <c r="D288" s="442" t="str">
        <f t="shared" si="53"/>
        <v>201568</v>
      </c>
      <c r="E288" s="355" t="s">
        <v>1606</v>
      </c>
      <c r="F288" s="893" t="s">
        <v>1339</v>
      </c>
      <c r="G288" s="895">
        <v>899999115</v>
      </c>
      <c r="H288" s="893" t="s">
        <v>1607</v>
      </c>
      <c r="I288" s="210">
        <v>150000000</v>
      </c>
      <c r="J288" s="731" t="s">
        <v>1606</v>
      </c>
      <c r="K288" s="298">
        <v>2015</v>
      </c>
      <c r="L288" s="551">
        <v>42066</v>
      </c>
      <c r="M288" s="894">
        <v>42090</v>
      </c>
      <c r="N288" s="894">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12" t="s">
        <v>1608</v>
      </c>
      <c r="Y288" s="42">
        <f t="shared" si="56"/>
        <v>1</v>
      </c>
      <c r="Z288" s="42">
        <f t="shared" ca="1" si="57"/>
        <v>1</v>
      </c>
      <c r="AA288" s="43">
        <f t="shared" ca="1" si="58"/>
        <v>0</v>
      </c>
      <c r="AB288" s="202" t="str">
        <f t="shared" ca="1" si="59"/>
        <v/>
      </c>
      <c r="AC288" s="44" t="str">
        <f t="shared" si="61"/>
        <v>SI</v>
      </c>
      <c r="AD288" s="765" t="str">
        <f>VLOOKUP(C288,[2]Hoja4!$A$2:$E$116,5,0)</f>
        <v>PRESTACION DE SERVICIOS</v>
      </c>
      <c r="AE288" s="173" t="s">
        <v>1258</v>
      </c>
      <c r="AF288" s="284" t="s">
        <v>1609</v>
      </c>
      <c r="AG288" s="173" t="s">
        <v>1440</v>
      </c>
      <c r="AH288" s="284" t="s">
        <v>560</v>
      </c>
      <c r="AI288" s="308" t="s">
        <v>1510</v>
      </c>
      <c r="AJ288" s="308" t="s">
        <v>954</v>
      </c>
      <c r="AK288" s="181" t="str">
        <f t="shared" ca="1" si="60"/>
        <v>TERMINO</v>
      </c>
      <c r="AL288" s="313" t="s">
        <v>582</v>
      </c>
      <c r="AM288" s="176" t="s">
        <v>390</v>
      </c>
      <c r="AN288" s="875" t="str">
        <f>IFERROR(VLOOKUP(E288,'liquidaciones '!$B$2:$C$1048576,2,0),"NO")</f>
        <v>EN TRÁMITE</v>
      </c>
      <c r="AO288" s="983">
        <f>IFERROR(VLOOKUP(E288,'liquidaciones '!$B$2:$I$1048576,8,0),"")</f>
        <v>0</v>
      </c>
      <c r="AP288" s="342"/>
      <c r="AQ288" s="177" t="str">
        <f t="shared" ca="1" si="62"/>
        <v>SI</v>
      </c>
      <c r="AR288" s="177" t="s">
        <v>1995</v>
      </c>
      <c r="AS288" s="438"/>
      <c r="AT288" s="1015"/>
    </row>
    <row r="289" spans="2:46" ht="58.5" customHeight="1" x14ac:dyDescent="0.25">
      <c r="B289" s="15">
        <v>283</v>
      </c>
      <c r="C289" s="442"/>
      <c r="D289" s="442" t="str">
        <f t="shared" si="53"/>
        <v>2015</v>
      </c>
      <c r="E289" s="895" t="s">
        <v>1589</v>
      </c>
      <c r="F289" s="893" t="s">
        <v>1590</v>
      </c>
      <c r="G289" s="895">
        <v>800018165</v>
      </c>
      <c r="H289" s="893" t="s">
        <v>1591</v>
      </c>
      <c r="I289" s="210">
        <v>0</v>
      </c>
      <c r="J289" s="705" t="s">
        <v>2091</v>
      </c>
      <c r="K289" s="298">
        <v>2015</v>
      </c>
      <c r="L289" s="551">
        <v>42068</v>
      </c>
      <c r="M289" s="894"/>
      <c r="N289" s="894"/>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12" t="s">
        <v>590</v>
      </c>
      <c r="Y289" s="42" t="e">
        <f t="shared" si="56"/>
        <v>#DIV/0!</v>
      </c>
      <c r="Z289" s="42" t="e">
        <f t="shared" ca="1" si="57"/>
        <v>#DIV/0!</v>
      </c>
      <c r="AA289" s="43" t="e">
        <f t="shared" ca="1" si="58"/>
        <v>#DIV/0!</v>
      </c>
      <c r="AB289" s="202" t="e">
        <f t="shared" ca="1" si="59"/>
        <v>#DIV/0!</v>
      </c>
      <c r="AC289" s="44" t="e">
        <f t="shared" si="61"/>
        <v>#DIV/0!</v>
      </c>
      <c r="AD289" s="765" t="e">
        <f>VLOOKUP(C289,[2]Hoja4!$A$2:$E$116,5,0)</f>
        <v>#N/A</v>
      </c>
      <c r="AE289" s="173" t="s">
        <v>1257</v>
      </c>
      <c r="AF289" s="284" t="s">
        <v>1592</v>
      </c>
      <c r="AG289" s="173"/>
      <c r="AH289" s="284"/>
      <c r="AI289" s="308"/>
      <c r="AJ289" s="308" t="s">
        <v>1593</v>
      </c>
      <c r="AK289" s="181" t="str">
        <f t="shared" ca="1" si="60"/>
        <v>TERMINO</v>
      </c>
      <c r="AL289" s="313" t="s">
        <v>573</v>
      </c>
      <c r="AM289" s="176" t="s">
        <v>390</v>
      </c>
      <c r="AN289" s="875" t="str">
        <f>IFERROR(VLOOKUP(E289,'liquidaciones '!$B$2:$C$1048576,2,0),"NO")</f>
        <v>NO</v>
      </c>
      <c r="AO289" s="983" t="str">
        <f>IFERROR(VLOOKUP(E289,'liquidaciones '!$B$2:$I$1048576,8,0),"")</f>
        <v/>
      </c>
      <c r="AP289" s="342"/>
      <c r="AQ289" s="177" t="str">
        <f t="shared" ca="1" si="62"/>
        <v>NO</v>
      </c>
      <c r="AR289" s="177"/>
      <c r="AS289" s="438"/>
      <c r="AT289" s="1015"/>
    </row>
    <row r="290" spans="2:46" ht="47.25" customHeight="1" x14ac:dyDescent="0.25">
      <c r="B290" s="15">
        <v>284</v>
      </c>
      <c r="C290" s="442">
        <v>143</v>
      </c>
      <c r="D290" s="442" t="str">
        <f t="shared" si="53"/>
        <v>2015143</v>
      </c>
      <c r="E290" s="895" t="s">
        <v>1595</v>
      </c>
      <c r="F290" s="893" t="s">
        <v>1031</v>
      </c>
      <c r="G290" s="895">
        <v>800249557</v>
      </c>
      <c r="H290" s="893" t="s">
        <v>1596</v>
      </c>
      <c r="I290" s="210">
        <v>4100000</v>
      </c>
      <c r="J290" s="705" t="s">
        <v>1595</v>
      </c>
      <c r="K290" s="298">
        <v>2015</v>
      </c>
      <c r="L290" s="551">
        <v>42080</v>
      </c>
      <c r="M290" s="894">
        <v>42088</v>
      </c>
      <c r="N290" s="894">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12" t="s">
        <v>1108</v>
      </c>
      <c r="Y290" s="42">
        <f t="shared" si="56"/>
        <v>1</v>
      </c>
      <c r="Z290" s="42">
        <f t="shared" ca="1" si="57"/>
        <v>1</v>
      </c>
      <c r="AA290" s="43">
        <f t="shared" ca="1" si="58"/>
        <v>0</v>
      </c>
      <c r="AB290" s="202" t="str">
        <f t="shared" ca="1" si="59"/>
        <v/>
      </c>
      <c r="AC290" s="44" t="str">
        <f t="shared" si="61"/>
        <v>SI</v>
      </c>
      <c r="AD290" s="765" t="str">
        <f>VLOOKUP(C290,[2]Hoja4!$A$2:$E$116,5,0)</f>
        <v>SUSCRIPCION</v>
      </c>
      <c r="AE290" s="173" t="s">
        <v>1257</v>
      </c>
      <c r="AF290" s="284" t="s">
        <v>1292</v>
      </c>
      <c r="AG290" s="173" t="s">
        <v>1431</v>
      </c>
      <c r="AH290" s="284" t="s">
        <v>564</v>
      </c>
      <c r="AI290" s="308"/>
      <c r="AJ290" s="308" t="s">
        <v>954</v>
      </c>
      <c r="AK290" s="181" t="str">
        <f t="shared" ca="1" si="60"/>
        <v>TERMINO</v>
      </c>
      <c r="AL290" s="181" t="s">
        <v>582</v>
      </c>
      <c r="AM290" s="176" t="s">
        <v>391</v>
      </c>
      <c r="AN290" s="875" t="str">
        <f>IFERROR(VLOOKUP(E290,'liquidaciones '!$B$2:$C$1048576,2,0),"NO")</f>
        <v>EN TRÁMITE</v>
      </c>
      <c r="AO290" s="983">
        <f>IFERROR(VLOOKUP(E290,'liquidaciones '!$B$2:$I$1048576,8,0),"")</f>
        <v>0</v>
      </c>
      <c r="AP290" s="342">
        <v>42304</v>
      </c>
      <c r="AQ290" s="177" t="str">
        <f t="shared" ca="1" si="62"/>
        <v>SI</v>
      </c>
      <c r="AR290" s="177" t="s">
        <v>1511</v>
      </c>
      <c r="AS290" s="438"/>
      <c r="AT290" s="1015"/>
    </row>
    <row r="291" spans="2:46" ht="47.25" customHeight="1" x14ac:dyDescent="0.25">
      <c r="B291" s="15">
        <v>285</v>
      </c>
      <c r="C291" s="442">
        <v>141</v>
      </c>
      <c r="D291" s="442" t="str">
        <f t="shared" si="53"/>
        <v>2015141</v>
      </c>
      <c r="E291" s="355" t="s">
        <v>1597</v>
      </c>
      <c r="F291" s="893" t="s">
        <v>86</v>
      </c>
      <c r="G291" s="895">
        <v>860001022</v>
      </c>
      <c r="H291" s="893" t="s">
        <v>511</v>
      </c>
      <c r="I291" s="210">
        <v>1226994</v>
      </c>
      <c r="J291" s="731" t="s">
        <v>1597</v>
      </c>
      <c r="K291" s="298">
        <v>2015</v>
      </c>
      <c r="L291" s="551">
        <v>42080</v>
      </c>
      <c r="M291" s="894">
        <v>42082</v>
      </c>
      <c r="N291" s="894">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12" t="s">
        <v>1108</v>
      </c>
      <c r="Y291" s="42">
        <f t="shared" si="56"/>
        <v>1</v>
      </c>
      <c r="Z291" s="42">
        <f t="shared" ca="1" si="57"/>
        <v>1</v>
      </c>
      <c r="AA291" s="43">
        <f t="shared" ca="1" si="58"/>
        <v>0</v>
      </c>
      <c r="AB291" s="202" t="str">
        <f t="shared" ca="1" si="59"/>
        <v/>
      </c>
      <c r="AC291" s="44" t="str">
        <f t="shared" si="61"/>
        <v>SI</v>
      </c>
      <c r="AD291" s="765" t="str">
        <f>VLOOKUP(C291,[2]Hoja4!$A$2:$E$116,5,0)</f>
        <v>SUSCRIPCION</v>
      </c>
      <c r="AE291" s="173" t="s">
        <v>1257</v>
      </c>
      <c r="AF291" s="284" t="s">
        <v>1126</v>
      </c>
      <c r="AG291" s="173" t="s">
        <v>1431</v>
      </c>
      <c r="AH291" s="284" t="s">
        <v>564</v>
      </c>
      <c r="AI291" s="308"/>
      <c r="AJ291" s="308" t="s">
        <v>954</v>
      </c>
      <c r="AK291" s="181" t="str">
        <f t="shared" ca="1" si="60"/>
        <v>TERMINO</v>
      </c>
      <c r="AL291" s="313" t="s">
        <v>582</v>
      </c>
      <c r="AM291" s="176" t="s">
        <v>390</v>
      </c>
      <c r="AN291" s="875" t="str">
        <f>IFERROR(VLOOKUP(E291,'liquidaciones '!$B$2:$C$1048576,2,0),"NO")</f>
        <v>LIQUIDADO</v>
      </c>
      <c r="AO291" s="983">
        <f>IFERROR(VLOOKUP(E291,'liquidaciones '!$B$2:$I$1048576,8,0),"")</f>
        <v>0</v>
      </c>
      <c r="AP291" s="342"/>
      <c r="AQ291" s="177" t="str">
        <f t="shared" ca="1" si="62"/>
        <v>SI</v>
      </c>
      <c r="AR291" s="177" t="s">
        <v>1511</v>
      </c>
      <c r="AS291" s="438"/>
      <c r="AT291" s="1015"/>
    </row>
    <row r="292" spans="2:46" ht="47.25" customHeight="1" x14ac:dyDescent="0.25">
      <c r="B292" s="15">
        <v>286</v>
      </c>
      <c r="C292" s="442"/>
      <c r="D292" s="442" t="str">
        <f t="shared" si="53"/>
        <v>2015</v>
      </c>
      <c r="E292" s="355" t="s">
        <v>1601</v>
      </c>
      <c r="F292" s="893" t="s">
        <v>1602</v>
      </c>
      <c r="G292" s="895">
        <v>900175316</v>
      </c>
      <c r="H292" s="893" t="s">
        <v>1603</v>
      </c>
      <c r="I292" s="210">
        <v>334080000</v>
      </c>
      <c r="J292" s="705" t="s">
        <v>1980</v>
      </c>
      <c r="K292" s="298">
        <v>2015</v>
      </c>
      <c r="L292" s="551">
        <v>42082</v>
      </c>
      <c r="M292" s="894">
        <v>42104</v>
      </c>
      <c r="N292" s="894">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12" t="s">
        <v>1604</v>
      </c>
      <c r="Y292" s="42">
        <f t="shared" si="56"/>
        <v>1</v>
      </c>
      <c r="Z292" s="42">
        <f t="shared" ca="1" si="57"/>
        <v>1</v>
      </c>
      <c r="AA292" s="43">
        <f t="shared" ca="1" si="58"/>
        <v>0</v>
      </c>
      <c r="AB292" s="202" t="str">
        <f t="shared" ca="1" si="59"/>
        <v/>
      </c>
      <c r="AC292" s="44" t="str">
        <f t="shared" si="61"/>
        <v>SI</v>
      </c>
      <c r="AD292" s="765" t="e">
        <f>VLOOKUP(C292,[2]Hoja4!$A$2:$E$116,5,0)</f>
        <v>#N/A</v>
      </c>
      <c r="AE292" s="173" t="s">
        <v>1257</v>
      </c>
      <c r="AF292" s="284" t="s">
        <v>1605</v>
      </c>
      <c r="AG292" s="173" t="s">
        <v>1440</v>
      </c>
      <c r="AH292" s="284" t="s">
        <v>560</v>
      </c>
      <c r="AI292" s="308" t="s">
        <v>1510</v>
      </c>
      <c r="AJ292" s="308" t="s">
        <v>954</v>
      </c>
      <c r="AK292" s="181" t="str">
        <f t="shared" ca="1" si="60"/>
        <v>TERMINO</v>
      </c>
      <c r="AL292" s="313" t="s">
        <v>580</v>
      </c>
      <c r="AM292" s="176" t="s">
        <v>390</v>
      </c>
      <c r="AN292" s="875" t="str">
        <f>IFERROR(VLOOKUP(E292,'liquidaciones '!$B$2:$C$1048576,2,0),"NO")</f>
        <v>EN TRÁMITE</v>
      </c>
      <c r="AO292" s="983">
        <f>IFERROR(VLOOKUP(E292,'liquidaciones '!$B$2:$I$1048576,8,0),"")</f>
        <v>0</v>
      </c>
      <c r="AP292" s="342"/>
      <c r="AQ292" s="177" t="str">
        <f t="shared" ca="1" si="62"/>
        <v>SI</v>
      </c>
      <c r="AR292" s="177" t="s">
        <v>2395</v>
      </c>
      <c r="AS292" s="438"/>
      <c r="AT292" s="1015"/>
    </row>
    <row r="293" spans="2:46" ht="47.25" customHeight="1" x14ac:dyDescent="0.25">
      <c r="B293" s="15">
        <v>287</v>
      </c>
      <c r="C293" s="442">
        <v>152</v>
      </c>
      <c r="D293" s="442" t="str">
        <f t="shared" si="53"/>
        <v>2015152</v>
      </c>
      <c r="E293" s="355" t="s">
        <v>1613</v>
      </c>
      <c r="F293" s="893" t="s">
        <v>1614</v>
      </c>
      <c r="G293" s="895">
        <v>80852726</v>
      </c>
      <c r="H293" s="893" t="s">
        <v>1615</v>
      </c>
      <c r="I293" s="210">
        <v>7442000</v>
      </c>
      <c r="J293" s="705" t="s">
        <v>1744</v>
      </c>
      <c r="K293" s="298">
        <v>2015</v>
      </c>
      <c r="L293" s="551">
        <v>42082</v>
      </c>
      <c r="M293" s="894">
        <v>42111</v>
      </c>
      <c r="N293" s="894">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6" t="s">
        <v>1616</v>
      </c>
      <c r="Y293" s="42">
        <f t="shared" si="56"/>
        <v>0.70532115022843322</v>
      </c>
      <c r="Z293" s="42">
        <f t="shared" ca="1" si="57"/>
        <v>1</v>
      </c>
      <c r="AA293" s="43">
        <f t="shared" ca="1" si="58"/>
        <v>0.29467884977156678</v>
      </c>
      <c r="AB293" s="202" t="str">
        <f t="shared" ca="1" si="59"/>
        <v/>
      </c>
      <c r="AC293" s="44" t="str">
        <f t="shared" si="61"/>
        <v>NO</v>
      </c>
      <c r="AD293" s="765" t="str">
        <f>VLOOKUP(C293,[2]Hoja4!$A$2:$E$116,5,0)</f>
        <v>PRESTACION DE SERVICIOS</v>
      </c>
      <c r="AE293" s="173" t="s">
        <v>1257</v>
      </c>
      <c r="AF293" s="304" t="s">
        <v>1172</v>
      </c>
      <c r="AG293" s="173" t="s">
        <v>1443</v>
      </c>
      <c r="AH293" s="284" t="s">
        <v>560</v>
      </c>
      <c r="AI293" s="174" t="s">
        <v>1381</v>
      </c>
      <c r="AJ293" s="308" t="s">
        <v>954</v>
      </c>
      <c r="AK293" s="181" t="str">
        <f t="shared" ca="1" si="60"/>
        <v>TERMINO</v>
      </c>
      <c r="AL293" s="181" t="s">
        <v>576</v>
      </c>
      <c r="AM293" s="176" t="s">
        <v>390</v>
      </c>
      <c r="AN293" s="875" t="str">
        <f>IFERROR(VLOOKUP(E293,'liquidaciones '!$B$2:$C$1048576,2,0),"NO")</f>
        <v>LIQUIDADO</v>
      </c>
      <c r="AO293" s="983">
        <f>IFERROR(VLOOKUP(E293,'liquidaciones '!$B$2:$I$1048576,8,0),"")</f>
        <v>0</v>
      </c>
      <c r="AP293" s="342"/>
      <c r="AQ293" s="177" t="str">
        <f t="shared" ca="1" si="62"/>
        <v>SI</v>
      </c>
      <c r="AR293" s="177" t="s">
        <v>2395</v>
      </c>
      <c r="AS293" s="438"/>
      <c r="AT293" s="1015"/>
    </row>
    <row r="294" spans="2:46" ht="47.25" customHeight="1" x14ac:dyDescent="0.25">
      <c r="B294" s="15">
        <v>288</v>
      </c>
      <c r="C294" s="442">
        <v>208</v>
      </c>
      <c r="D294" s="442" t="str">
        <f t="shared" si="53"/>
        <v>2015208</v>
      </c>
      <c r="E294" s="355" t="s">
        <v>1618</v>
      </c>
      <c r="F294" s="893" t="s">
        <v>144</v>
      </c>
      <c r="G294" s="895">
        <v>900450570</v>
      </c>
      <c r="H294" s="893" t="s">
        <v>1619</v>
      </c>
      <c r="I294" s="210">
        <v>379200000</v>
      </c>
      <c r="J294" s="731" t="s">
        <v>1618</v>
      </c>
      <c r="K294" s="298">
        <v>2015</v>
      </c>
      <c r="L294" s="551">
        <v>42109</v>
      </c>
      <c r="M294" s="894">
        <v>42109</v>
      </c>
      <c r="N294" s="894">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6" t="s">
        <v>1620</v>
      </c>
      <c r="Y294" s="42">
        <f t="shared" si="56"/>
        <v>1</v>
      </c>
      <c r="Z294" s="42">
        <f t="shared" ca="1" si="57"/>
        <v>1</v>
      </c>
      <c r="AA294" s="43">
        <f t="shared" ca="1" si="58"/>
        <v>0</v>
      </c>
      <c r="AB294" s="202" t="str">
        <f t="shared" ca="1" si="59"/>
        <v/>
      </c>
      <c r="AC294" s="44" t="str">
        <f t="shared" si="61"/>
        <v>SI</v>
      </c>
      <c r="AD294" s="765" t="str">
        <f>VLOOKUP(C294,[2]Hoja4!$A$2:$E$116,5,0)</f>
        <v>ARRENDAMIENTO</v>
      </c>
      <c r="AE294" s="173" t="s">
        <v>1257</v>
      </c>
      <c r="AF294" s="284" t="s">
        <v>1147</v>
      </c>
      <c r="AG294" s="173" t="s">
        <v>1443</v>
      </c>
      <c r="AH294" s="284" t="s">
        <v>560</v>
      </c>
      <c r="AI294" s="174" t="s">
        <v>1320</v>
      </c>
      <c r="AJ294" s="308" t="s">
        <v>1621</v>
      </c>
      <c r="AK294" s="181" t="str">
        <f t="shared" ca="1" si="60"/>
        <v>TERMINO</v>
      </c>
      <c r="AL294" s="313" t="s">
        <v>582</v>
      </c>
      <c r="AM294" s="176" t="s">
        <v>390</v>
      </c>
      <c r="AN294" s="875" t="str">
        <f>IFERROR(VLOOKUP(E294,'liquidaciones '!$B$2:$C$1048576,2,0),"NO")</f>
        <v>LIQUIDADO</v>
      </c>
      <c r="AO294" s="983">
        <f>IFERROR(VLOOKUP(E294,'liquidaciones '!$B$2:$I$1048576,8,0),"")</f>
        <v>0</v>
      </c>
      <c r="AP294" s="342"/>
      <c r="AQ294" s="177" t="str">
        <f t="shared" ca="1" si="62"/>
        <v>SI</v>
      </c>
      <c r="AR294" s="177" t="s">
        <v>2609</v>
      </c>
      <c r="AS294" s="438"/>
      <c r="AT294" s="1015"/>
    </row>
    <row r="295" spans="2:46" ht="47.25" customHeight="1" x14ac:dyDescent="0.25">
      <c r="B295" s="15">
        <v>289</v>
      </c>
      <c r="C295" s="442">
        <v>178</v>
      </c>
      <c r="D295" s="442" t="str">
        <f t="shared" si="53"/>
        <v>2015178</v>
      </c>
      <c r="E295" s="355" t="s">
        <v>1623</v>
      </c>
      <c r="F295" s="893" t="s">
        <v>1624</v>
      </c>
      <c r="G295" s="895" t="s">
        <v>1625</v>
      </c>
      <c r="H295" s="893" t="s">
        <v>1626</v>
      </c>
      <c r="I295" s="210">
        <v>3035520</v>
      </c>
      <c r="J295" s="705" t="s">
        <v>1742</v>
      </c>
      <c r="K295" s="298">
        <v>2015</v>
      </c>
      <c r="L295" s="551">
        <v>42100</v>
      </c>
      <c r="M295" s="894">
        <v>42121</v>
      </c>
      <c r="N295" s="894">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6" t="s">
        <v>1627</v>
      </c>
      <c r="Y295" s="42">
        <f t="shared" si="56"/>
        <v>0.66183421621336702</v>
      </c>
      <c r="Z295" s="42">
        <f t="shared" ca="1" si="57"/>
        <v>1</v>
      </c>
      <c r="AA295" s="43">
        <f t="shared" ca="1" si="58"/>
        <v>0.33816578378663298</v>
      </c>
      <c r="AB295" s="202" t="str">
        <f t="shared" ca="1" si="59"/>
        <v/>
      </c>
      <c r="AC295" s="44" t="str">
        <f t="shared" si="61"/>
        <v>NO</v>
      </c>
      <c r="AD295" s="765" t="str">
        <f>VLOOKUP(C295,[2]Hoja4!$A$2:$E$116,5,0)</f>
        <v>PRESTACION DE SERVICIOS</v>
      </c>
      <c r="AE295" s="173" t="s">
        <v>1257</v>
      </c>
      <c r="AF295" s="284" t="s">
        <v>1169</v>
      </c>
      <c r="AG295" s="173" t="s">
        <v>1443</v>
      </c>
      <c r="AH295" s="284" t="s">
        <v>560</v>
      </c>
      <c r="AI295" s="174" t="s">
        <v>1388</v>
      </c>
      <c r="AJ295" s="308" t="s">
        <v>1621</v>
      </c>
      <c r="AK295" s="181" t="str">
        <f t="shared" ca="1" si="60"/>
        <v>TERMINO</v>
      </c>
      <c r="AL295" s="181" t="s">
        <v>576</v>
      </c>
      <c r="AM295" s="176" t="s">
        <v>390</v>
      </c>
      <c r="AN295" s="875" t="str">
        <f>IFERROR(VLOOKUP(E295,'liquidaciones '!$B$2:$C$1048576,2,0),"NO")</f>
        <v>LIQUIDADO</v>
      </c>
      <c r="AO295" s="983" t="str">
        <f>IFERROR(VLOOKUP(E295,'liquidaciones '!$B$2:$I$1048576,8,0),"")</f>
        <v>MANUEL ROJAS</v>
      </c>
      <c r="AP295" s="342"/>
      <c r="AQ295" s="177" t="str">
        <f t="shared" ca="1" si="62"/>
        <v>SI</v>
      </c>
      <c r="AR295" s="177" t="s">
        <v>1573</v>
      </c>
      <c r="AS295" s="438"/>
      <c r="AT295" s="1015"/>
    </row>
    <row r="296" spans="2:46" ht="47.25" customHeight="1" x14ac:dyDescent="0.25">
      <c r="B296" s="15">
        <v>290</v>
      </c>
      <c r="C296" s="442">
        <v>150</v>
      </c>
      <c r="D296" s="442" t="str">
        <f t="shared" si="53"/>
        <v>2015150</v>
      </c>
      <c r="E296" s="355" t="s">
        <v>1628</v>
      </c>
      <c r="F296" s="583" t="s">
        <v>1629</v>
      </c>
      <c r="G296" s="895" t="s">
        <v>1630</v>
      </c>
      <c r="H296" s="893" t="s">
        <v>1631</v>
      </c>
      <c r="I296" s="210">
        <v>4721200</v>
      </c>
      <c r="J296" s="705" t="s">
        <v>1743</v>
      </c>
      <c r="K296" s="298">
        <v>2015</v>
      </c>
      <c r="L296" s="551">
        <v>42104</v>
      </c>
      <c r="M296" s="894">
        <v>42116</v>
      </c>
      <c r="N296" s="894">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6" t="s">
        <v>1632</v>
      </c>
      <c r="Y296" s="42">
        <f t="shared" si="56"/>
        <v>1</v>
      </c>
      <c r="Z296" s="42">
        <f t="shared" ca="1" si="57"/>
        <v>1</v>
      </c>
      <c r="AA296" s="43">
        <f t="shared" ca="1" si="58"/>
        <v>0</v>
      </c>
      <c r="AB296" s="202" t="str">
        <f t="shared" ca="1" si="59"/>
        <v/>
      </c>
      <c r="AC296" s="44" t="str">
        <f t="shared" si="61"/>
        <v>SI</v>
      </c>
      <c r="AD296" s="765" t="str">
        <f>VLOOKUP(C296,[2]Hoja4!$A$2:$E$116,5,0)</f>
        <v>PRESTACION DE SERVICIOS</v>
      </c>
      <c r="AE296" s="173" t="s">
        <v>1257</v>
      </c>
      <c r="AF296" s="304" t="s">
        <v>1469</v>
      </c>
      <c r="AG296" s="173" t="s">
        <v>1439</v>
      </c>
      <c r="AH296" s="284" t="s">
        <v>560</v>
      </c>
      <c r="AI296" s="308" t="s">
        <v>2168</v>
      </c>
      <c r="AJ296" s="308" t="s">
        <v>1621</v>
      </c>
      <c r="AK296" s="181" t="str">
        <f t="shared" ca="1" si="60"/>
        <v>TERMINO</v>
      </c>
      <c r="AL296" s="181" t="s">
        <v>576</v>
      </c>
      <c r="AM296" s="176" t="s">
        <v>390</v>
      </c>
      <c r="AN296" s="875" t="str">
        <f>IFERROR(VLOOKUP(E296,'liquidaciones '!$B$2:$C$1048576,2,0),"NO")</f>
        <v>LIQUIDADO</v>
      </c>
      <c r="AO296" s="983">
        <f>IFERROR(VLOOKUP(E296,'liquidaciones '!$B$2:$I$1048576,8,0),"")</f>
        <v>0</v>
      </c>
      <c r="AP296" s="342"/>
      <c r="AQ296" s="177" t="str">
        <f t="shared" ca="1" si="62"/>
        <v>SI</v>
      </c>
      <c r="AR296" s="177" t="s">
        <v>1573</v>
      </c>
      <c r="AS296" s="438"/>
      <c r="AT296" s="1015"/>
    </row>
    <row r="297" spans="2:46" ht="47.25" customHeight="1" x14ac:dyDescent="0.25">
      <c r="B297" s="15">
        <v>291</v>
      </c>
      <c r="C297" s="442">
        <v>176</v>
      </c>
      <c r="D297" s="442" t="str">
        <f t="shared" si="53"/>
        <v>2015176</v>
      </c>
      <c r="E297" s="355" t="s">
        <v>1633</v>
      </c>
      <c r="F297" s="893" t="s">
        <v>1025</v>
      </c>
      <c r="G297" s="895">
        <v>80199707</v>
      </c>
      <c r="H297" s="893" t="s">
        <v>1634</v>
      </c>
      <c r="I297" s="210">
        <v>28000000</v>
      </c>
      <c r="J297" s="705" t="s">
        <v>1745</v>
      </c>
      <c r="K297" s="298">
        <v>2015</v>
      </c>
      <c r="L297" s="551">
        <v>42093</v>
      </c>
      <c r="M297" s="894">
        <v>42116</v>
      </c>
      <c r="N297" s="894">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12" t="s">
        <v>1635</v>
      </c>
      <c r="Y297" s="42">
        <f t="shared" si="56"/>
        <v>0.9999877857142857</v>
      </c>
      <c r="Z297" s="42">
        <f t="shared" ca="1" si="57"/>
        <v>1</v>
      </c>
      <c r="AA297" s="43">
        <f t="shared" ca="1" si="58"/>
        <v>1.2214285714295947E-5</v>
      </c>
      <c r="AB297" s="202" t="str">
        <f t="shared" ca="1" si="59"/>
        <v/>
      </c>
      <c r="AC297" s="44" t="str">
        <f t="shared" si="61"/>
        <v>SI</v>
      </c>
      <c r="AD297" s="765" t="str">
        <f>VLOOKUP(C297,[2]Hoja4!$A$2:$E$116,5,0)</f>
        <v>PRESTACION DE SERVICIOS</v>
      </c>
      <c r="AE297" s="173" t="s">
        <v>1257</v>
      </c>
      <c r="AF297" s="284" t="s">
        <v>1299</v>
      </c>
      <c r="AG297" s="173" t="s">
        <v>1443</v>
      </c>
      <c r="AH297" s="284" t="s">
        <v>560</v>
      </c>
      <c r="AI297" s="174" t="s">
        <v>1381</v>
      </c>
      <c r="AJ297" s="308" t="s">
        <v>1621</v>
      </c>
      <c r="AK297" s="181" t="str">
        <f t="shared" ca="1" si="60"/>
        <v>TERMINO</v>
      </c>
      <c r="AL297" s="181" t="s">
        <v>576</v>
      </c>
      <c r="AM297" s="176" t="s">
        <v>390</v>
      </c>
      <c r="AN297" s="875" t="str">
        <f>IFERROR(VLOOKUP(E297,'liquidaciones '!$B$2:$C$1048576,2,0),"NO")</f>
        <v>DEVUELTO</v>
      </c>
      <c r="AO297" s="983" t="str">
        <f>IFERROR(VLOOKUP(E297,'liquidaciones '!$B$2:$I$1048576,8,0),"")</f>
        <v>MANUEL ROJAS</v>
      </c>
      <c r="AP297" s="342"/>
      <c r="AQ297" s="177" t="str">
        <f t="shared" ca="1" si="62"/>
        <v>SI</v>
      </c>
      <c r="AR297" s="177" t="s">
        <v>2395</v>
      </c>
      <c r="AS297" s="438"/>
      <c r="AT297" s="1015"/>
    </row>
    <row r="298" spans="2:46" ht="63" customHeight="1" x14ac:dyDescent="0.25">
      <c r="B298" s="15">
        <v>292</v>
      </c>
      <c r="C298" s="442">
        <v>210</v>
      </c>
      <c r="D298" s="442" t="str">
        <f t="shared" si="53"/>
        <v>2015210</v>
      </c>
      <c r="E298" s="355" t="s">
        <v>1639</v>
      </c>
      <c r="F298" s="893" t="s">
        <v>1640</v>
      </c>
      <c r="G298" s="895">
        <v>900475780</v>
      </c>
      <c r="H298" s="893" t="s">
        <v>1641</v>
      </c>
      <c r="I298" s="210">
        <v>4174276985</v>
      </c>
      <c r="J298" s="731" t="s">
        <v>1639</v>
      </c>
      <c r="K298" s="298">
        <v>2015</v>
      </c>
      <c r="L298" s="551">
        <v>42117</v>
      </c>
      <c r="M298" s="894">
        <v>42117</v>
      </c>
      <c r="N298" s="894">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12" t="s">
        <v>1107</v>
      </c>
      <c r="Y298" s="42">
        <f t="shared" si="56"/>
        <v>0.90000000035934369</v>
      </c>
      <c r="Z298" s="42">
        <f t="shared" ca="1" si="57"/>
        <v>1</v>
      </c>
      <c r="AA298" s="43">
        <f t="shared" ca="1" si="58"/>
        <v>9.9999999640656312E-2</v>
      </c>
      <c r="AB298" s="202" t="str">
        <f t="shared" ca="1" si="59"/>
        <v/>
      </c>
      <c r="AC298" s="44" t="str">
        <f t="shared" si="61"/>
        <v>NO</v>
      </c>
      <c r="AD298" s="765" t="str">
        <f>VLOOKUP(C298,[2]Hoja4!$A$2:$E$116,5,0)</f>
        <v>CONTRATO INTERADMINISTRATIVO</v>
      </c>
      <c r="AE298" s="173" t="s">
        <v>1257</v>
      </c>
      <c r="AF298" s="284" t="s">
        <v>1509</v>
      </c>
      <c r="AG298" s="173" t="s">
        <v>1443</v>
      </c>
      <c r="AH298" s="284" t="s">
        <v>560</v>
      </c>
      <c r="AI298" s="174" t="s">
        <v>1320</v>
      </c>
      <c r="AJ298" s="308" t="s">
        <v>1621</v>
      </c>
      <c r="AK298" s="181" t="str">
        <f t="shared" ca="1" si="60"/>
        <v>TERMINO</v>
      </c>
      <c r="AL298" s="181" t="s">
        <v>582</v>
      </c>
      <c r="AM298" s="176" t="s">
        <v>390</v>
      </c>
      <c r="AN298" s="875" t="str">
        <f>IFERROR(VLOOKUP(E298,'liquidaciones '!$B$2:$C$1048576,2,0),"NO")</f>
        <v>LIQUIDADO</v>
      </c>
      <c r="AO298" s="983">
        <f>IFERROR(VLOOKUP(E298,'liquidaciones '!$B$2:$I$1048576,8,0),"")</f>
        <v>0</v>
      </c>
      <c r="AP298" s="342"/>
      <c r="AQ298" s="177" t="str">
        <f t="shared" ca="1" si="62"/>
        <v>SI</v>
      </c>
      <c r="AR298" s="177" t="s">
        <v>1573</v>
      </c>
      <c r="AS298" s="438"/>
      <c r="AT298" s="1015"/>
    </row>
    <row r="299" spans="2:46" ht="47.25" customHeight="1" x14ac:dyDescent="0.25">
      <c r="B299" s="15">
        <v>293</v>
      </c>
      <c r="C299" s="442">
        <v>175</v>
      </c>
      <c r="D299" s="442" t="str">
        <f t="shared" si="53"/>
        <v>2015175</v>
      </c>
      <c r="E299" s="895" t="s">
        <v>1642</v>
      </c>
      <c r="F299" s="893" t="s">
        <v>53</v>
      </c>
      <c r="G299" s="895">
        <v>4831</v>
      </c>
      <c r="H299" s="893" t="s">
        <v>1643</v>
      </c>
      <c r="I299" s="210">
        <v>27620000</v>
      </c>
      <c r="J299" s="705" t="s">
        <v>1756</v>
      </c>
      <c r="K299" s="298">
        <v>2015</v>
      </c>
      <c r="L299" s="551">
        <v>42109</v>
      </c>
      <c r="M299" s="894">
        <v>42137</v>
      </c>
      <c r="N299" s="894">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12" t="s">
        <v>1644</v>
      </c>
      <c r="Y299" s="42">
        <f t="shared" si="56"/>
        <v>0.97246033157135991</v>
      </c>
      <c r="Z299" s="42">
        <f t="shared" ca="1" si="57"/>
        <v>1</v>
      </c>
      <c r="AA299" s="43">
        <f t="shared" ca="1" si="58"/>
        <v>2.7539668428640085E-2</v>
      </c>
      <c r="AB299" s="202" t="str">
        <f t="shared" ca="1" si="59"/>
        <v/>
      </c>
      <c r="AC299" s="44" t="str">
        <f t="shared" si="61"/>
        <v>NO</v>
      </c>
      <c r="AD299" s="765" t="str">
        <f>VLOOKUP(C299,[2]Hoja4!$A$2:$E$116,5,0)</f>
        <v>PRESTACION DE SERVICIOS</v>
      </c>
      <c r="AE299" s="173" t="s">
        <v>1257</v>
      </c>
      <c r="AF299" s="173" t="s">
        <v>1127</v>
      </c>
      <c r="AG299" s="173" t="s">
        <v>1443</v>
      </c>
      <c r="AH299" s="284" t="s">
        <v>560</v>
      </c>
      <c r="AI299" s="174" t="s">
        <v>1320</v>
      </c>
      <c r="AJ299" s="308" t="s">
        <v>1621</v>
      </c>
      <c r="AK299" s="181" t="str">
        <f t="shared" ca="1" si="60"/>
        <v>TERMINO</v>
      </c>
      <c r="AL299" s="181" t="s">
        <v>576</v>
      </c>
      <c r="AM299" s="176" t="s">
        <v>390</v>
      </c>
      <c r="AN299" s="875" t="str">
        <f>IFERROR(VLOOKUP(E299,'liquidaciones '!$B$2:$C$1048576,2,0),"NO")</f>
        <v>LIQUIDADO</v>
      </c>
      <c r="AO299" s="983">
        <f>IFERROR(VLOOKUP(E299,'liquidaciones '!$B$2:$I$1048576,8,0),"")</f>
        <v>0</v>
      </c>
      <c r="AP299" s="342"/>
      <c r="AQ299" s="177" t="str">
        <f t="shared" ca="1" si="62"/>
        <v>SI</v>
      </c>
      <c r="AR299" s="177" t="s">
        <v>2395</v>
      </c>
      <c r="AS299" s="438"/>
      <c r="AT299" s="1015"/>
    </row>
    <row r="300" spans="2:46" ht="47.25" customHeight="1" x14ac:dyDescent="0.25">
      <c r="B300" s="15">
        <v>294</v>
      </c>
      <c r="C300" s="442">
        <v>168</v>
      </c>
      <c r="D300" s="442" t="str">
        <f t="shared" si="53"/>
        <v>2015168</v>
      </c>
      <c r="E300" s="895" t="s">
        <v>1746</v>
      </c>
      <c r="F300" s="893" t="s">
        <v>284</v>
      </c>
      <c r="G300" s="895">
        <v>830055842</v>
      </c>
      <c r="H300" s="893" t="s">
        <v>1774</v>
      </c>
      <c r="I300" s="210">
        <v>33500000</v>
      </c>
      <c r="J300" s="705" t="s">
        <v>1747</v>
      </c>
      <c r="K300" s="298">
        <v>2015</v>
      </c>
      <c r="L300" s="551">
        <v>42124</v>
      </c>
      <c r="M300" s="894">
        <v>42130</v>
      </c>
      <c r="N300" s="894">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12" t="s">
        <v>1868</v>
      </c>
      <c r="Y300" s="42">
        <f t="shared" si="56"/>
        <v>0.85613817910447765</v>
      </c>
      <c r="Z300" s="42">
        <f t="shared" ca="1" si="57"/>
        <v>1</v>
      </c>
      <c r="AA300" s="43">
        <f t="shared" ca="1" si="58"/>
        <v>0.14386182089552235</v>
      </c>
      <c r="AB300" s="202" t="str">
        <f t="shared" ca="1" si="59"/>
        <v/>
      </c>
      <c r="AC300" s="44" t="str">
        <f t="shared" si="61"/>
        <v>NO</v>
      </c>
      <c r="AD300" s="765" t="str">
        <f>VLOOKUP(C300,[2]Hoja4!$A$2:$E$116,5,0)</f>
        <v>PRESTACION DE SERVICIOS</v>
      </c>
      <c r="AE300" s="173" t="s">
        <v>1257</v>
      </c>
      <c r="AF300" s="284" t="s">
        <v>1138</v>
      </c>
      <c r="AG300" s="173" t="s">
        <v>1437</v>
      </c>
      <c r="AH300" s="284" t="s">
        <v>562</v>
      </c>
      <c r="AI300" s="174" t="s">
        <v>1386</v>
      </c>
      <c r="AJ300" s="308" t="s">
        <v>1621</v>
      </c>
      <c r="AK300" s="181" t="str">
        <f t="shared" ca="1" si="60"/>
        <v>TERMINO</v>
      </c>
      <c r="AL300" s="313" t="s">
        <v>575</v>
      </c>
      <c r="AM300" s="176" t="s">
        <v>390</v>
      </c>
      <c r="AN300" s="875" t="str">
        <f>IFERROR(VLOOKUP(E300,'liquidaciones '!$B$2:$C$1048576,2,0),"NO")</f>
        <v>LIQUIDADO</v>
      </c>
      <c r="AO300" s="983">
        <f>IFERROR(VLOOKUP(E300,'liquidaciones '!$B$2:$I$1048576,8,0),"")</f>
        <v>0</v>
      </c>
      <c r="AP300" s="342"/>
      <c r="AQ300" s="177" t="str">
        <f t="shared" ca="1" si="62"/>
        <v>SI</v>
      </c>
      <c r="AR300" s="177" t="s">
        <v>1511</v>
      </c>
      <c r="AS300" s="438"/>
      <c r="AT300" s="1015"/>
    </row>
    <row r="301" spans="2:46" ht="47.25" customHeight="1" x14ac:dyDescent="0.25">
      <c r="B301" s="15">
        <v>295</v>
      </c>
      <c r="C301" s="442">
        <v>277</v>
      </c>
      <c r="D301" s="442" t="str">
        <f t="shared" si="53"/>
        <v>2015277</v>
      </c>
      <c r="E301" s="355" t="s">
        <v>1751</v>
      </c>
      <c r="F301" s="893" t="s">
        <v>1752</v>
      </c>
      <c r="G301" s="895" t="s">
        <v>1775</v>
      </c>
      <c r="H301" s="893" t="s">
        <v>1776</v>
      </c>
      <c r="I301" s="210">
        <v>12975945</v>
      </c>
      <c r="J301" s="705" t="s">
        <v>1750</v>
      </c>
      <c r="K301" s="298">
        <v>2015</v>
      </c>
      <c r="L301" s="551">
        <v>42117</v>
      </c>
      <c r="M301" s="894">
        <v>42135</v>
      </c>
      <c r="N301" s="894">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12"/>
      <c r="Y301" s="42">
        <f t="shared" si="56"/>
        <v>1</v>
      </c>
      <c r="Z301" s="42">
        <f t="shared" ca="1" si="57"/>
        <v>1</v>
      </c>
      <c r="AA301" s="43">
        <f t="shared" ca="1" si="58"/>
        <v>0</v>
      </c>
      <c r="AB301" s="202" t="str">
        <f t="shared" ca="1" si="59"/>
        <v/>
      </c>
      <c r="AC301" s="44" t="str">
        <f t="shared" si="61"/>
        <v>SI</v>
      </c>
      <c r="AD301" s="765" t="str">
        <f>VLOOKUP(C301,[2]Hoja4!$A$2:$E$116,5,0)</f>
        <v>PRESTACION DE SERVICIOS</v>
      </c>
      <c r="AE301" s="173" t="s">
        <v>1258</v>
      </c>
      <c r="AF301" s="173" t="s">
        <v>1576</v>
      </c>
      <c r="AG301" s="173" t="s">
        <v>1440</v>
      </c>
      <c r="AH301" s="284" t="s">
        <v>560</v>
      </c>
      <c r="AI301" s="308" t="s">
        <v>1510</v>
      </c>
      <c r="AJ301" s="308" t="s">
        <v>1870</v>
      </c>
      <c r="AK301" s="181" t="str">
        <f t="shared" ca="1" si="60"/>
        <v>TERMINO</v>
      </c>
      <c r="AL301" s="313" t="s">
        <v>576</v>
      </c>
      <c r="AM301" s="176" t="s">
        <v>391</v>
      </c>
      <c r="AN301" s="875" t="str">
        <f>IFERROR(VLOOKUP(E301,'liquidaciones '!$B$2:$C$1048576,2,0),"NO")</f>
        <v>LIQUIDADO</v>
      </c>
      <c r="AO301" s="983">
        <f>IFERROR(VLOOKUP(E301,'liquidaciones '!$B$2:$I$1048576,8,0),"")</f>
        <v>0</v>
      </c>
      <c r="AP301" s="342"/>
      <c r="AQ301" s="177" t="str">
        <f t="shared" ca="1" si="62"/>
        <v>SI</v>
      </c>
      <c r="AR301" s="177" t="s">
        <v>1995</v>
      </c>
      <c r="AS301" s="438"/>
      <c r="AT301" s="1015"/>
    </row>
    <row r="302" spans="2:46" ht="63" customHeight="1" x14ac:dyDescent="0.25">
      <c r="B302" s="15">
        <v>296</v>
      </c>
      <c r="C302" s="442">
        <v>177</v>
      </c>
      <c r="D302" s="442" t="str">
        <f t="shared" si="53"/>
        <v>2015177</v>
      </c>
      <c r="E302" s="355" t="s">
        <v>1758</v>
      </c>
      <c r="F302" s="893" t="s">
        <v>1759</v>
      </c>
      <c r="G302" s="895" t="s">
        <v>1760</v>
      </c>
      <c r="H302" s="893" t="s">
        <v>1761</v>
      </c>
      <c r="I302" s="210">
        <v>11000000</v>
      </c>
      <c r="J302" s="705" t="s">
        <v>1757</v>
      </c>
      <c r="K302" s="298">
        <v>2015</v>
      </c>
      <c r="L302" s="551">
        <v>42109</v>
      </c>
      <c r="M302" s="894">
        <v>42135</v>
      </c>
      <c r="N302" s="894">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12" t="s">
        <v>1871</v>
      </c>
      <c r="Y302" s="42">
        <f t="shared" si="56"/>
        <v>0.68053581818181819</v>
      </c>
      <c r="Z302" s="42">
        <f t="shared" ca="1" si="57"/>
        <v>1</v>
      </c>
      <c r="AA302" s="43">
        <f t="shared" ca="1" si="58"/>
        <v>0.31946418181818181</v>
      </c>
      <c r="AB302" s="202" t="str">
        <f t="shared" ca="1" si="59"/>
        <v/>
      </c>
      <c r="AC302" s="44" t="str">
        <f t="shared" si="61"/>
        <v>NO</v>
      </c>
      <c r="AD302" s="765" t="str">
        <f>VLOOKUP(C302,[2]Hoja4!$A$2:$E$116,5,0)</f>
        <v>PRESTACION DE SERVICIOS</v>
      </c>
      <c r="AE302" s="173" t="s">
        <v>1257</v>
      </c>
      <c r="AF302" s="304" t="s">
        <v>1145</v>
      </c>
      <c r="AG302" s="173" t="s">
        <v>1443</v>
      </c>
      <c r="AH302" s="284" t="s">
        <v>560</v>
      </c>
      <c r="AI302" s="174" t="s">
        <v>1381</v>
      </c>
      <c r="AJ302" s="308" t="s">
        <v>1870</v>
      </c>
      <c r="AK302" s="181" t="str">
        <f t="shared" ca="1" si="60"/>
        <v>TERMINO</v>
      </c>
      <c r="AL302" s="313" t="s">
        <v>576</v>
      </c>
      <c r="AM302" s="176" t="s">
        <v>390</v>
      </c>
      <c r="AN302" s="875" t="str">
        <f>IFERROR(VLOOKUP(E302,'liquidaciones '!$B$2:$C$1048576,2,0),"NO")</f>
        <v>LIQUIDADO</v>
      </c>
      <c r="AO302" s="983" t="str">
        <f>IFERROR(VLOOKUP(E302,'liquidaciones '!$B$2:$I$1048576,8,0),"")</f>
        <v>CLAUDIA VANEGAS</v>
      </c>
      <c r="AP302" s="342"/>
      <c r="AQ302" s="177" t="str">
        <f t="shared" ca="1" si="62"/>
        <v>SI</v>
      </c>
      <c r="AR302" s="177" t="s">
        <v>1573</v>
      </c>
      <c r="AS302" s="438"/>
      <c r="AT302" s="1015"/>
    </row>
    <row r="303" spans="2:46" ht="47.25" customHeight="1" x14ac:dyDescent="0.25">
      <c r="B303" s="15">
        <v>297</v>
      </c>
      <c r="C303" s="442">
        <v>55</v>
      </c>
      <c r="D303" s="442" t="str">
        <f t="shared" si="53"/>
        <v>201555</v>
      </c>
      <c r="E303" s="895" t="s">
        <v>1764</v>
      </c>
      <c r="F303" s="893" t="s">
        <v>290</v>
      </c>
      <c r="G303" s="895" t="s">
        <v>1765</v>
      </c>
      <c r="H303" s="893" t="s">
        <v>1766</v>
      </c>
      <c r="I303" s="210">
        <v>10514762</v>
      </c>
      <c r="J303" s="705" t="s">
        <v>1763</v>
      </c>
      <c r="K303" s="298">
        <v>2015</v>
      </c>
      <c r="L303" s="551">
        <v>42108</v>
      </c>
      <c r="M303" s="894">
        <v>42117</v>
      </c>
      <c r="N303" s="894">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12" t="s">
        <v>1823</v>
      </c>
      <c r="Y303" s="42">
        <f t="shared" si="56"/>
        <v>1</v>
      </c>
      <c r="Z303" s="42">
        <f t="shared" ca="1" si="57"/>
        <v>1</v>
      </c>
      <c r="AA303" s="43">
        <f t="shared" ca="1" si="58"/>
        <v>0</v>
      </c>
      <c r="AB303" s="202" t="str">
        <f t="shared" ca="1" si="59"/>
        <v/>
      </c>
      <c r="AC303" s="44" t="str">
        <f t="shared" si="61"/>
        <v>SI</v>
      </c>
      <c r="AD303" s="765" t="str">
        <f>VLOOKUP(C303,[2]Hoja4!$A$2:$E$116,5,0)</f>
        <v>COMPRAVENTA</v>
      </c>
      <c r="AE303" s="173" t="s">
        <v>1258</v>
      </c>
      <c r="AF303" s="284" t="s">
        <v>1312</v>
      </c>
      <c r="AG303" s="173" t="s">
        <v>1440</v>
      </c>
      <c r="AH303" s="284" t="s">
        <v>560</v>
      </c>
      <c r="AI303" s="308" t="s">
        <v>1510</v>
      </c>
      <c r="AJ303" s="308" t="s">
        <v>1621</v>
      </c>
      <c r="AK303" s="181" t="str">
        <f t="shared" ca="1" si="60"/>
        <v>TERMINO</v>
      </c>
      <c r="AL303" s="313" t="s">
        <v>576</v>
      </c>
      <c r="AM303" s="176" t="s">
        <v>391</v>
      </c>
      <c r="AN303" s="875" t="str">
        <f>IFERROR(VLOOKUP(E303,'liquidaciones '!$B$2:$C$1048576,2,0),"NO")</f>
        <v>LIQUIDADO</v>
      </c>
      <c r="AO303" s="983">
        <f>IFERROR(VLOOKUP(E303,'liquidaciones '!$B$2:$I$1048576,8,0),"")</f>
        <v>0</v>
      </c>
      <c r="AP303" s="342"/>
      <c r="AQ303" s="177" t="str">
        <f t="shared" ca="1" si="62"/>
        <v>NO</v>
      </c>
      <c r="AR303" s="177" t="s">
        <v>1995</v>
      </c>
      <c r="AS303" s="438"/>
      <c r="AT303" s="1015"/>
    </row>
    <row r="304" spans="2:46" ht="47.25" customHeight="1" x14ac:dyDescent="0.25">
      <c r="B304" s="15">
        <v>298</v>
      </c>
      <c r="C304" s="442">
        <v>172</v>
      </c>
      <c r="D304" s="442" t="str">
        <f t="shared" si="53"/>
        <v>2015172</v>
      </c>
      <c r="E304" s="895" t="s">
        <v>1979</v>
      </c>
      <c r="F304" s="893" t="s">
        <v>272</v>
      </c>
      <c r="G304" s="133">
        <v>900197284</v>
      </c>
      <c r="H304" s="893" t="s">
        <v>1847</v>
      </c>
      <c r="I304" s="210">
        <v>5874000</v>
      </c>
      <c r="J304" s="705" t="s">
        <v>1767</v>
      </c>
      <c r="K304" s="298">
        <v>2015</v>
      </c>
      <c r="L304" s="551">
        <v>42130</v>
      </c>
      <c r="M304" s="894">
        <v>42149</v>
      </c>
      <c r="N304" s="894">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12" t="s">
        <v>1635</v>
      </c>
      <c r="Y304" s="42">
        <f t="shared" si="56"/>
        <v>0.84109874021109976</v>
      </c>
      <c r="Z304" s="42">
        <f t="shared" ca="1" si="57"/>
        <v>1</v>
      </c>
      <c r="AA304" s="43">
        <f t="shared" ca="1" si="58"/>
        <v>0.15890125978890024</v>
      </c>
      <c r="AB304" s="202" t="str">
        <f t="shared" ca="1" si="59"/>
        <v/>
      </c>
      <c r="AC304" s="44" t="str">
        <f t="shared" si="61"/>
        <v>NO</v>
      </c>
      <c r="AD304" s="765" t="str">
        <f>VLOOKUP(C304,[2]Hoja4!$A$2:$E$116,5,0)</f>
        <v>PRESTACION DE SERVICIOS</v>
      </c>
      <c r="AE304" s="173" t="s">
        <v>1257</v>
      </c>
      <c r="AF304" s="173" t="s">
        <v>1512</v>
      </c>
      <c r="AG304" s="173" t="s">
        <v>1443</v>
      </c>
      <c r="AH304" s="284" t="s">
        <v>560</v>
      </c>
      <c r="AI304" s="174" t="s">
        <v>1381</v>
      </c>
      <c r="AJ304" s="308" t="s">
        <v>1621</v>
      </c>
      <c r="AK304" s="181" t="str">
        <f t="shared" ca="1" si="60"/>
        <v>TERMINO</v>
      </c>
      <c r="AL304" s="181" t="s">
        <v>576</v>
      </c>
      <c r="AM304" s="176" t="s">
        <v>390</v>
      </c>
      <c r="AN304" s="875" t="str">
        <f>IFERROR(VLOOKUP(E304,'liquidaciones '!$B$2:$C$1048576,2,0),"NO")</f>
        <v>DEVUELTO</v>
      </c>
      <c r="AO304" s="983" t="str">
        <f>IFERROR(VLOOKUP(E304,'liquidaciones '!$B$2:$I$1048576,8,0),"")</f>
        <v>CLAUDIA VANEGAS</v>
      </c>
      <c r="AP304" s="342"/>
      <c r="AQ304" s="177" t="str">
        <f t="shared" ca="1" si="62"/>
        <v>SI</v>
      </c>
      <c r="AR304" s="177" t="s">
        <v>1573</v>
      </c>
      <c r="AS304" s="438"/>
      <c r="AT304" s="1015"/>
    </row>
    <row r="305" spans="2:46" ht="47.25" customHeight="1" x14ac:dyDescent="0.25">
      <c r="B305" s="15">
        <v>299</v>
      </c>
      <c r="C305" s="442">
        <v>171</v>
      </c>
      <c r="D305" s="442" t="str">
        <f t="shared" si="53"/>
        <v>2015171</v>
      </c>
      <c r="E305" s="355" t="s">
        <v>1859</v>
      </c>
      <c r="F305" s="893" t="s">
        <v>1860</v>
      </c>
      <c r="G305" s="895">
        <v>860025639</v>
      </c>
      <c r="H305" s="893" t="s">
        <v>1861</v>
      </c>
      <c r="I305" s="210">
        <v>14210000</v>
      </c>
      <c r="J305" s="731" t="s">
        <v>1859</v>
      </c>
      <c r="K305" s="298">
        <v>2015</v>
      </c>
      <c r="L305" s="551">
        <v>42132</v>
      </c>
      <c r="M305" s="894">
        <v>42149</v>
      </c>
      <c r="N305" s="894">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12" t="s">
        <v>1635</v>
      </c>
      <c r="Y305" s="42">
        <f t="shared" si="56"/>
        <v>0.97107346011267059</v>
      </c>
      <c r="Z305" s="42">
        <f t="shared" ca="1" si="57"/>
        <v>1</v>
      </c>
      <c r="AA305" s="43">
        <f t="shared" ca="1" si="58"/>
        <v>2.8926539887329406E-2</v>
      </c>
      <c r="AB305" s="202" t="str">
        <f t="shared" ca="1" si="59"/>
        <v/>
      </c>
      <c r="AC305" s="44" t="str">
        <f t="shared" si="61"/>
        <v>NO</v>
      </c>
      <c r="AD305" s="765" t="str">
        <f>VLOOKUP(C305,[2]Hoja4!$A$2:$E$116,5,0)</f>
        <v>PRESTACION DE SERVICIOS</v>
      </c>
      <c r="AE305" s="173" t="s">
        <v>1257</v>
      </c>
      <c r="AF305" s="284" t="s">
        <v>1171</v>
      </c>
      <c r="AG305" s="173" t="s">
        <v>1443</v>
      </c>
      <c r="AH305" s="284" t="s">
        <v>560</v>
      </c>
      <c r="AI305" s="308"/>
      <c r="AJ305" s="308" t="s">
        <v>1621</v>
      </c>
      <c r="AK305" s="181" t="str">
        <f t="shared" ca="1" si="60"/>
        <v>TERMINO</v>
      </c>
      <c r="AL305" s="181" t="s">
        <v>582</v>
      </c>
      <c r="AM305" s="176" t="s">
        <v>390</v>
      </c>
      <c r="AN305" s="875" t="str">
        <f>IFERROR(VLOOKUP(E305,'liquidaciones '!$B$2:$C$1048576,2,0),"NO")</f>
        <v>LIQUIDADO</v>
      </c>
      <c r="AO305" s="983">
        <f>IFERROR(VLOOKUP(E305,'liquidaciones '!$B$2:$I$1048576,8,0),"")</f>
        <v>0</v>
      </c>
      <c r="AP305" s="342"/>
      <c r="AQ305" s="177" t="str">
        <f t="shared" ca="1" si="62"/>
        <v>SI</v>
      </c>
      <c r="AR305" s="177" t="s">
        <v>1511</v>
      </c>
      <c r="AS305" s="438"/>
      <c r="AT305" s="1015"/>
    </row>
    <row r="306" spans="2:46" ht="47.25" customHeight="1" x14ac:dyDescent="0.25">
      <c r="B306" s="15">
        <v>300</v>
      </c>
      <c r="C306" s="442">
        <v>123</v>
      </c>
      <c r="D306" s="442" t="str">
        <f t="shared" si="53"/>
        <v>2015123</v>
      </c>
      <c r="E306" s="895" t="s">
        <v>1862</v>
      </c>
      <c r="F306" s="893" t="s">
        <v>203</v>
      </c>
      <c r="G306" s="895">
        <v>860049921</v>
      </c>
      <c r="H306" s="893" t="s">
        <v>1863</v>
      </c>
      <c r="I306" s="210">
        <v>7714000</v>
      </c>
      <c r="J306" s="705" t="s">
        <v>1748</v>
      </c>
      <c r="K306" s="298">
        <v>2015</v>
      </c>
      <c r="L306" s="551">
        <v>42132</v>
      </c>
      <c r="M306" s="894">
        <v>42144</v>
      </c>
      <c r="N306" s="894">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12" t="s">
        <v>1869</v>
      </c>
      <c r="Y306" s="42">
        <f t="shared" si="56"/>
        <v>1</v>
      </c>
      <c r="Z306" s="42">
        <f t="shared" ca="1" si="57"/>
        <v>1</v>
      </c>
      <c r="AA306" s="43">
        <f t="shared" ca="1" si="58"/>
        <v>0</v>
      </c>
      <c r="AB306" s="202" t="str">
        <f t="shared" ca="1" si="59"/>
        <v/>
      </c>
      <c r="AC306" s="44" t="str">
        <f t="shared" si="61"/>
        <v>SI</v>
      </c>
      <c r="AD306" s="765" t="str">
        <f>VLOOKUP(C306,[2]Hoja4!$A$2:$E$116,5,0)</f>
        <v>PRESTACION DE SERVICIOS</v>
      </c>
      <c r="AE306" s="173" t="s">
        <v>1257</v>
      </c>
      <c r="AF306" s="304" t="s">
        <v>1351</v>
      </c>
      <c r="AG306" s="173" t="s">
        <v>1432</v>
      </c>
      <c r="AH306" s="284" t="s">
        <v>563</v>
      </c>
      <c r="AI306" s="308" t="s">
        <v>2167</v>
      </c>
      <c r="AJ306" s="308" t="s">
        <v>1870</v>
      </c>
      <c r="AK306" s="181" t="str">
        <f t="shared" ca="1" si="60"/>
        <v>TERMINO</v>
      </c>
      <c r="AL306" s="181" t="s">
        <v>582</v>
      </c>
      <c r="AM306" s="176" t="s">
        <v>390</v>
      </c>
      <c r="AN306" s="875" t="str">
        <f>IFERROR(VLOOKUP(E306,'liquidaciones '!$B$2:$C$1048576,2,0),"NO")</f>
        <v>LIQUIDADO</v>
      </c>
      <c r="AO306" s="983">
        <f>IFERROR(VLOOKUP(E306,'liquidaciones '!$B$2:$I$1048576,8,0),"")</f>
        <v>0</v>
      </c>
      <c r="AP306" s="342"/>
      <c r="AQ306" s="177" t="str">
        <f t="shared" ca="1" si="62"/>
        <v>SI</v>
      </c>
      <c r="AR306" s="177" t="s">
        <v>2395</v>
      </c>
      <c r="AS306" s="438"/>
      <c r="AT306" s="1015"/>
    </row>
    <row r="307" spans="2:46" ht="47.25" customHeight="1" x14ac:dyDescent="0.25">
      <c r="B307" s="15">
        <v>301</v>
      </c>
      <c r="C307" s="442">
        <v>54</v>
      </c>
      <c r="D307" s="442" t="str">
        <f t="shared" si="53"/>
        <v>201554</v>
      </c>
      <c r="E307" s="355" t="s">
        <v>1864</v>
      </c>
      <c r="F307" s="893" t="s">
        <v>1865</v>
      </c>
      <c r="G307" s="895">
        <v>830124848</v>
      </c>
      <c r="H307" s="893" t="s">
        <v>1866</v>
      </c>
      <c r="I307" s="210">
        <v>60000000</v>
      </c>
      <c r="J307" s="705" t="s">
        <v>1768</v>
      </c>
      <c r="K307" s="298">
        <v>2015</v>
      </c>
      <c r="L307" s="551">
        <v>42128</v>
      </c>
      <c r="M307" s="894">
        <v>42156</v>
      </c>
      <c r="N307" s="894">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12" t="s">
        <v>1867</v>
      </c>
      <c r="Y307" s="42">
        <f t="shared" si="56"/>
        <v>0.99330375000000004</v>
      </c>
      <c r="Z307" s="42">
        <f t="shared" ca="1" si="57"/>
        <v>1</v>
      </c>
      <c r="AA307" s="43">
        <f t="shared" ca="1" si="58"/>
        <v>6.6962499999999592E-3</v>
      </c>
      <c r="AB307" s="202" t="str">
        <f t="shared" ca="1" si="59"/>
        <v/>
      </c>
      <c r="AC307" s="44" t="str">
        <f t="shared" si="61"/>
        <v>NO</v>
      </c>
      <c r="AD307" s="765" t="str">
        <f>VLOOKUP(C307,[2]Hoja4!$A$2:$E$116,5,0)</f>
        <v>PRESTACION DE SERVICIOS</v>
      </c>
      <c r="AE307" s="173" t="s">
        <v>1258</v>
      </c>
      <c r="AF307" s="304" t="s">
        <v>1167</v>
      </c>
      <c r="AG307" s="173" t="s">
        <v>1440</v>
      </c>
      <c r="AH307" s="284" t="s">
        <v>560</v>
      </c>
      <c r="AI307" s="308" t="s">
        <v>1510</v>
      </c>
      <c r="AJ307" s="308" t="s">
        <v>1621</v>
      </c>
      <c r="AK307" s="181" t="str">
        <f t="shared" ca="1" si="60"/>
        <v>TERMINO</v>
      </c>
      <c r="AL307" s="313" t="s">
        <v>575</v>
      </c>
      <c r="AM307" s="176" t="s">
        <v>390</v>
      </c>
      <c r="AN307" s="875" t="str">
        <f>IFERROR(VLOOKUP(E307,'liquidaciones '!$B$2:$C$1048576,2,0),"NO")</f>
        <v>LIQUIDADO</v>
      </c>
      <c r="AO307" s="983">
        <f>IFERROR(VLOOKUP(E307,'liquidaciones '!$B$2:$I$1048576,8,0),"")</f>
        <v>0</v>
      </c>
      <c r="AP307" s="342"/>
      <c r="AQ307" s="177" t="str">
        <f t="shared" ca="1" si="62"/>
        <v>SI</v>
      </c>
      <c r="AR307" s="177" t="s">
        <v>2613</v>
      </c>
      <c r="AS307" s="438"/>
      <c r="AT307" s="1015"/>
    </row>
    <row r="308" spans="2:46" ht="47.25" customHeight="1" x14ac:dyDescent="0.25">
      <c r="B308" s="15">
        <v>302</v>
      </c>
      <c r="C308" s="442">
        <v>149</v>
      </c>
      <c r="D308" s="442" t="str">
        <f t="shared" si="53"/>
        <v>2015149</v>
      </c>
      <c r="E308" s="355" t="s">
        <v>1872</v>
      </c>
      <c r="F308" s="893" t="s">
        <v>1873</v>
      </c>
      <c r="G308" s="895">
        <v>900587953</v>
      </c>
      <c r="H308" s="893" t="s">
        <v>1874</v>
      </c>
      <c r="I308" s="210">
        <v>2000000</v>
      </c>
      <c r="J308" s="705" t="s">
        <v>1753</v>
      </c>
      <c r="K308" s="298">
        <v>2015</v>
      </c>
      <c r="L308" s="551">
        <v>42135</v>
      </c>
      <c r="M308" s="894">
        <v>42150</v>
      </c>
      <c r="N308" s="894">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12" t="s">
        <v>1616</v>
      </c>
      <c r="Y308" s="42">
        <f t="shared" si="56"/>
        <v>0.41238000000000002</v>
      </c>
      <c r="Z308" s="42">
        <f t="shared" ca="1" si="57"/>
        <v>1</v>
      </c>
      <c r="AA308" s="43">
        <f t="shared" ca="1" si="58"/>
        <v>0.58762000000000003</v>
      </c>
      <c r="AB308" s="202" t="str">
        <f t="shared" ca="1" si="59"/>
        <v/>
      </c>
      <c r="AC308" s="44" t="str">
        <f t="shared" si="61"/>
        <v>NO</v>
      </c>
      <c r="AD308" s="765" t="str">
        <f>VLOOKUP(C308,[2]Hoja4!$A$2:$E$116,5,0)</f>
        <v>PRESTACION DE SERVICIOS</v>
      </c>
      <c r="AE308" s="173" t="s">
        <v>1257</v>
      </c>
      <c r="AF308" s="284" t="s">
        <v>1384</v>
      </c>
      <c r="AG308" s="173" t="s">
        <v>1443</v>
      </c>
      <c r="AH308" s="284" t="s">
        <v>560</v>
      </c>
      <c r="AI308" s="174" t="s">
        <v>1381</v>
      </c>
      <c r="AJ308" s="308" t="s">
        <v>1870</v>
      </c>
      <c r="AK308" s="181" t="str">
        <f t="shared" ca="1" si="60"/>
        <v>TERMINO</v>
      </c>
      <c r="AL308" s="181" t="s">
        <v>576</v>
      </c>
      <c r="AM308" s="176" t="s">
        <v>390</v>
      </c>
      <c r="AN308" s="875" t="str">
        <f>IFERROR(VLOOKUP(E308,'liquidaciones '!$B$2:$C$1048576,2,0),"NO")</f>
        <v>LIQUIDADO</v>
      </c>
      <c r="AO308" s="983" t="str">
        <f>IFERROR(VLOOKUP(E308,'liquidaciones '!$B$2:$I$1048576,8,0),"")</f>
        <v>GIOVANNI SUAREZ</v>
      </c>
      <c r="AP308" s="342"/>
      <c r="AQ308" s="177" t="str">
        <f t="shared" ca="1" si="62"/>
        <v>SI</v>
      </c>
      <c r="AR308" s="177" t="s">
        <v>2395</v>
      </c>
      <c r="AS308" s="438"/>
      <c r="AT308" s="1015"/>
    </row>
    <row r="309" spans="2:46" ht="62.25" customHeight="1" x14ac:dyDescent="0.25">
      <c r="B309" s="15">
        <v>303</v>
      </c>
      <c r="C309" s="442">
        <v>174</v>
      </c>
      <c r="D309" s="442" t="str">
        <f t="shared" si="53"/>
        <v>2015174</v>
      </c>
      <c r="E309" s="355" t="s">
        <v>1878</v>
      </c>
      <c r="F309" s="893" t="s">
        <v>1879</v>
      </c>
      <c r="G309" s="895">
        <v>830101476</v>
      </c>
      <c r="H309" s="893" t="s">
        <v>1880</v>
      </c>
      <c r="I309" s="210">
        <v>566000000</v>
      </c>
      <c r="J309" s="705" t="s">
        <v>1769</v>
      </c>
      <c r="K309" s="298">
        <v>2015</v>
      </c>
      <c r="L309" s="551">
        <v>42136</v>
      </c>
      <c r="M309" s="894">
        <v>42141</v>
      </c>
      <c r="N309" s="894">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12" t="s">
        <v>1881</v>
      </c>
      <c r="Y309" s="42">
        <f t="shared" si="56"/>
        <v>0.97122592579505296</v>
      </c>
      <c r="Z309" s="42">
        <f t="shared" ca="1" si="57"/>
        <v>1</v>
      </c>
      <c r="AA309" s="43">
        <f t="shared" ca="1" si="58"/>
        <v>2.8774074204947042E-2</v>
      </c>
      <c r="AB309" s="202" t="str">
        <f t="shared" ca="1" si="59"/>
        <v/>
      </c>
      <c r="AC309" s="44" t="str">
        <f t="shared" si="61"/>
        <v>NO</v>
      </c>
      <c r="AD309" s="765" t="str">
        <f>VLOOKUP(C309,[2]Hoja4!$A$2:$E$116,5,0)</f>
        <v>PRESTACION DE SERVICIOS</v>
      </c>
      <c r="AE309" s="173" t="s">
        <v>1257</v>
      </c>
      <c r="AF309" s="284" t="s">
        <v>1128</v>
      </c>
      <c r="AG309" s="173"/>
      <c r="AH309" s="284" t="s">
        <v>560</v>
      </c>
      <c r="AI309" s="308"/>
      <c r="AJ309" s="308" t="s">
        <v>1870</v>
      </c>
      <c r="AK309" s="181" t="str">
        <f t="shared" ca="1" si="60"/>
        <v>TERMINO</v>
      </c>
      <c r="AL309" s="313" t="s">
        <v>575</v>
      </c>
      <c r="AM309" s="176" t="s">
        <v>390</v>
      </c>
      <c r="AN309" s="875" t="str">
        <f>IFERROR(VLOOKUP(E309,'liquidaciones '!$B$2:$C$1048576,2,0),"NO")</f>
        <v>DEVUELTO</v>
      </c>
      <c r="AO309" s="983" t="str">
        <f>IFERROR(VLOOKUP(E309,'liquidaciones '!$B$2:$I$1048576,8,0),"")</f>
        <v>JULIETH ANGARITA</v>
      </c>
      <c r="AP309" s="342"/>
      <c r="AQ309" s="177" t="str">
        <f t="shared" ca="1" si="62"/>
        <v>SI</v>
      </c>
      <c r="AR309" s="177" t="s">
        <v>981</v>
      </c>
      <c r="AS309" s="438"/>
      <c r="AT309" s="1015"/>
    </row>
    <row r="310" spans="2:46" ht="47.25" customHeight="1" x14ac:dyDescent="0.25">
      <c r="B310" s="15">
        <v>304</v>
      </c>
      <c r="C310" s="442">
        <v>274</v>
      </c>
      <c r="D310" s="442" t="str">
        <f t="shared" si="53"/>
        <v>2015274</v>
      </c>
      <c r="E310" s="895" t="s">
        <v>1883</v>
      </c>
      <c r="F310" s="893" t="s">
        <v>1884</v>
      </c>
      <c r="G310" s="895">
        <v>1085916707</v>
      </c>
      <c r="H310" s="893" t="s">
        <v>1885</v>
      </c>
      <c r="I310" s="210">
        <v>18000000</v>
      </c>
      <c r="J310" s="731" t="s">
        <v>1883</v>
      </c>
      <c r="K310" s="298">
        <v>2015</v>
      </c>
      <c r="L310" s="551">
        <v>42130</v>
      </c>
      <c r="M310" s="894">
        <v>42137</v>
      </c>
      <c r="N310" s="894">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12" t="s">
        <v>1533</v>
      </c>
      <c r="Y310" s="42">
        <f t="shared" si="56"/>
        <v>1</v>
      </c>
      <c r="Z310" s="42">
        <f t="shared" ca="1" si="57"/>
        <v>1</v>
      </c>
      <c r="AA310" s="43">
        <f t="shared" ca="1" si="58"/>
        <v>0</v>
      </c>
      <c r="AB310" s="202" t="str">
        <f t="shared" ca="1" si="59"/>
        <v/>
      </c>
      <c r="AC310" s="44" t="str">
        <f t="shared" si="61"/>
        <v>SI</v>
      </c>
      <c r="AD310" s="765" t="str">
        <f>VLOOKUP(C310,[2]Hoja4!$A$2:$E$116,5,0)</f>
        <v>PRESTACION DE SERVICIOS</v>
      </c>
      <c r="AE310" s="173" t="s">
        <v>1257</v>
      </c>
      <c r="AF310" s="173" t="s">
        <v>1972</v>
      </c>
      <c r="AG310" s="173" t="s">
        <v>1438</v>
      </c>
      <c r="AH310" s="284" t="s">
        <v>561</v>
      </c>
      <c r="AI310" s="308"/>
      <c r="AJ310" s="308" t="s">
        <v>1870</v>
      </c>
      <c r="AK310" s="181" t="str">
        <f t="shared" ca="1" si="60"/>
        <v>TERMINO</v>
      </c>
      <c r="AL310" s="313" t="s">
        <v>582</v>
      </c>
      <c r="AM310" s="176" t="s">
        <v>391</v>
      </c>
      <c r="AN310" s="875" t="str">
        <f>IFERROR(VLOOKUP(E310,'liquidaciones '!$B$2:$C$1048576,2,0),"NO")</f>
        <v>LIQUIDADO</v>
      </c>
      <c r="AO310" s="983">
        <f>IFERROR(VLOOKUP(E310,'liquidaciones '!$B$2:$I$1048576,8,0),"")</f>
        <v>0</v>
      </c>
      <c r="AP310" s="342"/>
      <c r="AQ310" s="177" t="str">
        <f t="shared" ca="1" si="62"/>
        <v>SI</v>
      </c>
      <c r="AR310" s="177" t="s">
        <v>1511</v>
      </c>
      <c r="AS310" s="438"/>
      <c r="AT310" s="1015"/>
    </row>
    <row r="311" spans="2:46" ht="47.25" customHeight="1" x14ac:dyDescent="0.25">
      <c r="B311" s="15">
        <v>305</v>
      </c>
      <c r="C311" s="442">
        <v>161</v>
      </c>
      <c r="D311" s="442" t="str">
        <f t="shared" si="53"/>
        <v>2015161</v>
      </c>
      <c r="E311" s="895" t="s">
        <v>1891</v>
      </c>
      <c r="F311" s="893" t="s">
        <v>1112</v>
      </c>
      <c r="G311" s="20">
        <v>830005370</v>
      </c>
      <c r="H311" s="893" t="s">
        <v>1892</v>
      </c>
      <c r="I311" s="210">
        <v>1291938453</v>
      </c>
      <c r="J311" s="731" t="s">
        <v>1891</v>
      </c>
      <c r="K311" s="298">
        <v>2015</v>
      </c>
      <c r="L311" s="551">
        <v>42135</v>
      </c>
      <c r="M311" s="894">
        <v>42139</v>
      </c>
      <c r="N311" s="894">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12" t="s">
        <v>1893</v>
      </c>
      <c r="Y311" s="42">
        <f t="shared" si="56"/>
        <v>1</v>
      </c>
      <c r="Z311" s="42">
        <f t="shared" ca="1" si="57"/>
        <v>1</v>
      </c>
      <c r="AA311" s="43">
        <f t="shared" ca="1" si="58"/>
        <v>0</v>
      </c>
      <c r="AB311" s="202" t="str">
        <f t="shared" ca="1" si="59"/>
        <v/>
      </c>
      <c r="AC311" s="44" t="str">
        <f t="shared" si="61"/>
        <v>SI</v>
      </c>
      <c r="AD311" s="765" t="str">
        <f>VLOOKUP(C311,[2]Hoja4!$A$2:$E$116,5,0)</f>
        <v>CONTRATO INTERADMINISTRATIVO</v>
      </c>
      <c r="AE311" s="173" t="s">
        <v>1257</v>
      </c>
      <c r="AF311" s="173" t="s">
        <v>1293</v>
      </c>
      <c r="AG311" s="173" t="s">
        <v>1431</v>
      </c>
      <c r="AH311" s="284" t="s">
        <v>564</v>
      </c>
      <c r="AI311" s="308"/>
      <c r="AJ311" s="308" t="s">
        <v>1870</v>
      </c>
      <c r="AK311" s="181" t="str">
        <f t="shared" ca="1" si="60"/>
        <v>TERMINO</v>
      </c>
      <c r="AL311" s="313" t="s">
        <v>582</v>
      </c>
      <c r="AM311" s="176" t="s">
        <v>390</v>
      </c>
      <c r="AN311" s="875" t="str">
        <f>IFERROR(VLOOKUP(E311,'liquidaciones '!$B$2:$C$1048576,2,0),"NO")</f>
        <v>LIQUIDADO</v>
      </c>
      <c r="AO311" s="983" t="str">
        <f>IFERROR(VLOOKUP(E311,'liquidaciones '!$B$2:$I$1048576,8,0),"")</f>
        <v>DORA PINILLA</v>
      </c>
      <c r="AP311" s="342"/>
      <c r="AQ311" s="177" t="str">
        <f t="shared" ca="1" si="62"/>
        <v>SI</v>
      </c>
      <c r="AR311" s="177" t="s">
        <v>981</v>
      </c>
      <c r="AS311" s="438"/>
      <c r="AT311" s="1015"/>
    </row>
    <row r="312" spans="2:46" ht="47.25" customHeight="1" x14ac:dyDescent="0.25">
      <c r="B312" s="15">
        <v>306</v>
      </c>
      <c r="C312" s="442">
        <v>142</v>
      </c>
      <c r="D312" s="442" t="str">
        <f t="shared" si="53"/>
        <v>2015142</v>
      </c>
      <c r="E312" s="895" t="s">
        <v>1895</v>
      </c>
      <c r="F312" s="893" t="s">
        <v>1896</v>
      </c>
      <c r="G312" s="895">
        <v>830067096</v>
      </c>
      <c r="H312" s="893" t="s">
        <v>1897</v>
      </c>
      <c r="I312" s="210">
        <v>7800000</v>
      </c>
      <c r="J312" s="731" t="s">
        <v>1895</v>
      </c>
      <c r="K312" s="298">
        <v>2015</v>
      </c>
      <c r="L312" s="551">
        <v>42139</v>
      </c>
      <c r="M312" s="894">
        <v>42145</v>
      </c>
      <c r="N312" s="894">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12" t="s">
        <v>1898</v>
      </c>
      <c r="Y312" s="42">
        <f t="shared" si="56"/>
        <v>1</v>
      </c>
      <c r="Z312" s="42">
        <f t="shared" ca="1" si="57"/>
        <v>1</v>
      </c>
      <c r="AA312" s="43">
        <f t="shared" ca="1" si="58"/>
        <v>0</v>
      </c>
      <c r="AB312" s="202" t="str">
        <f t="shared" ca="1" si="59"/>
        <v/>
      </c>
      <c r="AC312" s="44" t="str">
        <f t="shared" si="61"/>
        <v>SI</v>
      </c>
      <c r="AD312" s="765" t="str">
        <f>VLOOKUP(C312,[2]Hoja4!$A$2:$E$116,5,0)</f>
        <v>SUSCRIPCION</v>
      </c>
      <c r="AE312" s="173"/>
      <c r="AF312" s="304" t="s">
        <v>1126</v>
      </c>
      <c r="AG312" s="173" t="s">
        <v>1431</v>
      </c>
      <c r="AH312" s="284" t="s">
        <v>564</v>
      </c>
      <c r="AI312" s="308"/>
      <c r="AJ312" s="308" t="s">
        <v>1870</v>
      </c>
      <c r="AK312" s="181" t="str">
        <f t="shared" ca="1" si="60"/>
        <v>TERMINO</v>
      </c>
      <c r="AL312" s="313" t="s">
        <v>582</v>
      </c>
      <c r="AM312" s="176" t="s">
        <v>390</v>
      </c>
      <c r="AN312" s="875" t="str">
        <f>IFERROR(VLOOKUP(E312,'liquidaciones '!$B$2:$C$1048576,2,0),"NO")</f>
        <v>LIQUIDADO</v>
      </c>
      <c r="AO312" s="983">
        <f>IFERROR(VLOOKUP(E312,'liquidaciones '!$B$2:$I$1048576,8,0),"")</f>
        <v>0</v>
      </c>
      <c r="AP312" s="342"/>
      <c r="AQ312" s="177" t="str">
        <f t="shared" ca="1" si="62"/>
        <v>SI</v>
      </c>
      <c r="AR312" s="177" t="s">
        <v>1511</v>
      </c>
      <c r="AS312" s="438"/>
      <c r="AT312" s="1015"/>
    </row>
    <row r="313" spans="2:46" ht="47.25" customHeight="1" x14ac:dyDescent="0.25">
      <c r="B313" s="15">
        <v>307</v>
      </c>
      <c r="C313" s="442">
        <v>154</v>
      </c>
      <c r="D313" s="442" t="str">
        <f t="shared" si="53"/>
        <v>2015154</v>
      </c>
      <c r="E313" s="355" t="s">
        <v>1908</v>
      </c>
      <c r="F313" s="893" t="s">
        <v>1909</v>
      </c>
      <c r="G313" s="895" t="s">
        <v>1911</v>
      </c>
      <c r="H313" s="893" t="s">
        <v>1910</v>
      </c>
      <c r="I313" s="210">
        <v>28000000</v>
      </c>
      <c r="J313" s="731" t="s">
        <v>1908</v>
      </c>
      <c r="K313" s="298">
        <v>2015</v>
      </c>
      <c r="L313" s="551">
        <v>42144</v>
      </c>
      <c r="M313" s="894">
        <v>42180</v>
      </c>
      <c r="N313" s="894">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12" t="s">
        <v>1912</v>
      </c>
      <c r="Y313" s="42">
        <f t="shared" si="56"/>
        <v>0.94988489285714284</v>
      </c>
      <c r="Z313" s="42">
        <f t="shared" ca="1" si="57"/>
        <v>1</v>
      </c>
      <c r="AA313" s="43">
        <f t="shared" ca="1" si="58"/>
        <v>5.0115107142857163E-2</v>
      </c>
      <c r="AB313" s="202" t="str">
        <f t="shared" ca="1" si="59"/>
        <v/>
      </c>
      <c r="AC313" s="44" t="str">
        <f t="shared" si="61"/>
        <v>NO</v>
      </c>
      <c r="AD313" s="765" t="str">
        <f>VLOOKUP(C313,[2]Hoja4!$A$2:$E$116,5,0)</f>
        <v>PRESTACION DE SERVICIOS</v>
      </c>
      <c r="AE313" s="173" t="s">
        <v>1257</v>
      </c>
      <c r="AF313" s="173" t="s">
        <v>1127</v>
      </c>
      <c r="AG313" s="173" t="s">
        <v>1443</v>
      </c>
      <c r="AH313" s="284" t="s">
        <v>560</v>
      </c>
      <c r="AI313" s="174" t="s">
        <v>1320</v>
      </c>
      <c r="AJ313" s="308" t="s">
        <v>1870</v>
      </c>
      <c r="AK313" s="181" t="str">
        <f t="shared" ca="1" si="60"/>
        <v>TERMINO</v>
      </c>
      <c r="AL313" s="313" t="s">
        <v>582</v>
      </c>
      <c r="AM313" s="176" t="s">
        <v>390</v>
      </c>
      <c r="AN313" s="875" t="str">
        <f>IFERROR(VLOOKUP(E313,'liquidaciones '!$B$2:$C$1048576,2,0),"NO")</f>
        <v>LIQUIDADO</v>
      </c>
      <c r="AO313" s="983" t="str">
        <f>IFERROR(VLOOKUP(E313,'liquidaciones '!$B$2:$I$1048576,8,0),"")</f>
        <v>GIOVANNI SUAREZ</v>
      </c>
      <c r="AP313" s="342"/>
      <c r="AQ313" s="177" t="str">
        <f t="shared" ca="1" si="62"/>
        <v>SI</v>
      </c>
      <c r="AR313" s="177" t="s">
        <v>1573</v>
      </c>
      <c r="AS313" s="438"/>
      <c r="AT313" s="1015"/>
    </row>
    <row r="314" spans="2:46" ht="47.25" customHeight="1" x14ac:dyDescent="0.25">
      <c r="B314" s="15">
        <v>308</v>
      </c>
      <c r="C314" s="442">
        <v>75</v>
      </c>
      <c r="D314" s="442" t="str">
        <f t="shared" si="53"/>
        <v>201575</v>
      </c>
      <c r="E314" s="895" t="s">
        <v>1952</v>
      </c>
      <c r="F314" s="893" t="s">
        <v>1953</v>
      </c>
      <c r="G314" s="895" t="s">
        <v>1954</v>
      </c>
      <c r="H314" s="893" t="s">
        <v>1781</v>
      </c>
      <c r="I314" s="210">
        <v>8086410</v>
      </c>
      <c r="J314" s="708" t="s">
        <v>1882</v>
      </c>
      <c r="K314" s="298">
        <v>2015</v>
      </c>
      <c r="L314" s="551">
        <v>42152</v>
      </c>
      <c r="M314" s="894">
        <v>42165</v>
      </c>
      <c r="N314" s="894">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12" t="s">
        <v>1548</v>
      </c>
      <c r="Y314" s="42">
        <f t="shared" si="56"/>
        <v>0.99999950534291482</v>
      </c>
      <c r="Z314" s="42">
        <f t="shared" ca="1" si="57"/>
        <v>1</v>
      </c>
      <c r="AA314" s="43">
        <f t="shared" ca="1" si="58"/>
        <v>4.9465708518159346E-7</v>
      </c>
      <c r="AB314" s="202" t="str">
        <f t="shared" ca="1" si="59"/>
        <v/>
      </c>
      <c r="AC314" s="44" t="str">
        <f t="shared" si="61"/>
        <v>SI</v>
      </c>
      <c r="AD314" s="765" t="str">
        <f>VLOOKUP(C314,[2]Hoja4!$A$2:$E$116,5,0)</f>
        <v>COMPRAVENTA</v>
      </c>
      <c r="AE314" s="173" t="s">
        <v>1258</v>
      </c>
      <c r="AF314" s="284" t="s">
        <v>1955</v>
      </c>
      <c r="AG314" s="173" t="s">
        <v>1440</v>
      </c>
      <c r="AH314" s="284" t="s">
        <v>560</v>
      </c>
      <c r="AI314" s="308" t="s">
        <v>1510</v>
      </c>
      <c r="AJ314" s="308" t="s">
        <v>1870</v>
      </c>
      <c r="AK314" s="181" t="str">
        <f t="shared" ca="1" si="60"/>
        <v>TERMINO</v>
      </c>
      <c r="AL314" s="313" t="s">
        <v>576</v>
      </c>
      <c r="AM314" s="176" t="s">
        <v>391</v>
      </c>
      <c r="AN314" s="875" t="str">
        <f>IFERROR(VLOOKUP(E314,'liquidaciones '!$B$2:$C$1048576,2,0),"NO")</f>
        <v>EN TRÁMITE</v>
      </c>
      <c r="AO314" s="983">
        <f>IFERROR(VLOOKUP(E314,'liquidaciones '!$B$2:$I$1048576,8,0),"")</f>
        <v>0</v>
      </c>
      <c r="AP314" s="342"/>
      <c r="AQ314" s="177" t="str">
        <f t="shared" ca="1" si="62"/>
        <v>SI</v>
      </c>
      <c r="AR314" s="177" t="s">
        <v>1995</v>
      </c>
      <c r="AS314" s="438"/>
      <c r="AT314" s="1015"/>
    </row>
    <row r="315" spans="2:46" ht="47.25" customHeight="1" x14ac:dyDescent="0.25">
      <c r="B315" s="15">
        <v>309</v>
      </c>
      <c r="C315" s="442">
        <v>166</v>
      </c>
      <c r="D315" s="442" t="str">
        <f t="shared" si="53"/>
        <v>2015166</v>
      </c>
      <c r="E315" s="895" t="s">
        <v>1957</v>
      </c>
      <c r="F315" s="893" t="s">
        <v>1958</v>
      </c>
      <c r="G315" s="895" t="s">
        <v>1959</v>
      </c>
      <c r="H315" s="893" t="s">
        <v>1960</v>
      </c>
      <c r="I315" s="210">
        <v>5000000</v>
      </c>
      <c r="J315" s="707" t="s">
        <v>1846</v>
      </c>
      <c r="K315" s="298">
        <v>2015</v>
      </c>
      <c r="L315" s="551">
        <v>42149</v>
      </c>
      <c r="M315" s="894">
        <v>42160</v>
      </c>
      <c r="N315" s="894">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12" t="s">
        <v>1961</v>
      </c>
      <c r="Y315" s="42">
        <f t="shared" si="56"/>
        <v>0.69799520000000004</v>
      </c>
      <c r="Z315" s="42">
        <f t="shared" ca="1" si="57"/>
        <v>1</v>
      </c>
      <c r="AA315" s="43">
        <f t="shared" ca="1" si="58"/>
        <v>0.30200479999999996</v>
      </c>
      <c r="AB315" s="202" t="str">
        <f t="shared" ca="1" si="59"/>
        <v/>
      </c>
      <c r="AC315" s="44" t="str">
        <f t="shared" si="61"/>
        <v>NO</v>
      </c>
      <c r="AD315" s="765" t="str">
        <f>VLOOKUP(C315,[2]Hoja4!$A$2:$E$116,5,0)</f>
        <v>SUMINISTRO</v>
      </c>
      <c r="AE315" s="173" t="s">
        <v>1257</v>
      </c>
      <c r="AF315" s="284" t="s">
        <v>1962</v>
      </c>
      <c r="AG315" s="173" t="s">
        <v>1443</v>
      </c>
      <c r="AH315" s="284" t="s">
        <v>560</v>
      </c>
      <c r="AI315" s="308" t="s">
        <v>1474</v>
      </c>
      <c r="AJ315" s="308" t="s">
        <v>1870</v>
      </c>
      <c r="AK315" s="181" t="str">
        <f t="shared" ca="1" si="60"/>
        <v>TERMINO</v>
      </c>
      <c r="AL315" s="313" t="s">
        <v>576</v>
      </c>
      <c r="AM315" s="176" t="s">
        <v>390</v>
      </c>
      <c r="AN315" s="875" t="str">
        <f>IFERROR(VLOOKUP(E315,'liquidaciones '!$B$2:$C$1048576,2,0),"NO")</f>
        <v>LIQUIDADO</v>
      </c>
      <c r="AO315" s="983">
        <f>IFERROR(VLOOKUP(E315,'liquidaciones '!$B$2:$I$1048576,8,0),"")</f>
        <v>0</v>
      </c>
      <c r="AP315" s="342"/>
      <c r="AQ315" s="177" t="str">
        <f t="shared" ca="1" si="62"/>
        <v>SI</v>
      </c>
      <c r="AR315" s="177" t="s">
        <v>1573</v>
      </c>
      <c r="AS315" s="438"/>
      <c r="AT315" s="1015"/>
    </row>
    <row r="316" spans="2:46" ht="47.25" customHeight="1" x14ac:dyDescent="0.25">
      <c r="B316" s="15">
        <v>310</v>
      </c>
      <c r="C316" s="442">
        <v>170</v>
      </c>
      <c r="D316" s="442" t="str">
        <f t="shared" si="53"/>
        <v>2015170</v>
      </c>
      <c r="E316" s="895" t="s">
        <v>1964</v>
      </c>
      <c r="F316" s="893" t="s">
        <v>38</v>
      </c>
      <c r="G316" s="895">
        <v>830053669</v>
      </c>
      <c r="H316" s="893" t="s">
        <v>1965</v>
      </c>
      <c r="I316" s="210">
        <v>30552000</v>
      </c>
      <c r="J316" s="708" t="s">
        <v>1749</v>
      </c>
      <c r="K316" s="298">
        <v>2015</v>
      </c>
      <c r="L316" s="551">
        <v>42157</v>
      </c>
      <c r="M316" s="894">
        <v>42187</v>
      </c>
      <c r="N316" s="894">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12" t="s">
        <v>1966</v>
      </c>
      <c r="Y316" s="42">
        <f t="shared" si="56"/>
        <v>0.94978848190219489</v>
      </c>
      <c r="Z316" s="42">
        <f t="shared" ca="1" si="57"/>
        <v>1</v>
      </c>
      <c r="AA316" s="43">
        <f t="shared" ca="1" si="58"/>
        <v>5.0211518097805108E-2</v>
      </c>
      <c r="AB316" s="202" t="str">
        <f t="shared" ca="1" si="59"/>
        <v/>
      </c>
      <c r="AC316" s="44" t="str">
        <f t="shared" si="61"/>
        <v>NO</v>
      </c>
      <c r="AD316" s="765" t="str">
        <f>VLOOKUP(C316,[2]Hoja4!$A$2:$E$116,5,0)</f>
        <v>PRESTACION DE SERVICIOS</v>
      </c>
      <c r="AE316" s="173" t="s">
        <v>1257</v>
      </c>
      <c r="AF316" s="284" t="s">
        <v>1141</v>
      </c>
      <c r="AG316" s="173" t="s">
        <v>1443</v>
      </c>
      <c r="AH316" s="284" t="s">
        <v>560</v>
      </c>
      <c r="AI316" s="174" t="s">
        <v>1380</v>
      </c>
      <c r="AJ316" s="308" t="s">
        <v>1870</v>
      </c>
      <c r="AK316" s="181" t="str">
        <f t="shared" ca="1" si="60"/>
        <v>TERMINO</v>
      </c>
      <c r="AL316" s="313" t="s">
        <v>575</v>
      </c>
      <c r="AM316" s="176" t="s">
        <v>390</v>
      </c>
      <c r="AN316" s="875" t="str">
        <f>IFERROR(VLOOKUP(E316,'liquidaciones '!$B$2:$C$1048576,2,0),"NO")</f>
        <v>LIQUIDADO</v>
      </c>
      <c r="AO316" s="983">
        <f>IFERROR(VLOOKUP(E316,'liquidaciones '!$B$2:$I$1048576,8,0),"")</f>
        <v>0</v>
      </c>
      <c r="AP316" s="342"/>
      <c r="AQ316" s="177" t="str">
        <f t="shared" ca="1" si="62"/>
        <v>SI</v>
      </c>
      <c r="AR316" s="177" t="s">
        <v>981</v>
      </c>
      <c r="AS316" s="438"/>
      <c r="AT316" s="1015"/>
    </row>
    <row r="317" spans="2:46" ht="47.25" customHeight="1" x14ac:dyDescent="0.25">
      <c r="B317" s="15">
        <v>311</v>
      </c>
      <c r="C317" s="442">
        <v>298</v>
      </c>
      <c r="D317" s="442" t="str">
        <f t="shared" si="53"/>
        <v>2015298</v>
      </c>
      <c r="E317" s="895" t="s">
        <v>1967</v>
      </c>
      <c r="F317" s="893" t="s">
        <v>1968</v>
      </c>
      <c r="G317" s="895">
        <v>51647190</v>
      </c>
      <c r="H317" s="893" t="s">
        <v>1969</v>
      </c>
      <c r="I317" s="210">
        <v>40800000</v>
      </c>
      <c r="J317" s="707" t="s">
        <v>1967</v>
      </c>
      <c r="K317" s="298">
        <v>2015</v>
      </c>
      <c r="L317" s="551">
        <v>42158</v>
      </c>
      <c r="M317" s="894">
        <v>42160</v>
      </c>
      <c r="N317" s="894">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12" t="s">
        <v>1970</v>
      </c>
      <c r="Y317" s="42">
        <f t="shared" si="56"/>
        <v>1</v>
      </c>
      <c r="Z317" s="42">
        <f t="shared" ca="1" si="57"/>
        <v>1</v>
      </c>
      <c r="AA317" s="43">
        <f t="shared" ca="1" si="58"/>
        <v>0</v>
      </c>
      <c r="AB317" s="202" t="str">
        <f t="shared" ca="1" si="59"/>
        <v/>
      </c>
      <c r="AC317" s="44" t="str">
        <f t="shared" si="61"/>
        <v>SI</v>
      </c>
      <c r="AD317" s="765" t="str">
        <f>VLOOKUP(C317,[2]Hoja4!$A$2:$E$116,5,0)</f>
        <v>PRESTACION DE SERVICIOS1</v>
      </c>
      <c r="AE317" s="173" t="s">
        <v>1257</v>
      </c>
      <c r="AF317" s="284" t="s">
        <v>1971</v>
      </c>
      <c r="AG317" s="173" t="s">
        <v>1430</v>
      </c>
      <c r="AH317" s="284" t="s">
        <v>563</v>
      </c>
      <c r="AI317" s="308" t="s">
        <v>2167</v>
      </c>
      <c r="AJ317" s="308" t="s">
        <v>1870</v>
      </c>
      <c r="AK317" s="181" t="str">
        <f t="shared" ca="1" si="60"/>
        <v>TERMINO</v>
      </c>
      <c r="AL317" s="313" t="s">
        <v>582</v>
      </c>
      <c r="AM317" s="176" t="s">
        <v>391</v>
      </c>
      <c r="AN317" s="875" t="str">
        <f>IFERROR(VLOOKUP(E317,'liquidaciones '!$B$2:$C$1048576,2,0),"NO")</f>
        <v>LIQUIDADO</v>
      </c>
      <c r="AO317" s="983">
        <f>IFERROR(VLOOKUP(E317,'liquidaciones '!$B$2:$I$1048576,8,0),"")</f>
        <v>0</v>
      </c>
      <c r="AP317" s="342"/>
      <c r="AQ317" s="177" t="str">
        <f t="shared" ca="1" si="62"/>
        <v>SI</v>
      </c>
      <c r="AR317" s="177" t="s">
        <v>2395</v>
      </c>
      <c r="AS317" s="438"/>
      <c r="AT317" s="1015"/>
    </row>
    <row r="318" spans="2:46" ht="47.25" customHeight="1" x14ac:dyDescent="0.25">
      <c r="B318" s="15">
        <v>312</v>
      </c>
      <c r="C318" s="442">
        <v>122</v>
      </c>
      <c r="D318" s="442" t="str">
        <f t="shared" si="53"/>
        <v>2015122</v>
      </c>
      <c r="E318" s="895" t="s">
        <v>1973</v>
      </c>
      <c r="F318" s="893" t="s">
        <v>1974</v>
      </c>
      <c r="G318" s="895">
        <v>830040274</v>
      </c>
      <c r="H318" s="893" t="s">
        <v>1975</v>
      </c>
      <c r="I318" s="210">
        <v>2365972</v>
      </c>
      <c r="J318" s="731" t="s">
        <v>1973</v>
      </c>
      <c r="K318" s="298">
        <v>2015</v>
      </c>
      <c r="L318" s="551">
        <v>42158</v>
      </c>
      <c r="M318" s="894">
        <v>42174</v>
      </c>
      <c r="N318" s="894">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12" t="s">
        <v>1976</v>
      </c>
      <c r="Y318" s="42">
        <f t="shared" si="56"/>
        <v>1</v>
      </c>
      <c r="Z318" s="42">
        <f t="shared" ca="1" si="57"/>
        <v>1</v>
      </c>
      <c r="AA318" s="43">
        <f t="shared" ca="1" si="58"/>
        <v>0</v>
      </c>
      <c r="AB318" s="202" t="str">
        <f t="shared" ca="1" si="59"/>
        <v/>
      </c>
      <c r="AC318" s="44" t="str">
        <f t="shared" si="61"/>
        <v>SI</v>
      </c>
      <c r="AD318" s="765" t="str">
        <f>VLOOKUP(C318,[2]Hoja4!$A$2:$E$116,5,0)</f>
        <v>PRESTACION DE SERVICIOS</v>
      </c>
      <c r="AE318" s="173" t="s">
        <v>1257</v>
      </c>
      <c r="AF318" s="284" t="s">
        <v>1977</v>
      </c>
      <c r="AG318" s="173"/>
      <c r="AH318" s="284" t="s">
        <v>563</v>
      </c>
      <c r="AI318" s="308" t="s">
        <v>1978</v>
      </c>
      <c r="AJ318" s="308" t="s">
        <v>1870</v>
      </c>
      <c r="AK318" s="181" t="str">
        <f t="shared" ca="1" si="60"/>
        <v>TERMINO</v>
      </c>
      <c r="AL318" s="313" t="s">
        <v>582</v>
      </c>
      <c r="AM318" s="176" t="s">
        <v>390</v>
      </c>
      <c r="AN318" s="875" t="str">
        <f>IFERROR(VLOOKUP(E318,'liquidaciones '!$B$2:$C$1048576,2,0),"NO")</f>
        <v>LIQUIDADO</v>
      </c>
      <c r="AO318" s="983" t="str">
        <f>IFERROR(VLOOKUP(E318,'liquidaciones '!$B$2:$I$1048576,8,0),"")</f>
        <v>CLAUDIA VANEGAS</v>
      </c>
      <c r="AP318" s="342"/>
      <c r="AQ318" s="177" t="str">
        <f t="shared" ca="1" si="62"/>
        <v>SI</v>
      </c>
      <c r="AR318" s="177" t="s">
        <v>2395</v>
      </c>
      <c r="AS318" s="438"/>
      <c r="AT318" s="1015"/>
    </row>
    <row r="319" spans="2:46" ht="47.25" customHeight="1" x14ac:dyDescent="0.25">
      <c r="B319" s="15">
        <v>313</v>
      </c>
      <c r="C319" s="442">
        <v>299</v>
      </c>
      <c r="D319" s="442" t="str">
        <f t="shared" si="53"/>
        <v>2015299</v>
      </c>
      <c r="E319" s="895" t="s">
        <v>1987</v>
      </c>
      <c r="F319" s="893" t="s">
        <v>1988</v>
      </c>
      <c r="G319" s="895">
        <v>1016042559</v>
      </c>
      <c r="H319" s="893" t="s">
        <v>1989</v>
      </c>
      <c r="I319" s="210">
        <v>12000000</v>
      </c>
      <c r="J319" s="707" t="s">
        <v>1987</v>
      </c>
      <c r="K319" s="298">
        <v>2015</v>
      </c>
      <c r="L319" s="551">
        <v>42166</v>
      </c>
      <c r="M319" s="894">
        <v>42173</v>
      </c>
      <c r="N319" s="894">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12" t="s">
        <v>1533</v>
      </c>
      <c r="Y319" s="42">
        <f t="shared" si="56"/>
        <v>1</v>
      </c>
      <c r="Z319" s="42">
        <f t="shared" ca="1" si="57"/>
        <v>1</v>
      </c>
      <c r="AA319" s="43">
        <f t="shared" ca="1" si="58"/>
        <v>0</v>
      </c>
      <c r="AB319" s="202" t="str">
        <f t="shared" ca="1" si="59"/>
        <v/>
      </c>
      <c r="AC319" s="44" t="str">
        <f t="shared" ref="AC319:AC350" si="63">IF(Y319&lt;=99.9%,"NO","SI")</f>
        <v>SI</v>
      </c>
      <c r="AD319" s="765" t="str">
        <f>VLOOKUP(C319,[2]Hoja4!$A$2:$E$116,5,0)</f>
        <v>PRESTACION DE SERVICIOS</v>
      </c>
      <c r="AE319" s="173" t="s">
        <v>1257</v>
      </c>
      <c r="AF319" s="284" t="s">
        <v>1971</v>
      </c>
      <c r="AG319" s="173" t="s">
        <v>1430</v>
      </c>
      <c r="AH319" s="284" t="s">
        <v>563</v>
      </c>
      <c r="AI319" s="308" t="s">
        <v>2167</v>
      </c>
      <c r="AJ319" s="308" t="s">
        <v>1870</v>
      </c>
      <c r="AK319" s="181" t="str">
        <f t="shared" ca="1" si="60"/>
        <v>TERMINO</v>
      </c>
      <c r="AL319" s="313" t="s">
        <v>582</v>
      </c>
      <c r="AM319" s="176" t="s">
        <v>391</v>
      </c>
      <c r="AN319" s="875" t="str">
        <f>IFERROR(VLOOKUP(E319,'liquidaciones '!$B$2:$C$1048576,2,0),"NO")</f>
        <v>LIQUIDADO</v>
      </c>
      <c r="AO319" s="983">
        <f>IFERROR(VLOOKUP(E319,'liquidaciones '!$B$2:$I$1048576,8,0),"")</f>
        <v>0</v>
      </c>
      <c r="AP319" s="342"/>
      <c r="AQ319" s="177" t="str">
        <f t="shared" ref="AQ319:AQ350" ca="1" si="64">IF((TODAY()-T319&lt;900),"SI","NO")</f>
        <v>SI</v>
      </c>
      <c r="AR319" s="177" t="s">
        <v>2395</v>
      </c>
      <c r="AS319" s="438"/>
      <c r="AT319" s="1015"/>
    </row>
    <row r="320" spans="2:46" ht="47.25" customHeight="1" x14ac:dyDescent="0.25">
      <c r="B320" s="15">
        <v>314</v>
      </c>
      <c r="C320" s="442">
        <v>71</v>
      </c>
      <c r="D320" s="442" t="str">
        <f t="shared" si="53"/>
        <v>201571</v>
      </c>
      <c r="E320" s="895" t="s">
        <v>1990</v>
      </c>
      <c r="F320" s="893" t="s">
        <v>1991</v>
      </c>
      <c r="G320" s="895" t="s">
        <v>1992</v>
      </c>
      <c r="H320" s="893" t="s">
        <v>1993</v>
      </c>
      <c r="I320" s="210">
        <v>11167296</v>
      </c>
      <c r="J320" s="707" t="s">
        <v>1899</v>
      </c>
      <c r="K320" s="298">
        <v>2015</v>
      </c>
      <c r="L320" s="551">
        <v>42167</v>
      </c>
      <c r="M320" s="894">
        <v>42188</v>
      </c>
      <c r="N320" s="894">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12" t="s">
        <v>1548</v>
      </c>
      <c r="Y320" s="42">
        <f t="shared" si="56"/>
        <v>0</v>
      </c>
      <c r="Z320" s="42">
        <f t="shared" ca="1" si="57"/>
        <v>1</v>
      </c>
      <c r="AA320" s="43">
        <f t="shared" ca="1" si="58"/>
        <v>1</v>
      </c>
      <c r="AB320" s="202" t="str">
        <f t="shared" ca="1" si="59"/>
        <v/>
      </c>
      <c r="AC320" s="44" t="str">
        <f t="shared" si="63"/>
        <v>NO</v>
      </c>
      <c r="AD320" s="765" t="str">
        <f>VLOOKUP(C320,[2]Hoja4!$A$2:$E$116,5,0)</f>
        <v>COMPRAVENTA</v>
      </c>
      <c r="AE320" s="173" t="s">
        <v>1258</v>
      </c>
      <c r="AF320" s="284" t="s">
        <v>1994</v>
      </c>
      <c r="AG320" s="173" t="s">
        <v>1440</v>
      </c>
      <c r="AH320" s="284" t="s">
        <v>560</v>
      </c>
      <c r="AI320" s="308" t="s">
        <v>1510</v>
      </c>
      <c r="AJ320" s="308" t="s">
        <v>1870</v>
      </c>
      <c r="AK320" s="181" t="str">
        <f t="shared" ca="1" si="60"/>
        <v>TERMINO</v>
      </c>
      <c r="AL320" s="181" t="s">
        <v>576</v>
      </c>
      <c r="AM320" s="176" t="s">
        <v>391</v>
      </c>
      <c r="AN320" s="875" t="str">
        <f>IFERROR(VLOOKUP(E320,'liquidaciones '!$B$2:$C$1048576,2,0),"NO")</f>
        <v>LIQUIDADO</v>
      </c>
      <c r="AO320" s="983">
        <f>IFERROR(VLOOKUP(E320,'liquidaciones '!$B$2:$I$1048576,8,0),"")</f>
        <v>0</v>
      </c>
      <c r="AP320" s="342"/>
      <c r="AQ320" s="177" t="str">
        <f t="shared" ca="1" si="64"/>
        <v>SI</v>
      </c>
      <c r="AR320" s="177" t="s">
        <v>1995</v>
      </c>
      <c r="AS320" s="438"/>
      <c r="AT320" s="1015"/>
    </row>
    <row r="321" spans="2:46" ht="47.25" customHeight="1" x14ac:dyDescent="0.25">
      <c r="B321" s="15">
        <v>315</v>
      </c>
      <c r="C321" s="442">
        <v>157</v>
      </c>
      <c r="D321" s="442" t="str">
        <f t="shared" si="53"/>
        <v>2015157</v>
      </c>
      <c r="E321" s="895" t="s">
        <v>1996</v>
      </c>
      <c r="F321" s="887" t="s">
        <v>1997</v>
      </c>
      <c r="G321" s="895">
        <v>860053195</v>
      </c>
      <c r="H321" s="893" t="s">
        <v>1998</v>
      </c>
      <c r="I321" s="210">
        <v>29000000</v>
      </c>
      <c r="J321" s="707" t="s">
        <v>1946</v>
      </c>
      <c r="K321" s="298">
        <v>2015</v>
      </c>
      <c r="L321" s="551">
        <v>42167</v>
      </c>
      <c r="M321" s="894">
        <v>42179</v>
      </c>
      <c r="N321" s="894">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12" t="s">
        <v>1970</v>
      </c>
      <c r="Y321" s="42">
        <f t="shared" si="56"/>
        <v>0.91362790524236026</v>
      </c>
      <c r="Z321" s="42">
        <f t="shared" ca="1" si="57"/>
        <v>1</v>
      </c>
      <c r="AA321" s="43">
        <f t="shared" ca="1" si="58"/>
        <v>8.6372094757639739E-2</v>
      </c>
      <c r="AB321" s="202" t="str">
        <f t="shared" ca="1" si="59"/>
        <v/>
      </c>
      <c r="AC321" s="44" t="str">
        <f t="shared" si="63"/>
        <v>NO</v>
      </c>
      <c r="AD321" s="765" t="str">
        <f>VLOOKUP(C321,[2]Hoja4!$A$2:$E$116,5,0)</f>
        <v>SUMINISTRO</v>
      </c>
      <c r="AE321" s="173" t="s">
        <v>1257</v>
      </c>
      <c r="AF321" s="284" t="s">
        <v>1136</v>
      </c>
      <c r="AG321" s="173"/>
      <c r="AH321" s="284" t="s">
        <v>562</v>
      </c>
      <c r="AI321" s="308" t="s">
        <v>1385</v>
      </c>
      <c r="AJ321" s="308" t="s">
        <v>1870</v>
      </c>
      <c r="AK321" s="181" t="str">
        <f t="shared" ca="1" si="60"/>
        <v>TERMINO</v>
      </c>
      <c r="AL321" s="181" t="s">
        <v>576</v>
      </c>
      <c r="AM321" s="176" t="s">
        <v>390</v>
      </c>
      <c r="AN321" s="875" t="str">
        <f>IFERROR(VLOOKUP(E321,'liquidaciones '!$B$2:$C$1048576,2,0),"NO")</f>
        <v>LIQUIDADO</v>
      </c>
      <c r="AO321" s="983" t="str">
        <f>IFERROR(VLOOKUP(E321,'liquidaciones '!$B$2:$I$1048576,8,0),"")</f>
        <v>LEIDY RIVERA</v>
      </c>
      <c r="AP321" s="342"/>
      <c r="AQ321" s="177" t="str">
        <f t="shared" ca="1" si="64"/>
        <v>SI</v>
      </c>
      <c r="AR321" s="177" t="s">
        <v>1573</v>
      </c>
      <c r="AS321" s="438"/>
      <c r="AT321" s="1015"/>
    </row>
    <row r="322" spans="2:46" ht="47.25" customHeight="1" x14ac:dyDescent="0.25">
      <c r="B322" s="15">
        <v>316</v>
      </c>
      <c r="C322" s="442">
        <v>300</v>
      </c>
      <c r="D322" s="442" t="str">
        <f t="shared" si="53"/>
        <v>2015300</v>
      </c>
      <c r="E322" s="895" t="s">
        <v>1999</v>
      </c>
      <c r="F322" s="893" t="s">
        <v>2000</v>
      </c>
      <c r="G322" s="895">
        <v>1015452774</v>
      </c>
      <c r="H322" s="893" t="s">
        <v>2001</v>
      </c>
      <c r="I322" s="210">
        <v>12000000</v>
      </c>
      <c r="J322" s="731" t="s">
        <v>1999</v>
      </c>
      <c r="K322" s="298">
        <v>2015</v>
      </c>
      <c r="L322" s="551">
        <v>42171</v>
      </c>
      <c r="M322" s="894">
        <v>42174</v>
      </c>
      <c r="N322" s="894">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12" t="s">
        <v>1533</v>
      </c>
      <c r="Y322" s="42">
        <f t="shared" si="56"/>
        <v>1</v>
      </c>
      <c r="Z322" s="42">
        <f t="shared" ca="1" si="57"/>
        <v>1</v>
      </c>
      <c r="AA322" s="43">
        <f t="shared" ca="1" si="58"/>
        <v>0</v>
      </c>
      <c r="AB322" s="202" t="str">
        <f t="shared" ca="1" si="59"/>
        <v/>
      </c>
      <c r="AC322" s="44" t="str">
        <f t="shared" si="63"/>
        <v>SI</v>
      </c>
      <c r="AD322" s="765" t="str">
        <f>VLOOKUP(C322,[2]Hoja4!$A$2:$E$116,5,0)</f>
        <v>PRESTACION DE SERVICIOS</v>
      </c>
      <c r="AE322" s="173" t="s">
        <v>1257</v>
      </c>
      <c r="AF322" s="284" t="s">
        <v>1971</v>
      </c>
      <c r="AG322" s="173" t="s">
        <v>1430</v>
      </c>
      <c r="AH322" s="284" t="s">
        <v>563</v>
      </c>
      <c r="AI322" s="308" t="s">
        <v>2167</v>
      </c>
      <c r="AJ322" s="308" t="s">
        <v>1870</v>
      </c>
      <c r="AK322" s="181" t="str">
        <f t="shared" ca="1" si="60"/>
        <v>TERMINO</v>
      </c>
      <c r="AL322" s="313" t="s">
        <v>582</v>
      </c>
      <c r="AM322" s="176" t="s">
        <v>391</v>
      </c>
      <c r="AN322" s="875" t="str">
        <f>IFERROR(VLOOKUP(E322,'liquidaciones '!$B$2:$C$1048576,2,0),"NO")</f>
        <v>LIQUIDADO</v>
      </c>
      <c r="AO322" s="983">
        <f>IFERROR(VLOOKUP(E322,'liquidaciones '!$B$2:$I$1048576,8,0),"")</f>
        <v>0</v>
      </c>
      <c r="AP322" s="342"/>
      <c r="AQ322" s="177" t="str">
        <f t="shared" ca="1" si="64"/>
        <v>SI</v>
      </c>
      <c r="AR322" s="177" t="s">
        <v>2395</v>
      </c>
      <c r="AS322" s="438"/>
      <c r="AT322" s="1015"/>
    </row>
    <row r="323" spans="2:46" ht="47.25" customHeight="1" x14ac:dyDescent="0.25">
      <c r="B323" s="15">
        <v>317</v>
      </c>
      <c r="C323" s="442">
        <v>167</v>
      </c>
      <c r="D323" s="442" t="str">
        <f t="shared" si="53"/>
        <v>2015167</v>
      </c>
      <c r="E323" s="895" t="s">
        <v>2002</v>
      </c>
      <c r="F323" s="893" t="s">
        <v>2003</v>
      </c>
      <c r="G323" s="895">
        <v>830113914</v>
      </c>
      <c r="H323" s="893" t="s">
        <v>2008</v>
      </c>
      <c r="I323" s="210">
        <v>69400000</v>
      </c>
      <c r="J323" s="708" t="s">
        <v>1755</v>
      </c>
      <c r="K323" s="298">
        <v>2015</v>
      </c>
      <c r="L323" s="551">
        <v>42167</v>
      </c>
      <c r="M323" s="894">
        <v>42186</v>
      </c>
      <c r="N323" s="894">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12" t="s">
        <v>2009</v>
      </c>
      <c r="Y323" s="42">
        <f t="shared" si="56"/>
        <v>0.99999853025936603</v>
      </c>
      <c r="Z323" s="42">
        <f t="shared" ca="1" si="57"/>
        <v>1</v>
      </c>
      <c r="AA323" s="43">
        <f t="shared" ca="1" si="58"/>
        <v>1.4697406339747587E-6</v>
      </c>
      <c r="AB323" s="202" t="str">
        <f t="shared" ca="1" si="59"/>
        <v/>
      </c>
      <c r="AC323" s="44" t="str">
        <f t="shared" si="63"/>
        <v>SI</v>
      </c>
      <c r="AD323" s="765" t="str">
        <f>VLOOKUP(C323,[2]Hoja4!$A$2:$E$116,5,0)</f>
        <v>SUMINISTRO</v>
      </c>
      <c r="AE323" s="173" t="s">
        <v>1257</v>
      </c>
      <c r="AF323" s="307" t="s">
        <v>1131</v>
      </c>
      <c r="AG323" s="173" t="s">
        <v>1443</v>
      </c>
      <c r="AH323" s="284" t="s">
        <v>560</v>
      </c>
      <c r="AI323" s="179" t="s">
        <v>1380</v>
      </c>
      <c r="AJ323" s="308" t="s">
        <v>1870</v>
      </c>
      <c r="AK323" s="181" t="str">
        <f t="shared" ca="1" si="60"/>
        <v>TERMINO</v>
      </c>
      <c r="AL323" s="313" t="s">
        <v>575</v>
      </c>
      <c r="AM323" s="176" t="s">
        <v>390</v>
      </c>
      <c r="AN323" s="875" t="str">
        <f>IFERROR(VLOOKUP(E323,'liquidaciones '!$B$2:$C$1048576,2,0),"NO")</f>
        <v>LIQUIDADO</v>
      </c>
      <c r="AO323" s="983">
        <f>IFERROR(VLOOKUP(E323,'liquidaciones '!$B$2:$I$1048576,8,0),"")</f>
        <v>0</v>
      </c>
      <c r="AP323" s="342"/>
      <c r="AQ323" s="177" t="str">
        <f t="shared" ca="1" si="64"/>
        <v>SI</v>
      </c>
      <c r="AR323" s="177" t="s">
        <v>1511</v>
      </c>
      <c r="AS323" s="438"/>
      <c r="AT323" s="1015"/>
    </row>
    <row r="324" spans="2:46" ht="47.25" customHeight="1" x14ac:dyDescent="0.25">
      <c r="B324" s="15">
        <v>318</v>
      </c>
      <c r="C324" s="442">
        <v>139</v>
      </c>
      <c r="D324" s="442" t="str">
        <f t="shared" si="53"/>
        <v>2015139</v>
      </c>
      <c r="E324" s="895" t="s">
        <v>3352</v>
      </c>
      <c r="F324" s="893" t="s">
        <v>2007</v>
      </c>
      <c r="G324" s="895" t="s">
        <v>2017</v>
      </c>
      <c r="H324" s="893" t="s">
        <v>2016</v>
      </c>
      <c r="I324" s="210">
        <v>1607400</v>
      </c>
      <c r="J324" s="708" t="s">
        <v>1956</v>
      </c>
      <c r="K324" s="298">
        <v>2015</v>
      </c>
      <c r="L324" s="551">
        <v>42172</v>
      </c>
      <c r="M324" s="894">
        <v>42202</v>
      </c>
      <c r="N324" s="894">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12" t="s">
        <v>1548</v>
      </c>
      <c r="Y324" s="42">
        <f t="shared" si="56"/>
        <v>0.98705113848450909</v>
      </c>
      <c r="Z324" s="42">
        <f t="shared" ca="1" si="57"/>
        <v>1</v>
      </c>
      <c r="AA324" s="43">
        <f t="shared" ca="1" si="58"/>
        <v>1.2948861515490906E-2</v>
      </c>
      <c r="AB324" s="202" t="str">
        <f t="shared" ca="1" si="59"/>
        <v/>
      </c>
      <c r="AC324" s="44" t="str">
        <f t="shared" si="63"/>
        <v>NO</v>
      </c>
      <c r="AD324" s="765" t="str">
        <f>VLOOKUP(C324,[2]Hoja4!$A$2:$E$116,5,0)</f>
        <v>SUSCRIPCION</v>
      </c>
      <c r="AE324" s="173" t="s">
        <v>1257</v>
      </c>
      <c r="AF324" s="284" t="s">
        <v>1134</v>
      </c>
      <c r="AG324" s="173" t="s">
        <v>1443</v>
      </c>
      <c r="AH324" s="284" t="s">
        <v>560</v>
      </c>
      <c r="AI324" s="308"/>
      <c r="AJ324" s="308" t="s">
        <v>1870</v>
      </c>
      <c r="AK324" s="181" t="str">
        <f t="shared" ca="1" si="60"/>
        <v>TERMINO</v>
      </c>
      <c r="AL324" s="181" t="s">
        <v>576</v>
      </c>
      <c r="AM324" s="176" t="s">
        <v>390</v>
      </c>
      <c r="AN324" s="875" t="str">
        <f>IFERROR(VLOOKUP(E324,'liquidaciones '!$B$2:$C$1048576,2,0),"NO")</f>
        <v>DEVUELTO</v>
      </c>
      <c r="AO324" s="983" t="str">
        <f>IFERROR(VLOOKUP(E324,'liquidaciones '!$B$2:$I$1048576,8,0),"")</f>
        <v>JULIETH ANGARITA</v>
      </c>
      <c r="AP324" s="342"/>
      <c r="AQ324" s="177" t="str">
        <f t="shared" ca="1" si="64"/>
        <v>SI</v>
      </c>
      <c r="AR324" s="177" t="s">
        <v>1511</v>
      </c>
      <c r="AS324" s="438" t="s">
        <v>3538</v>
      </c>
      <c r="AT324" s="1015"/>
    </row>
    <row r="325" spans="2:46" ht="66.75" customHeight="1" x14ac:dyDescent="0.25">
      <c r="B325" s="15">
        <v>319</v>
      </c>
      <c r="C325" s="442">
        <v>182</v>
      </c>
      <c r="D325" s="442" t="str">
        <f t="shared" si="53"/>
        <v>2015182</v>
      </c>
      <c r="E325" s="895" t="s">
        <v>2010</v>
      </c>
      <c r="F325" s="893" t="s">
        <v>2011</v>
      </c>
      <c r="G325" s="895" t="s">
        <v>2012</v>
      </c>
      <c r="H325" s="893" t="s">
        <v>2013</v>
      </c>
      <c r="I325" s="210">
        <v>102000000</v>
      </c>
      <c r="J325" s="708" t="s">
        <v>1754</v>
      </c>
      <c r="K325" s="298">
        <v>2015</v>
      </c>
      <c r="L325" s="551">
        <v>42171</v>
      </c>
      <c r="M325" s="894">
        <v>42214</v>
      </c>
      <c r="N325" s="894">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12" t="s">
        <v>2014</v>
      </c>
      <c r="Y325" s="42">
        <f t="shared" si="56"/>
        <v>0.99955161363540235</v>
      </c>
      <c r="Z325" s="42">
        <f t="shared" ca="1" si="57"/>
        <v>1</v>
      </c>
      <c r="AA325" s="43">
        <f t="shared" ca="1" si="58"/>
        <v>4.4838636459765269E-4</v>
      </c>
      <c r="AB325" s="202" t="str">
        <f t="shared" ca="1" si="59"/>
        <v/>
      </c>
      <c r="AC325" s="44" t="str">
        <f t="shared" si="63"/>
        <v>SI</v>
      </c>
      <c r="AD325" s="765" t="str">
        <f>VLOOKUP(C325,[2]Hoja4!$A$2:$E$116,5,0)</f>
        <v>PRESTACION DE SERVICIOS</v>
      </c>
      <c r="AE325" s="173" t="s">
        <v>1257</v>
      </c>
      <c r="AF325" s="284" t="s">
        <v>1302</v>
      </c>
      <c r="AG325" s="173" t="s">
        <v>1436</v>
      </c>
      <c r="AH325" s="284" t="s">
        <v>560</v>
      </c>
      <c r="AI325" s="174" t="s">
        <v>1387</v>
      </c>
      <c r="AJ325" s="308" t="s">
        <v>1870</v>
      </c>
      <c r="AK325" s="181" t="str">
        <f t="shared" ca="1" si="60"/>
        <v>TERMINO</v>
      </c>
      <c r="AL325" s="313" t="s">
        <v>574</v>
      </c>
      <c r="AM325" s="176" t="s">
        <v>390</v>
      </c>
      <c r="AN325" s="875" t="str">
        <f>IFERROR(VLOOKUP(E325,'liquidaciones '!$B$2:$C$1048576,2,0),"NO")</f>
        <v>LIQUIDADO</v>
      </c>
      <c r="AO325" s="983">
        <f>IFERROR(VLOOKUP(E325,'liquidaciones '!$B$2:$I$1048576,8,0),"")</f>
        <v>0</v>
      </c>
      <c r="AP325" s="342"/>
      <c r="AQ325" s="177" t="str">
        <f t="shared" ca="1" si="64"/>
        <v>SI</v>
      </c>
      <c r="AR325" s="177" t="s">
        <v>2080</v>
      </c>
      <c r="AS325" s="438"/>
      <c r="AT325" s="1015"/>
    </row>
    <row r="326" spans="2:46" ht="66" customHeight="1" x14ac:dyDescent="0.25">
      <c r="B326" s="15">
        <v>320</v>
      </c>
      <c r="C326" s="442">
        <v>165</v>
      </c>
      <c r="D326" s="442" t="str">
        <f t="shared" si="53"/>
        <v>2015165</v>
      </c>
      <c r="E326" s="895" t="s">
        <v>2019</v>
      </c>
      <c r="F326" s="893" t="s">
        <v>2020</v>
      </c>
      <c r="G326" s="895">
        <v>807003866</v>
      </c>
      <c r="H326" s="893" t="s">
        <v>2021</v>
      </c>
      <c r="I326" s="210">
        <v>342000000</v>
      </c>
      <c r="J326" s="708" t="s">
        <v>1762</v>
      </c>
      <c r="K326" s="298">
        <v>2015</v>
      </c>
      <c r="L326" s="551">
        <v>42174</v>
      </c>
      <c r="M326" s="894">
        <v>42187</v>
      </c>
      <c r="N326" s="894">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12"/>
      <c r="Y326" s="42">
        <f t="shared" si="56"/>
        <v>0.8634213087557604</v>
      </c>
      <c r="Z326" s="42">
        <f t="shared" ca="1" si="57"/>
        <v>1</v>
      </c>
      <c r="AA326" s="43">
        <f t="shared" ca="1" si="58"/>
        <v>0.1365786912442396</v>
      </c>
      <c r="AB326" s="202" t="str">
        <f t="shared" ca="1" si="59"/>
        <v/>
      </c>
      <c r="AC326" s="44" t="str">
        <f t="shared" si="63"/>
        <v>NO</v>
      </c>
      <c r="AD326" s="765" t="str">
        <f>VLOOKUP(C326,[2]Hoja4!$A$2:$E$116,5,0)</f>
        <v>PRESTACION DE SERVICIOS</v>
      </c>
      <c r="AE326" s="173" t="s">
        <v>1257</v>
      </c>
      <c r="AF326" s="284" t="s">
        <v>1139</v>
      </c>
      <c r="AG326" s="173" t="s">
        <v>1443</v>
      </c>
      <c r="AH326" s="284" t="s">
        <v>560</v>
      </c>
      <c r="AI326" s="174" t="s">
        <v>1380</v>
      </c>
      <c r="AJ326" s="308" t="s">
        <v>1870</v>
      </c>
      <c r="AK326" s="181" t="str">
        <f t="shared" ca="1" si="60"/>
        <v>TERMINO</v>
      </c>
      <c r="AL326" s="313" t="s">
        <v>575</v>
      </c>
      <c r="AM326" s="176" t="s">
        <v>390</v>
      </c>
      <c r="AN326" s="875" t="str">
        <f>IFERROR(VLOOKUP(E326,'liquidaciones '!$B$2:$C$1048576,2,0),"NO")</f>
        <v>NO</v>
      </c>
      <c r="AO326" s="983" t="str">
        <f>IFERROR(VLOOKUP(E326,'liquidaciones '!$B$2:$I$1048576,8,0),"")</f>
        <v>MANUEL ROJAS</v>
      </c>
      <c r="AP326" s="342"/>
      <c r="AQ326" s="177" t="str">
        <f t="shared" ca="1" si="64"/>
        <v>SI</v>
      </c>
      <c r="AR326" s="177" t="s">
        <v>1511</v>
      </c>
      <c r="AS326" s="438"/>
      <c r="AT326" s="1015"/>
    </row>
    <row r="327" spans="2:46" ht="47.25" customHeight="1" x14ac:dyDescent="0.25">
      <c r="B327" s="15">
        <v>321</v>
      </c>
      <c r="C327" s="442">
        <v>158</v>
      </c>
      <c r="D327" s="442" t="str">
        <f t="shared" ref="D327:D379" si="66">K327&amp;C327</f>
        <v>2015158</v>
      </c>
      <c r="E327" s="895" t="s">
        <v>2022</v>
      </c>
      <c r="F327" s="893" t="s">
        <v>3700</v>
      </c>
      <c r="G327" s="895" t="s">
        <v>2023</v>
      </c>
      <c r="H327" s="893" t="s">
        <v>2024</v>
      </c>
      <c r="I327" s="210">
        <v>180000000</v>
      </c>
      <c r="J327" s="731" t="s">
        <v>2022</v>
      </c>
      <c r="K327" s="298">
        <v>2015</v>
      </c>
      <c r="L327" s="551">
        <v>42179</v>
      </c>
      <c r="M327" s="894">
        <v>42219</v>
      </c>
      <c r="N327" s="894">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12"/>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5" t="str">
        <f>VLOOKUP(C327,[2]Hoja4!$A$2:$E$116,5,0)</f>
        <v>CONVENIO INTERADMINISTRATIVO</v>
      </c>
      <c r="AE327" s="173" t="s">
        <v>1257</v>
      </c>
      <c r="AF327" s="284"/>
      <c r="AG327" s="173"/>
      <c r="AH327" s="284"/>
      <c r="AI327" s="308" t="s">
        <v>2029</v>
      </c>
      <c r="AJ327" s="308"/>
      <c r="AK327" s="181" t="str">
        <f t="shared" ref="AK327:AK390" ca="1" si="73">IF(T327&gt;=$F$3,"EN EJECUCIÓN","TERMINO")</f>
        <v>TERMINO</v>
      </c>
      <c r="AL327" s="313"/>
      <c r="AM327" s="176"/>
      <c r="AN327" s="875" t="str">
        <f>IFERROR(VLOOKUP(E327,'liquidaciones '!$B$2:$C$1048576,2,0),"NO")</f>
        <v>NO</v>
      </c>
      <c r="AO327" s="983" t="str">
        <f>IFERROR(VLOOKUP(E327,'liquidaciones '!$B$2:$I$1048576,8,0),"")</f>
        <v/>
      </c>
      <c r="AP327" s="342"/>
      <c r="AQ327" s="177" t="str">
        <f t="shared" ca="1" si="64"/>
        <v>SI</v>
      </c>
      <c r="AR327" s="177" t="s">
        <v>2982</v>
      </c>
      <c r="AS327" s="438"/>
      <c r="AT327" s="1015"/>
    </row>
    <row r="328" spans="2:46" ht="47.25" customHeight="1" x14ac:dyDescent="0.25">
      <c r="B328" s="15">
        <v>322</v>
      </c>
      <c r="C328" s="442">
        <v>63</v>
      </c>
      <c r="D328" s="442" t="str">
        <f t="shared" si="66"/>
        <v>201563</v>
      </c>
      <c r="E328" s="895" t="s">
        <v>2026</v>
      </c>
      <c r="F328" s="893" t="s">
        <v>2027</v>
      </c>
      <c r="G328" s="895">
        <v>800198591</v>
      </c>
      <c r="H328" s="893" t="s">
        <v>2028</v>
      </c>
      <c r="I328" s="210">
        <v>213397762</v>
      </c>
      <c r="J328" s="718" t="s">
        <v>2026</v>
      </c>
      <c r="K328" s="298">
        <v>2015</v>
      </c>
      <c r="L328" s="551">
        <v>42165</v>
      </c>
      <c r="M328" s="894">
        <v>42181</v>
      </c>
      <c r="N328" s="894">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12"/>
      <c r="Y328" s="42">
        <f t="shared" si="69"/>
        <v>0.99999998125566092</v>
      </c>
      <c r="Z328" s="42">
        <f t="shared" ca="1" si="70"/>
        <v>1</v>
      </c>
      <c r="AA328" s="43">
        <f t="shared" ca="1" si="71"/>
        <v>1.8744339080889461E-8</v>
      </c>
      <c r="AB328" s="202" t="str">
        <f t="shared" ca="1" si="72"/>
        <v/>
      </c>
      <c r="AC328" s="44" t="str">
        <f t="shared" si="63"/>
        <v>SI</v>
      </c>
      <c r="AD328" s="765" t="str">
        <f>VLOOKUP(C328,[2]Hoja4!$A$2:$E$116,5,0)</f>
        <v>PRESTACION DE SERVICIOS</v>
      </c>
      <c r="AE328" s="173" t="s">
        <v>1258</v>
      </c>
      <c r="AF328" s="173" t="s">
        <v>1175</v>
      </c>
      <c r="AG328" s="173" t="s">
        <v>1440</v>
      </c>
      <c r="AH328" s="284" t="s">
        <v>560</v>
      </c>
      <c r="AI328" s="308" t="s">
        <v>1510</v>
      </c>
      <c r="AJ328" s="308" t="s">
        <v>1870</v>
      </c>
      <c r="AK328" s="181" t="str">
        <f t="shared" ca="1" si="73"/>
        <v>TERMINO</v>
      </c>
      <c r="AL328" s="313" t="s">
        <v>582</v>
      </c>
      <c r="AM328" s="176" t="s">
        <v>390</v>
      </c>
      <c r="AN328" s="875" t="str">
        <f>IFERROR(VLOOKUP(E328,'liquidaciones '!$B$2:$C$1048576,2,0),"NO")</f>
        <v>LIQUIDADO</v>
      </c>
      <c r="AO328" s="983">
        <f>IFERROR(VLOOKUP(E328,'liquidaciones '!$B$2:$I$1048576,8,0),"")</f>
        <v>0</v>
      </c>
      <c r="AP328" s="342"/>
      <c r="AQ328" s="177" t="str">
        <f t="shared" ca="1" si="64"/>
        <v>SI</v>
      </c>
      <c r="AR328" s="177" t="s">
        <v>1995</v>
      </c>
      <c r="AS328" s="438"/>
      <c r="AT328" s="1015"/>
    </row>
    <row r="329" spans="2:46" ht="47.25" customHeight="1" x14ac:dyDescent="0.25">
      <c r="B329" s="15">
        <v>323</v>
      </c>
      <c r="C329" s="442">
        <v>321</v>
      </c>
      <c r="D329" s="442" t="str">
        <f t="shared" si="66"/>
        <v>2015321</v>
      </c>
      <c r="E329" s="895" t="s">
        <v>2030</v>
      </c>
      <c r="F329" s="893" t="s">
        <v>2031</v>
      </c>
      <c r="G329" s="895">
        <v>80854911</v>
      </c>
      <c r="H329" s="893" t="s">
        <v>2032</v>
      </c>
      <c r="I329" s="210">
        <v>10800000</v>
      </c>
      <c r="J329" s="731" t="s">
        <v>2030</v>
      </c>
      <c r="K329" s="298">
        <v>2015</v>
      </c>
      <c r="L329" s="551">
        <v>42179</v>
      </c>
      <c r="M329" s="894">
        <v>42186</v>
      </c>
      <c r="N329" s="894">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12" t="s">
        <v>1533</v>
      </c>
      <c r="Y329" s="42">
        <f t="shared" si="69"/>
        <v>1</v>
      </c>
      <c r="Z329" s="42">
        <f t="shared" ca="1" si="70"/>
        <v>1</v>
      </c>
      <c r="AA329" s="43">
        <f t="shared" ca="1" si="71"/>
        <v>0</v>
      </c>
      <c r="AB329" s="202" t="str">
        <f t="shared" ca="1" si="72"/>
        <v/>
      </c>
      <c r="AC329" s="44" t="str">
        <f t="shared" si="63"/>
        <v>SI</v>
      </c>
      <c r="AD329" s="765" t="str">
        <f>VLOOKUP(C329,[2]Hoja4!$A$2:$E$116,5,0)</f>
        <v>PRESTACION DE SERVICIOS</v>
      </c>
      <c r="AE329" s="173" t="s">
        <v>1257</v>
      </c>
      <c r="AF329" s="284" t="s">
        <v>2061</v>
      </c>
      <c r="AG329" s="173" t="s">
        <v>1439</v>
      </c>
      <c r="AH329" s="284" t="s">
        <v>562</v>
      </c>
      <c r="AI329" s="308" t="s">
        <v>2170</v>
      </c>
      <c r="AJ329" s="308" t="s">
        <v>1870</v>
      </c>
      <c r="AK329" s="181" t="str">
        <f t="shared" ca="1" si="73"/>
        <v>TERMINO</v>
      </c>
      <c r="AL329" s="313" t="s">
        <v>582</v>
      </c>
      <c r="AM329" s="176" t="s">
        <v>391</v>
      </c>
      <c r="AN329" s="875" t="str">
        <f>IFERROR(VLOOKUP(E329,'liquidaciones '!$B$2:$C$1048576,2,0),"NO")</f>
        <v>LIQUIDADO</v>
      </c>
      <c r="AO329" s="983" t="str">
        <f>IFERROR(VLOOKUP(E329,'liquidaciones '!$B$2:$I$1048576,8,0),"")</f>
        <v>MANUEL ROJAS</v>
      </c>
      <c r="AP329" s="342"/>
      <c r="AQ329" s="177" t="str">
        <f t="shared" ca="1" si="64"/>
        <v>SI</v>
      </c>
      <c r="AR329" s="177" t="s">
        <v>1573</v>
      </c>
      <c r="AS329" s="438"/>
      <c r="AT329" s="1015"/>
    </row>
    <row r="330" spans="2:46" ht="47.25" customHeight="1" x14ac:dyDescent="0.25">
      <c r="B330" s="15">
        <v>324</v>
      </c>
      <c r="C330" s="442">
        <v>320</v>
      </c>
      <c r="D330" s="442" t="str">
        <f t="shared" si="66"/>
        <v>2015320</v>
      </c>
      <c r="E330" s="895" t="s">
        <v>2033</v>
      </c>
      <c r="F330" s="893" t="s">
        <v>2034</v>
      </c>
      <c r="G330" s="895">
        <v>79246871</v>
      </c>
      <c r="H330" s="893" t="s">
        <v>2035</v>
      </c>
      <c r="I330" s="210">
        <v>21600000</v>
      </c>
      <c r="J330" s="731" t="s">
        <v>2033</v>
      </c>
      <c r="K330" s="298">
        <v>2015</v>
      </c>
      <c r="L330" s="551">
        <v>42179</v>
      </c>
      <c r="M330" s="894">
        <v>42186</v>
      </c>
      <c r="N330" s="894">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12" t="s">
        <v>1533</v>
      </c>
      <c r="Y330" s="42">
        <f t="shared" si="69"/>
        <v>0.88888888888888884</v>
      </c>
      <c r="Z330" s="42">
        <f t="shared" ca="1" si="70"/>
        <v>1</v>
      </c>
      <c r="AA330" s="43">
        <f t="shared" ca="1" si="71"/>
        <v>0.11111111111111116</v>
      </c>
      <c r="AB330" s="202" t="str">
        <f t="shared" ca="1" si="72"/>
        <v/>
      </c>
      <c r="AC330" s="44" t="str">
        <f t="shared" si="63"/>
        <v>NO</v>
      </c>
      <c r="AD330" s="765" t="str">
        <f>VLOOKUP(C330,[2]Hoja4!$A$2:$E$116,5,0)</f>
        <v>PRESTACION DE SERVICIOS1</v>
      </c>
      <c r="AE330" s="173" t="s">
        <v>1257</v>
      </c>
      <c r="AF330" s="284" t="s">
        <v>2063</v>
      </c>
      <c r="AG330" s="173" t="s">
        <v>1438</v>
      </c>
      <c r="AH330" s="284" t="s">
        <v>561</v>
      </c>
      <c r="AI330" s="308" t="s">
        <v>2171</v>
      </c>
      <c r="AJ330" s="308" t="s">
        <v>1870</v>
      </c>
      <c r="AK330" s="181" t="str">
        <f t="shared" ca="1" si="73"/>
        <v>TERMINO</v>
      </c>
      <c r="AL330" s="313" t="s">
        <v>582</v>
      </c>
      <c r="AM330" s="176" t="s">
        <v>391</v>
      </c>
      <c r="AN330" s="875" t="str">
        <f>IFERROR(VLOOKUP(E330,'liquidaciones '!$B$2:$C$1048576,2,0),"NO")</f>
        <v>LIQUIDADO</v>
      </c>
      <c r="AO330" s="983">
        <f>IFERROR(VLOOKUP(E330,'liquidaciones '!$B$2:$I$1048576,8,0),"")</f>
        <v>0</v>
      </c>
      <c r="AP330" s="342"/>
      <c r="AQ330" s="177" t="str">
        <f t="shared" ca="1" si="64"/>
        <v>SI</v>
      </c>
      <c r="AR330" s="177" t="s">
        <v>2080</v>
      </c>
      <c r="AS330" s="438"/>
      <c r="AT330" s="1015"/>
    </row>
    <row r="331" spans="2:46" ht="47.25" customHeight="1" x14ac:dyDescent="0.25">
      <c r="B331" s="15">
        <v>325</v>
      </c>
      <c r="C331" s="442">
        <v>321</v>
      </c>
      <c r="D331" s="442" t="str">
        <f t="shared" si="66"/>
        <v>2015321</v>
      </c>
      <c r="E331" s="895" t="s">
        <v>2036</v>
      </c>
      <c r="F331" s="893" t="s">
        <v>2037</v>
      </c>
      <c r="G331" s="895">
        <v>80170782</v>
      </c>
      <c r="H331" s="893" t="s">
        <v>2032</v>
      </c>
      <c r="I331" s="210">
        <v>10800000</v>
      </c>
      <c r="J331" s="731" t="s">
        <v>2036</v>
      </c>
      <c r="K331" s="298">
        <v>2015</v>
      </c>
      <c r="L331" s="551">
        <v>42179</v>
      </c>
      <c r="M331" s="894">
        <v>42186</v>
      </c>
      <c r="N331" s="894">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12" t="s">
        <v>1533</v>
      </c>
      <c r="Y331" s="42">
        <f t="shared" si="69"/>
        <v>0.83333333333333337</v>
      </c>
      <c r="Z331" s="42">
        <f t="shared" ca="1" si="70"/>
        <v>1</v>
      </c>
      <c r="AA331" s="43">
        <f t="shared" ca="1" si="71"/>
        <v>0.16666666666666663</v>
      </c>
      <c r="AB331" s="202" t="str">
        <f t="shared" ca="1" si="72"/>
        <v/>
      </c>
      <c r="AC331" s="44" t="str">
        <f t="shared" si="63"/>
        <v>NO</v>
      </c>
      <c r="AD331" s="765" t="str">
        <f>VLOOKUP(C331,[2]Hoja4!$A$2:$E$116,5,0)</f>
        <v>PRESTACION DE SERVICIOS</v>
      </c>
      <c r="AE331" s="173" t="s">
        <v>1257</v>
      </c>
      <c r="AF331" s="284" t="s">
        <v>2061</v>
      </c>
      <c r="AG331" s="173" t="s">
        <v>1439</v>
      </c>
      <c r="AH331" s="284" t="s">
        <v>562</v>
      </c>
      <c r="AI331" s="308" t="s">
        <v>2170</v>
      </c>
      <c r="AJ331" s="308" t="s">
        <v>1870</v>
      </c>
      <c r="AK331" s="181" t="str">
        <f t="shared" ca="1" si="73"/>
        <v>TERMINO</v>
      </c>
      <c r="AL331" s="313" t="s">
        <v>582</v>
      </c>
      <c r="AM331" s="176" t="s">
        <v>391</v>
      </c>
      <c r="AN331" s="875" t="str">
        <f>IFERROR(VLOOKUP(E331,'liquidaciones '!$B$2:$C$1048576,2,0),"NO")</f>
        <v>LIQUIDADO</v>
      </c>
      <c r="AO331" s="983" t="str">
        <f>IFERROR(VLOOKUP(E331,'liquidaciones '!$B$2:$I$1048576,8,0),"")</f>
        <v>MANUEL ROJAS</v>
      </c>
      <c r="AP331" s="342"/>
      <c r="AQ331" s="177" t="str">
        <f t="shared" ca="1" si="64"/>
        <v>SI</v>
      </c>
      <c r="AR331" s="177" t="s">
        <v>1573</v>
      </c>
      <c r="AS331" s="438"/>
      <c r="AT331" s="1015"/>
    </row>
    <row r="332" spans="2:46" ht="47.25" customHeight="1" x14ac:dyDescent="0.25">
      <c r="B332" s="15">
        <v>326</v>
      </c>
      <c r="C332" s="442">
        <v>322</v>
      </c>
      <c r="D332" s="442" t="str">
        <f t="shared" si="66"/>
        <v>2015322</v>
      </c>
      <c r="E332" s="895" t="s">
        <v>2038</v>
      </c>
      <c r="F332" s="893" t="s">
        <v>2039</v>
      </c>
      <c r="G332" s="895">
        <v>1032369925</v>
      </c>
      <c r="H332" s="893" t="s">
        <v>2040</v>
      </c>
      <c r="I332" s="210">
        <v>10800000</v>
      </c>
      <c r="J332" s="731" t="s">
        <v>2038</v>
      </c>
      <c r="K332" s="298">
        <v>2015</v>
      </c>
      <c r="L332" s="551">
        <v>42179</v>
      </c>
      <c r="M332" s="894">
        <v>42186</v>
      </c>
      <c r="N332" s="894">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12" t="s">
        <v>1533</v>
      </c>
      <c r="Y332" s="42">
        <f t="shared" si="69"/>
        <v>1</v>
      </c>
      <c r="Z332" s="42">
        <f t="shared" ca="1" si="70"/>
        <v>1</v>
      </c>
      <c r="AA332" s="43">
        <f t="shared" ca="1" si="71"/>
        <v>0</v>
      </c>
      <c r="AB332" s="202" t="str">
        <f t="shared" ca="1" si="72"/>
        <v/>
      </c>
      <c r="AC332" s="44" t="str">
        <f t="shared" si="63"/>
        <v>SI</v>
      </c>
      <c r="AD332" s="765" t="str">
        <f>VLOOKUP(C332,[2]Hoja4!$A$2:$E$116,5,0)</f>
        <v>PRESTACION DE SERVICIOS</v>
      </c>
      <c r="AE332" s="173" t="s">
        <v>1257</v>
      </c>
      <c r="AF332" s="284" t="s">
        <v>2064</v>
      </c>
      <c r="AG332" s="173" t="s">
        <v>1178</v>
      </c>
      <c r="AH332" s="284" t="s">
        <v>559</v>
      </c>
      <c r="AI332" s="308" t="s">
        <v>2173</v>
      </c>
      <c r="AJ332" s="308" t="s">
        <v>1870</v>
      </c>
      <c r="AK332" s="181" t="str">
        <f t="shared" ca="1" si="73"/>
        <v>TERMINO</v>
      </c>
      <c r="AL332" s="313" t="s">
        <v>582</v>
      </c>
      <c r="AM332" s="176" t="s">
        <v>391</v>
      </c>
      <c r="AN332" s="875" t="str">
        <f>IFERROR(VLOOKUP(E332,'liquidaciones '!$B$2:$C$1048576,2,0),"NO")</f>
        <v>LIQUIDADO</v>
      </c>
      <c r="AO332" s="983" t="str">
        <f>IFERROR(VLOOKUP(E332,'liquidaciones '!$B$2:$I$1048576,8,0),"")</f>
        <v>DORA PINILLA</v>
      </c>
      <c r="AP332" s="342"/>
      <c r="AQ332" s="177" t="str">
        <f t="shared" ca="1" si="64"/>
        <v>SI</v>
      </c>
      <c r="AR332" s="177" t="s">
        <v>2080</v>
      </c>
      <c r="AS332" s="438"/>
      <c r="AT332" s="1015"/>
    </row>
    <row r="333" spans="2:46" ht="47.25" customHeight="1" x14ac:dyDescent="0.25">
      <c r="B333" s="15">
        <v>327</v>
      </c>
      <c r="C333" s="442">
        <v>321</v>
      </c>
      <c r="D333" s="442" t="str">
        <f t="shared" si="66"/>
        <v>2015321</v>
      </c>
      <c r="E333" s="895" t="s">
        <v>2041</v>
      </c>
      <c r="F333" s="893" t="s">
        <v>2042</v>
      </c>
      <c r="G333" s="895">
        <v>1019064265</v>
      </c>
      <c r="H333" s="893" t="s">
        <v>2032</v>
      </c>
      <c r="I333" s="210">
        <v>10800000</v>
      </c>
      <c r="J333" s="731" t="s">
        <v>2041</v>
      </c>
      <c r="K333" s="298">
        <v>2015</v>
      </c>
      <c r="L333" s="551">
        <v>42179</v>
      </c>
      <c r="M333" s="894">
        <v>42186</v>
      </c>
      <c r="N333" s="894">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12" t="s">
        <v>1533</v>
      </c>
      <c r="Y333" s="42">
        <f t="shared" si="69"/>
        <v>1</v>
      </c>
      <c r="Z333" s="42">
        <f t="shared" ca="1" si="70"/>
        <v>1</v>
      </c>
      <c r="AA333" s="43">
        <f t="shared" ca="1" si="71"/>
        <v>0</v>
      </c>
      <c r="AB333" s="202" t="str">
        <f t="shared" ca="1" si="72"/>
        <v/>
      </c>
      <c r="AC333" s="44" t="str">
        <f t="shared" si="63"/>
        <v>SI</v>
      </c>
      <c r="AD333" s="765" t="str">
        <f>VLOOKUP(C333,[2]Hoja4!$A$2:$E$116,5,0)</f>
        <v>PRESTACION DE SERVICIOS</v>
      </c>
      <c r="AE333" s="173" t="s">
        <v>1257</v>
      </c>
      <c r="AF333" s="284" t="s">
        <v>2061</v>
      </c>
      <c r="AG333" s="173" t="s">
        <v>1439</v>
      </c>
      <c r="AH333" s="284" t="s">
        <v>562</v>
      </c>
      <c r="AI333" s="308" t="s">
        <v>2170</v>
      </c>
      <c r="AJ333" s="308" t="s">
        <v>1870</v>
      </c>
      <c r="AK333" s="181" t="str">
        <f t="shared" ca="1" si="73"/>
        <v>TERMINO</v>
      </c>
      <c r="AL333" s="313" t="s">
        <v>582</v>
      </c>
      <c r="AM333" s="176" t="s">
        <v>391</v>
      </c>
      <c r="AN333" s="875" t="str">
        <f>IFERROR(VLOOKUP(E333,'liquidaciones '!$B$2:$C$1048576,2,0),"NO")</f>
        <v>LIQUIDADO</v>
      </c>
      <c r="AO333" s="983">
        <f>IFERROR(VLOOKUP(E333,'liquidaciones '!$B$2:$I$1048576,8,0),"")</f>
        <v>0</v>
      </c>
      <c r="AP333" s="342"/>
      <c r="AQ333" s="177" t="str">
        <f t="shared" ca="1" si="64"/>
        <v>SI</v>
      </c>
      <c r="AR333" s="177" t="s">
        <v>1573</v>
      </c>
      <c r="AS333" s="438"/>
      <c r="AT333" s="1015"/>
    </row>
    <row r="334" spans="2:46" ht="47.25" customHeight="1" x14ac:dyDescent="0.25">
      <c r="B334" s="15">
        <v>328</v>
      </c>
      <c r="C334" s="442">
        <v>321</v>
      </c>
      <c r="D334" s="442" t="str">
        <f t="shared" si="66"/>
        <v>2015321</v>
      </c>
      <c r="E334" s="895" t="s">
        <v>2043</v>
      </c>
      <c r="F334" s="893" t="s">
        <v>2044</v>
      </c>
      <c r="G334" s="895">
        <v>36547458</v>
      </c>
      <c r="H334" s="893" t="s">
        <v>2045</v>
      </c>
      <c r="I334" s="210">
        <v>10800000</v>
      </c>
      <c r="J334" s="731" t="s">
        <v>2043</v>
      </c>
      <c r="K334" s="298">
        <v>2015</v>
      </c>
      <c r="L334" s="551">
        <v>42179</v>
      </c>
      <c r="M334" s="894">
        <v>42186</v>
      </c>
      <c r="N334" s="894">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12" t="s">
        <v>1533</v>
      </c>
      <c r="Y334" s="42">
        <f t="shared" si="69"/>
        <v>1</v>
      </c>
      <c r="Z334" s="42">
        <f t="shared" ca="1" si="70"/>
        <v>1</v>
      </c>
      <c r="AA334" s="43">
        <f t="shared" ca="1" si="71"/>
        <v>0</v>
      </c>
      <c r="AB334" s="202" t="str">
        <f t="shared" ca="1" si="72"/>
        <v/>
      </c>
      <c r="AC334" s="44" t="str">
        <f t="shared" si="63"/>
        <v>SI</v>
      </c>
      <c r="AD334" s="765" t="str">
        <f>VLOOKUP(C334,[2]Hoja4!$A$2:$E$116,5,0)</f>
        <v>PRESTACION DE SERVICIOS</v>
      </c>
      <c r="AE334" s="173" t="s">
        <v>1257</v>
      </c>
      <c r="AF334" s="284" t="s">
        <v>2061</v>
      </c>
      <c r="AG334" s="173" t="s">
        <v>1439</v>
      </c>
      <c r="AH334" s="284" t="s">
        <v>562</v>
      </c>
      <c r="AI334" s="308" t="s">
        <v>2170</v>
      </c>
      <c r="AJ334" s="308" t="s">
        <v>1870</v>
      </c>
      <c r="AK334" s="181" t="str">
        <f t="shared" ca="1" si="73"/>
        <v>TERMINO</v>
      </c>
      <c r="AL334" s="313" t="s">
        <v>582</v>
      </c>
      <c r="AM334" s="176" t="s">
        <v>391</v>
      </c>
      <c r="AN334" s="875" t="str">
        <f>IFERROR(VLOOKUP(E334,'liquidaciones '!$B$2:$C$1048576,2,0),"NO")</f>
        <v>LIQUIDADO</v>
      </c>
      <c r="AO334" s="983">
        <f>IFERROR(VLOOKUP(E334,'liquidaciones '!$B$2:$I$1048576,8,0),"")</f>
        <v>0</v>
      </c>
      <c r="AP334" s="342"/>
      <c r="AQ334" s="177" t="str">
        <f t="shared" ca="1" si="64"/>
        <v>SI</v>
      </c>
      <c r="AR334" s="177" t="s">
        <v>1573</v>
      </c>
      <c r="AS334" s="438"/>
      <c r="AT334" s="1015"/>
    </row>
    <row r="335" spans="2:46" ht="47.25" customHeight="1" x14ac:dyDescent="0.25">
      <c r="B335" s="15">
        <v>329</v>
      </c>
      <c r="C335" s="442">
        <v>324</v>
      </c>
      <c r="D335" s="442" t="str">
        <f t="shared" si="66"/>
        <v>2015324</v>
      </c>
      <c r="E335" s="895" t="s">
        <v>2046</v>
      </c>
      <c r="F335" s="893" t="s">
        <v>2047</v>
      </c>
      <c r="G335" s="895">
        <v>35493364</v>
      </c>
      <c r="H335" s="893" t="s">
        <v>2048</v>
      </c>
      <c r="I335" s="210">
        <v>31800000</v>
      </c>
      <c r="J335" s="731" t="s">
        <v>2046</v>
      </c>
      <c r="K335" s="298">
        <v>2015</v>
      </c>
      <c r="L335" s="551">
        <v>42179</v>
      </c>
      <c r="M335" s="894">
        <v>42186</v>
      </c>
      <c r="N335" s="894">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12" t="s">
        <v>1533</v>
      </c>
      <c r="Y335" s="42">
        <f t="shared" si="69"/>
        <v>1</v>
      </c>
      <c r="Z335" s="42">
        <f t="shared" ca="1" si="70"/>
        <v>1</v>
      </c>
      <c r="AA335" s="43">
        <f t="shared" ca="1" si="71"/>
        <v>0</v>
      </c>
      <c r="AB335" s="202" t="str">
        <f t="shared" ca="1" si="72"/>
        <v/>
      </c>
      <c r="AC335" s="44" t="str">
        <f t="shared" si="63"/>
        <v>SI</v>
      </c>
      <c r="AD335" s="765" t="str">
        <f>VLOOKUP(C335,[2]Hoja4!$A$2:$E$116,5,0)</f>
        <v>PRESTACION DE SERVICIOS1</v>
      </c>
      <c r="AE335" s="173" t="s">
        <v>1257</v>
      </c>
      <c r="AF335" s="284" t="s">
        <v>2062</v>
      </c>
      <c r="AG335" s="173" t="s">
        <v>1430</v>
      </c>
      <c r="AH335" s="284" t="s">
        <v>563</v>
      </c>
      <c r="AI335" s="308"/>
      <c r="AJ335" s="308" t="s">
        <v>1870</v>
      </c>
      <c r="AK335" s="181" t="str">
        <f t="shared" ca="1" si="73"/>
        <v>TERMINO</v>
      </c>
      <c r="AL335" s="313" t="s">
        <v>582</v>
      </c>
      <c r="AM335" s="176" t="s">
        <v>391</v>
      </c>
      <c r="AN335" s="875" t="str">
        <f>IFERROR(VLOOKUP(E335,'liquidaciones '!$B$2:$C$1048576,2,0),"NO")</f>
        <v>LIQUIDADO</v>
      </c>
      <c r="AO335" s="983">
        <f>IFERROR(VLOOKUP(E335,'liquidaciones '!$B$2:$I$1048576,8,0),"")</f>
        <v>0</v>
      </c>
      <c r="AP335" s="342"/>
      <c r="AQ335" s="177" t="str">
        <f t="shared" ca="1" si="64"/>
        <v>SI</v>
      </c>
      <c r="AR335" s="177" t="s">
        <v>2080</v>
      </c>
      <c r="AS335" s="438"/>
      <c r="AT335" s="1015"/>
    </row>
    <row r="336" spans="2:46" ht="47.25" customHeight="1" x14ac:dyDescent="0.25">
      <c r="B336" s="15">
        <v>330</v>
      </c>
      <c r="C336" s="442">
        <v>321</v>
      </c>
      <c r="D336" s="442" t="str">
        <f t="shared" si="66"/>
        <v>2015321</v>
      </c>
      <c r="E336" s="895" t="s">
        <v>2049</v>
      </c>
      <c r="F336" s="893" t="s">
        <v>2050</v>
      </c>
      <c r="G336" s="895">
        <v>52289212</v>
      </c>
      <c r="H336" s="893" t="s">
        <v>2045</v>
      </c>
      <c r="I336" s="210">
        <v>10800000</v>
      </c>
      <c r="J336" s="731" t="s">
        <v>2049</v>
      </c>
      <c r="K336" s="298">
        <v>2015</v>
      </c>
      <c r="L336" s="551">
        <v>42179</v>
      </c>
      <c r="M336" s="894">
        <v>42186</v>
      </c>
      <c r="N336" s="894">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12" t="s">
        <v>1533</v>
      </c>
      <c r="Y336" s="42">
        <f t="shared" si="69"/>
        <v>1</v>
      </c>
      <c r="Z336" s="42">
        <f t="shared" ca="1" si="70"/>
        <v>1</v>
      </c>
      <c r="AA336" s="43">
        <f t="shared" ca="1" si="71"/>
        <v>0</v>
      </c>
      <c r="AB336" s="202" t="str">
        <f t="shared" ca="1" si="72"/>
        <v/>
      </c>
      <c r="AC336" s="44" t="str">
        <f t="shared" si="63"/>
        <v>SI</v>
      </c>
      <c r="AD336" s="765" t="str">
        <f>VLOOKUP(C336,[2]Hoja4!$A$2:$E$116,5,0)</f>
        <v>PRESTACION DE SERVICIOS</v>
      </c>
      <c r="AE336" s="173" t="s">
        <v>1257</v>
      </c>
      <c r="AF336" s="284" t="s">
        <v>2061</v>
      </c>
      <c r="AG336" s="173" t="s">
        <v>1439</v>
      </c>
      <c r="AH336" s="284" t="s">
        <v>562</v>
      </c>
      <c r="AI336" s="308" t="s">
        <v>2170</v>
      </c>
      <c r="AJ336" s="308" t="s">
        <v>1870</v>
      </c>
      <c r="AK336" s="181" t="str">
        <f t="shared" ca="1" si="73"/>
        <v>TERMINO</v>
      </c>
      <c r="AL336" s="313" t="s">
        <v>582</v>
      </c>
      <c r="AM336" s="176" t="s">
        <v>391</v>
      </c>
      <c r="AN336" s="875" t="str">
        <f>IFERROR(VLOOKUP(E336,'liquidaciones '!$B$2:$C$1048576,2,0),"NO")</f>
        <v>LIQUIDADO</v>
      </c>
      <c r="AO336" s="983">
        <f>IFERROR(VLOOKUP(E336,'liquidaciones '!$B$2:$I$1048576,8,0),"")</f>
        <v>0</v>
      </c>
      <c r="AP336" s="342"/>
      <c r="AQ336" s="177" t="str">
        <f t="shared" ca="1" si="64"/>
        <v>SI</v>
      </c>
      <c r="AR336" s="177" t="s">
        <v>1573</v>
      </c>
      <c r="AS336" s="438"/>
      <c r="AT336" s="1015"/>
    </row>
    <row r="337" spans="2:46" ht="47.25" customHeight="1" x14ac:dyDescent="0.25">
      <c r="B337" s="15">
        <v>331</v>
      </c>
      <c r="C337" s="442">
        <v>319</v>
      </c>
      <c r="D337" s="442" t="str">
        <f t="shared" si="66"/>
        <v>2015319</v>
      </c>
      <c r="E337" s="895" t="s">
        <v>2051</v>
      </c>
      <c r="F337" s="893" t="s">
        <v>2052</v>
      </c>
      <c r="G337" s="895">
        <v>19465430</v>
      </c>
      <c r="H337" s="893" t="s">
        <v>2053</v>
      </c>
      <c r="I337" s="210">
        <v>31800000</v>
      </c>
      <c r="J337" s="731" t="s">
        <v>2051</v>
      </c>
      <c r="K337" s="298">
        <v>2015</v>
      </c>
      <c r="L337" s="551">
        <v>42179</v>
      </c>
      <c r="M337" s="894">
        <v>42186</v>
      </c>
      <c r="N337" s="894">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12" t="s">
        <v>1533</v>
      </c>
      <c r="Y337" s="42">
        <f t="shared" si="69"/>
        <v>1</v>
      </c>
      <c r="Z337" s="42">
        <f t="shared" ca="1" si="70"/>
        <v>1</v>
      </c>
      <c r="AA337" s="43">
        <f t="shared" ca="1" si="71"/>
        <v>0</v>
      </c>
      <c r="AB337" s="202" t="str">
        <f t="shared" ca="1" si="72"/>
        <v/>
      </c>
      <c r="AC337" s="44" t="str">
        <f t="shared" si="63"/>
        <v>SI</v>
      </c>
      <c r="AD337" s="765" t="str">
        <f>VLOOKUP(C337,[2]Hoja4!$A$2:$E$116,5,0)</f>
        <v>PRESTACION DE SERVICIOS1</v>
      </c>
      <c r="AE337" s="173" t="s">
        <v>1257</v>
      </c>
      <c r="AF337" s="284" t="s">
        <v>2060</v>
      </c>
      <c r="AG337" s="173" t="s">
        <v>1178</v>
      </c>
      <c r="AH337" s="284" t="s">
        <v>559</v>
      </c>
      <c r="AI337" s="308" t="s">
        <v>2173</v>
      </c>
      <c r="AJ337" s="308" t="s">
        <v>1870</v>
      </c>
      <c r="AK337" s="181" t="str">
        <f t="shared" ca="1" si="73"/>
        <v>TERMINO</v>
      </c>
      <c r="AL337" s="313" t="s">
        <v>582</v>
      </c>
      <c r="AM337" s="176" t="s">
        <v>391</v>
      </c>
      <c r="AN337" s="875" t="str">
        <f>IFERROR(VLOOKUP(E337,'liquidaciones '!$B$2:$C$1048576,2,0),"NO")</f>
        <v>LIQUIDADO</v>
      </c>
      <c r="AO337" s="983" t="str">
        <f>IFERROR(VLOOKUP(E337,'liquidaciones '!$B$2:$I$1048576,8,0),"")</f>
        <v>CLAUDIA VANEGAS</v>
      </c>
      <c r="AP337" s="342"/>
      <c r="AQ337" s="177" t="str">
        <f t="shared" ca="1" si="64"/>
        <v>SI</v>
      </c>
      <c r="AR337" s="177" t="s">
        <v>2080</v>
      </c>
      <c r="AS337" s="438"/>
      <c r="AT337" s="1015"/>
    </row>
    <row r="338" spans="2:46" ht="47.25" customHeight="1" x14ac:dyDescent="0.25">
      <c r="B338" s="15">
        <v>332</v>
      </c>
      <c r="C338" s="442">
        <v>188</v>
      </c>
      <c r="D338" s="442" t="str">
        <f t="shared" si="66"/>
        <v>2015188</v>
      </c>
      <c r="E338" s="895" t="s">
        <v>2057</v>
      </c>
      <c r="F338" s="893" t="s">
        <v>2058</v>
      </c>
      <c r="G338" s="895">
        <v>900409217</v>
      </c>
      <c r="H338" s="893" t="s">
        <v>2059</v>
      </c>
      <c r="I338" s="210">
        <v>52390000</v>
      </c>
      <c r="J338" s="708" t="s">
        <v>1876</v>
      </c>
      <c r="K338" s="298">
        <v>2015</v>
      </c>
      <c r="L338" s="551">
        <v>42181</v>
      </c>
      <c r="M338" s="894">
        <v>42200</v>
      </c>
      <c r="N338" s="894">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12" t="s">
        <v>1881</v>
      </c>
      <c r="Y338" s="42">
        <f t="shared" si="69"/>
        <v>0.93846153846153846</v>
      </c>
      <c r="Z338" s="42">
        <f t="shared" ca="1" si="70"/>
        <v>1</v>
      </c>
      <c r="AA338" s="43">
        <f t="shared" ca="1" si="71"/>
        <v>6.1538461538461542E-2</v>
      </c>
      <c r="AB338" s="202" t="str">
        <f t="shared" ca="1" si="72"/>
        <v/>
      </c>
      <c r="AC338" s="44" t="str">
        <f t="shared" si="63"/>
        <v>NO</v>
      </c>
      <c r="AD338" s="765" t="str">
        <f>VLOOKUP(C338,[2]Hoja4!$A$2:$E$116,5,0)</f>
        <v>PRESTACION DE SERVICIOS</v>
      </c>
      <c r="AE338" s="173" t="s">
        <v>1257</v>
      </c>
      <c r="AF338" s="284" t="s">
        <v>1176</v>
      </c>
      <c r="AG338" s="173" t="s">
        <v>1436</v>
      </c>
      <c r="AH338" s="284" t="s">
        <v>560</v>
      </c>
      <c r="AI338" s="174" t="s">
        <v>1390</v>
      </c>
      <c r="AJ338" s="308" t="s">
        <v>1870</v>
      </c>
      <c r="AK338" s="181" t="str">
        <f t="shared" ca="1" si="73"/>
        <v>TERMINO</v>
      </c>
      <c r="AL338" s="313" t="s">
        <v>574</v>
      </c>
      <c r="AM338" s="176" t="s">
        <v>390</v>
      </c>
      <c r="AN338" s="875" t="str">
        <f>IFERROR(VLOOKUP(E338,'liquidaciones '!$B$2:$C$1048576,2,0),"NO")</f>
        <v>LIQUIDADO</v>
      </c>
      <c r="AO338" s="983">
        <f>IFERROR(VLOOKUP(E338,'liquidaciones '!$B$2:$I$1048576,8,0),"")</f>
        <v>0</v>
      </c>
      <c r="AP338" s="342"/>
      <c r="AQ338" s="177" t="str">
        <f t="shared" ca="1" si="64"/>
        <v>SI</v>
      </c>
      <c r="AR338" s="177" t="s">
        <v>2395</v>
      </c>
      <c r="AS338" s="438"/>
      <c r="AT338" s="1015"/>
    </row>
    <row r="339" spans="2:46" ht="47.25" customHeight="1" x14ac:dyDescent="0.25">
      <c r="B339" s="15">
        <v>333</v>
      </c>
      <c r="C339" s="442">
        <v>321</v>
      </c>
      <c r="D339" s="442" t="str">
        <f t="shared" si="66"/>
        <v>2015321</v>
      </c>
      <c r="E339" s="895" t="s">
        <v>2069</v>
      </c>
      <c r="F339" s="893" t="s">
        <v>2068</v>
      </c>
      <c r="G339" s="895">
        <v>1030580992</v>
      </c>
      <c r="H339" s="893" t="s">
        <v>2045</v>
      </c>
      <c r="I339" s="210">
        <v>10800000</v>
      </c>
      <c r="J339" s="731" t="s">
        <v>2069</v>
      </c>
      <c r="K339" s="298">
        <v>2015</v>
      </c>
      <c r="L339" s="551">
        <v>42193</v>
      </c>
      <c r="M339" s="894">
        <v>42198</v>
      </c>
      <c r="N339" s="894">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12" t="s">
        <v>1533</v>
      </c>
      <c r="Y339" s="42">
        <f t="shared" si="69"/>
        <v>0.26666666666666666</v>
      </c>
      <c r="Z339" s="42">
        <f t="shared" ca="1" si="70"/>
        <v>1</v>
      </c>
      <c r="AA339" s="43">
        <f t="shared" ca="1" si="71"/>
        <v>0.73333333333333339</v>
      </c>
      <c r="AB339" s="202" t="str">
        <f t="shared" ca="1" si="72"/>
        <v/>
      </c>
      <c r="AC339" s="44" t="str">
        <f t="shared" si="63"/>
        <v>NO</v>
      </c>
      <c r="AD339" s="765" t="str">
        <f>VLOOKUP(C339,[2]Hoja4!$A$2:$E$116,5,0)</f>
        <v>PRESTACION DE SERVICIOS</v>
      </c>
      <c r="AE339" s="173" t="s">
        <v>1257</v>
      </c>
      <c r="AF339" s="284" t="s">
        <v>2061</v>
      </c>
      <c r="AG339" s="173" t="s">
        <v>1439</v>
      </c>
      <c r="AH339" s="284" t="s">
        <v>562</v>
      </c>
      <c r="AI339" s="308" t="s">
        <v>2170</v>
      </c>
      <c r="AJ339" s="308" t="s">
        <v>1870</v>
      </c>
      <c r="AK339" s="181" t="str">
        <f t="shared" ca="1" si="73"/>
        <v>TERMINO</v>
      </c>
      <c r="AL339" s="313" t="s">
        <v>582</v>
      </c>
      <c r="AM339" s="176" t="s">
        <v>391</v>
      </c>
      <c r="AN339" s="875" t="str">
        <f>IFERROR(VLOOKUP(E339,'liquidaciones '!$B$2:$C$1048576,2,0),"NO")</f>
        <v>LIQUIDADO</v>
      </c>
      <c r="AO339" s="983" t="str">
        <f>IFERROR(VLOOKUP(E339,'liquidaciones '!$B$2:$I$1048576,8,0),"")</f>
        <v>MANUEL ROJAS</v>
      </c>
      <c r="AP339" s="342"/>
      <c r="AQ339" s="177" t="str">
        <f t="shared" ca="1" si="64"/>
        <v>SI</v>
      </c>
      <c r="AR339" s="177" t="s">
        <v>1573</v>
      </c>
      <c r="AS339" s="438"/>
      <c r="AT339" s="1015"/>
    </row>
    <row r="340" spans="2:46" ht="47.25" customHeight="1" x14ac:dyDescent="0.25">
      <c r="B340" s="15">
        <v>334</v>
      </c>
      <c r="C340" s="442">
        <v>58</v>
      </c>
      <c r="D340" s="442" t="str">
        <f t="shared" si="66"/>
        <v>201558</v>
      </c>
      <c r="E340" s="895" t="s">
        <v>2070</v>
      </c>
      <c r="F340" s="893" t="s">
        <v>2071</v>
      </c>
      <c r="G340" s="895">
        <v>830048145</v>
      </c>
      <c r="H340" s="893" t="s">
        <v>2072</v>
      </c>
      <c r="I340" s="210">
        <v>450880</v>
      </c>
      <c r="J340" s="707" t="s">
        <v>2070</v>
      </c>
      <c r="K340" s="298">
        <v>2015</v>
      </c>
      <c r="L340" s="551">
        <v>42194</v>
      </c>
      <c r="M340" s="894">
        <v>42219</v>
      </c>
      <c r="N340" s="894">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12" t="s">
        <v>1898</v>
      </c>
      <c r="Y340" s="42">
        <f t="shared" si="69"/>
        <v>1</v>
      </c>
      <c r="Z340" s="42">
        <f t="shared" ca="1" si="70"/>
        <v>1</v>
      </c>
      <c r="AA340" s="43">
        <f t="shared" ca="1" si="71"/>
        <v>0</v>
      </c>
      <c r="AB340" s="202" t="str">
        <f t="shared" ca="1" si="72"/>
        <v/>
      </c>
      <c r="AC340" s="44" t="str">
        <f t="shared" si="63"/>
        <v>SI</v>
      </c>
      <c r="AD340" s="765" t="str">
        <f>VLOOKUP(C340,[2]Hoja4!$A$2:$E$116,5,0)</f>
        <v>PRESTACION DE SERVICIOS</v>
      </c>
      <c r="AE340" s="173" t="s">
        <v>1258</v>
      </c>
      <c r="AF340" s="304" t="s">
        <v>1472</v>
      </c>
      <c r="AG340" s="173" t="s">
        <v>1440</v>
      </c>
      <c r="AH340" s="284" t="s">
        <v>560</v>
      </c>
      <c r="AI340" s="174" t="s">
        <v>1510</v>
      </c>
      <c r="AJ340" s="308" t="s">
        <v>1870</v>
      </c>
      <c r="AK340" s="181" t="str">
        <f t="shared" ca="1" si="73"/>
        <v>TERMINO</v>
      </c>
      <c r="AL340" s="313" t="s">
        <v>582</v>
      </c>
      <c r="AM340" s="176" t="s">
        <v>390</v>
      </c>
      <c r="AN340" s="875" t="str">
        <f>IFERROR(VLOOKUP(E340,'liquidaciones '!$B$2:$C$1048576,2,0),"NO")</f>
        <v>LIQUIDADO</v>
      </c>
      <c r="AO340" s="983">
        <f>IFERROR(VLOOKUP(E340,'liquidaciones '!$B$2:$I$1048576,8,0),"")</f>
        <v>0</v>
      </c>
      <c r="AP340" s="342"/>
      <c r="AQ340" s="177" t="str">
        <f t="shared" ca="1" si="64"/>
        <v>SI</v>
      </c>
      <c r="AR340" s="177" t="s">
        <v>1995</v>
      </c>
      <c r="AS340" s="438"/>
      <c r="AT340" s="1015"/>
    </row>
    <row r="341" spans="2:46" ht="47.25" customHeight="1" x14ac:dyDescent="0.25">
      <c r="B341" s="15">
        <v>335</v>
      </c>
      <c r="C341" s="442">
        <v>179</v>
      </c>
      <c r="D341" s="442" t="str">
        <f t="shared" si="66"/>
        <v>2015179</v>
      </c>
      <c r="E341" s="895" t="s">
        <v>2073</v>
      </c>
      <c r="F341" s="893" t="s">
        <v>2074</v>
      </c>
      <c r="G341" s="717">
        <v>860002184</v>
      </c>
      <c r="H341" s="893" t="s">
        <v>2075</v>
      </c>
      <c r="I341" s="210">
        <v>186482674</v>
      </c>
      <c r="J341" s="707" t="s">
        <v>2076</v>
      </c>
      <c r="K341" s="298">
        <v>2015</v>
      </c>
      <c r="L341" s="551">
        <v>42187</v>
      </c>
      <c r="M341" s="894"/>
      <c r="N341" s="894"/>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12" t="s">
        <v>2077</v>
      </c>
      <c r="Y341" s="42">
        <f t="shared" si="69"/>
        <v>0</v>
      </c>
      <c r="Z341" s="42" t="e">
        <f t="shared" ca="1" si="70"/>
        <v>#DIV/0!</v>
      </c>
      <c r="AA341" s="43" t="e">
        <f t="shared" ca="1" si="71"/>
        <v>#DIV/0!</v>
      </c>
      <c r="AB341" s="202" t="e">
        <f t="shared" ca="1" si="72"/>
        <v>#DIV/0!</v>
      </c>
      <c r="AC341" s="44" t="str">
        <f t="shared" si="63"/>
        <v>NO</v>
      </c>
      <c r="AD341" s="765" t="str">
        <f>VLOOKUP(C341,[2]Hoja4!$A$2:$E$116,5,0)</f>
        <v>PRESTACION DE SERVICIOS</v>
      </c>
      <c r="AE341" s="173" t="s">
        <v>1257</v>
      </c>
      <c r="AF341" s="284" t="s">
        <v>2078</v>
      </c>
      <c r="AG341" s="173"/>
      <c r="AH341" s="284" t="s">
        <v>560</v>
      </c>
      <c r="AI341" s="308"/>
      <c r="AJ341" s="308" t="s">
        <v>2079</v>
      </c>
      <c r="AK341" s="181" t="str">
        <f t="shared" ca="1" si="73"/>
        <v>TERMINO</v>
      </c>
      <c r="AL341" s="313" t="s">
        <v>574</v>
      </c>
      <c r="AM341" s="176" t="s">
        <v>390</v>
      </c>
      <c r="AN341" s="875" t="str">
        <f>IFERROR(VLOOKUP(E341,'liquidaciones '!$B$2:$C$1048576,2,0),"NO")</f>
        <v>NO</v>
      </c>
      <c r="AO341" s="983" t="str">
        <f>IFERROR(VLOOKUP(E341,'liquidaciones '!$B$2:$I$1048576,8,0),"")</f>
        <v/>
      </c>
      <c r="AP341" s="342"/>
      <c r="AQ341" s="177" t="str">
        <f t="shared" ca="1" si="64"/>
        <v>NO</v>
      </c>
      <c r="AR341" s="177"/>
      <c r="AS341" s="438"/>
      <c r="AT341" s="1015"/>
    </row>
    <row r="342" spans="2:46" ht="47.25" customHeight="1" x14ac:dyDescent="0.25">
      <c r="B342" s="15">
        <v>336</v>
      </c>
      <c r="C342" s="442">
        <v>60</v>
      </c>
      <c r="D342" s="442" t="str">
        <f t="shared" si="66"/>
        <v>201560</v>
      </c>
      <c r="E342" s="895" t="s">
        <v>2081</v>
      </c>
      <c r="F342" s="893" t="s">
        <v>186</v>
      </c>
      <c r="G342" s="895">
        <v>800039398</v>
      </c>
      <c r="H342" s="893" t="s">
        <v>2082</v>
      </c>
      <c r="I342" s="210">
        <v>85933385</v>
      </c>
      <c r="J342" s="707" t="s">
        <v>2083</v>
      </c>
      <c r="K342" s="298">
        <v>2015</v>
      </c>
      <c r="L342" s="551">
        <v>42200</v>
      </c>
      <c r="M342" s="894">
        <v>42209</v>
      </c>
      <c r="N342" s="894">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12"/>
      <c r="Y342" s="42">
        <f t="shared" si="69"/>
        <v>0.97947762676868833</v>
      </c>
      <c r="Z342" s="42">
        <f t="shared" ca="1" si="70"/>
        <v>1</v>
      </c>
      <c r="AA342" s="43">
        <f t="shared" ca="1" si="71"/>
        <v>2.0522373231311675E-2</v>
      </c>
      <c r="AB342" s="202" t="str">
        <f t="shared" ca="1" si="72"/>
        <v/>
      </c>
      <c r="AC342" s="44" t="str">
        <f t="shared" si="63"/>
        <v>NO</v>
      </c>
      <c r="AD342" s="765" t="str">
        <f>VLOOKUP(C342,[2]Hoja4!$A$2:$E$116,5,0)</f>
        <v>PRESTACION DE SERVICIOS</v>
      </c>
      <c r="AE342" s="173" t="s">
        <v>1258</v>
      </c>
      <c r="AF342" s="284" t="s">
        <v>2084</v>
      </c>
      <c r="AG342" s="173" t="s">
        <v>1440</v>
      </c>
      <c r="AH342" s="284" t="s">
        <v>560</v>
      </c>
      <c r="AI342" s="308" t="s">
        <v>1510</v>
      </c>
      <c r="AJ342" s="308" t="s">
        <v>1870</v>
      </c>
      <c r="AK342" s="181" t="str">
        <f t="shared" ca="1" si="73"/>
        <v>TERMINO</v>
      </c>
      <c r="AL342" s="313" t="s">
        <v>575</v>
      </c>
      <c r="AM342" s="176" t="s">
        <v>390</v>
      </c>
      <c r="AN342" s="875" t="str">
        <f>IFERROR(VLOOKUP(E342,'liquidaciones '!$B$2:$C$1048576,2,0),"NO")</f>
        <v>LIQUIDADO</v>
      </c>
      <c r="AO342" s="983" t="str">
        <f>IFERROR(VLOOKUP(E342,'liquidaciones '!$B$2:$I$1048576,8,0),"")</f>
        <v>JULIETH ANGARITA</v>
      </c>
      <c r="AP342" s="342"/>
      <c r="AQ342" s="177" t="str">
        <f t="shared" ca="1" si="64"/>
        <v>SI</v>
      </c>
      <c r="AR342" s="177" t="s">
        <v>2613</v>
      </c>
      <c r="AS342" s="438"/>
      <c r="AT342" s="1015"/>
    </row>
    <row r="343" spans="2:46" ht="47.25" customHeight="1" x14ac:dyDescent="0.25">
      <c r="B343" s="15">
        <v>337</v>
      </c>
      <c r="C343" s="442">
        <v>189</v>
      </c>
      <c r="D343" s="442" t="str">
        <f t="shared" si="66"/>
        <v>2015189</v>
      </c>
      <c r="E343" s="895" t="s">
        <v>2085</v>
      </c>
      <c r="F343" s="893" t="s">
        <v>2086</v>
      </c>
      <c r="G343" s="895">
        <v>800105847</v>
      </c>
      <c r="H343" s="893" t="s">
        <v>2087</v>
      </c>
      <c r="I343" s="210">
        <v>3608000</v>
      </c>
      <c r="J343" s="707" t="s">
        <v>2015</v>
      </c>
      <c r="K343" s="298">
        <v>2015</v>
      </c>
      <c r="L343" s="551">
        <v>42201</v>
      </c>
      <c r="M343" s="894">
        <v>42295</v>
      </c>
      <c r="N343" s="894">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12" t="s">
        <v>2088</v>
      </c>
      <c r="Y343" s="42">
        <f t="shared" si="69"/>
        <v>1</v>
      </c>
      <c r="Z343" s="42">
        <f t="shared" ca="1" si="70"/>
        <v>1</v>
      </c>
      <c r="AA343" s="43">
        <f t="shared" ca="1" si="71"/>
        <v>0</v>
      </c>
      <c r="AB343" s="202" t="str">
        <f t="shared" ca="1" si="72"/>
        <v/>
      </c>
      <c r="AC343" s="44" t="str">
        <f t="shared" si="63"/>
        <v>SI</v>
      </c>
      <c r="AD343" s="765" t="str">
        <f>VLOOKUP(C343,[2]Hoja4!$A$2:$E$116,5,0)</f>
        <v>PRESTACION DE SERVICIOS</v>
      </c>
      <c r="AE343" s="173" t="s">
        <v>1257</v>
      </c>
      <c r="AF343" s="284" t="s">
        <v>1301</v>
      </c>
      <c r="AG343" s="173" t="s">
        <v>1443</v>
      </c>
      <c r="AH343" s="284" t="s">
        <v>560</v>
      </c>
      <c r="AI343" s="174" t="s">
        <v>1381</v>
      </c>
      <c r="AJ343" s="308" t="s">
        <v>1870</v>
      </c>
      <c r="AK343" s="181" t="str">
        <f t="shared" ca="1" si="73"/>
        <v>TERMINO</v>
      </c>
      <c r="AL343" s="313" t="s">
        <v>576</v>
      </c>
      <c r="AM343" s="176" t="s">
        <v>390</v>
      </c>
      <c r="AN343" s="875" t="str">
        <f>IFERROR(VLOOKUP(E343,'liquidaciones '!$B$2:$C$1048576,2,0),"NO")</f>
        <v>LIQUIDADO</v>
      </c>
      <c r="AO343" s="983" t="str">
        <f>IFERROR(VLOOKUP(E343,'liquidaciones '!$B$2:$I$1048576,8,0),"")</f>
        <v>GIOVANNI SUAREZ</v>
      </c>
      <c r="AP343" s="342"/>
      <c r="AQ343" s="177" t="str">
        <f t="shared" ca="1" si="64"/>
        <v>SI</v>
      </c>
      <c r="AR343" s="177" t="s">
        <v>2395</v>
      </c>
      <c r="AS343" s="438"/>
      <c r="AT343" s="1015"/>
    </row>
    <row r="344" spans="2:46" ht="47.25" customHeight="1" x14ac:dyDescent="0.25">
      <c r="B344" s="15">
        <v>338</v>
      </c>
      <c r="C344" s="442">
        <v>140</v>
      </c>
      <c r="D344" s="442" t="str">
        <f t="shared" si="66"/>
        <v>2015140</v>
      </c>
      <c r="E344" s="895" t="s">
        <v>2094</v>
      </c>
      <c r="F344" s="893" t="s">
        <v>2095</v>
      </c>
      <c r="G344" s="895">
        <v>900631629</v>
      </c>
      <c r="H344" s="893" t="s">
        <v>2096</v>
      </c>
      <c r="I344" s="210">
        <v>715000</v>
      </c>
      <c r="J344" s="707" t="s">
        <v>2056</v>
      </c>
      <c r="K344" s="298">
        <v>2015</v>
      </c>
      <c r="L344" s="551">
        <v>42207</v>
      </c>
      <c r="M344" s="894">
        <v>42221</v>
      </c>
      <c r="N344" s="894">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12" t="s">
        <v>2097</v>
      </c>
      <c r="Y344" s="42">
        <f t="shared" si="69"/>
        <v>1</v>
      </c>
      <c r="Z344" s="42">
        <f t="shared" ca="1" si="70"/>
        <v>1</v>
      </c>
      <c r="AA344" s="43">
        <f t="shared" ca="1" si="71"/>
        <v>0</v>
      </c>
      <c r="AB344" s="202" t="str">
        <f t="shared" ca="1" si="72"/>
        <v/>
      </c>
      <c r="AC344" s="44" t="str">
        <f t="shared" si="63"/>
        <v>SI</v>
      </c>
      <c r="AD344" s="765" t="str">
        <f>VLOOKUP(C344,[2]Hoja4!$A$2:$E$116,5,0)</f>
        <v>SUSCRIPCION</v>
      </c>
      <c r="AE344" s="173" t="s">
        <v>1257</v>
      </c>
      <c r="AF344" s="284" t="s">
        <v>1143</v>
      </c>
      <c r="AG344" s="173" t="s">
        <v>1431</v>
      </c>
      <c r="AH344" s="284" t="s">
        <v>564</v>
      </c>
      <c r="AI344" s="308"/>
      <c r="AJ344" s="308" t="s">
        <v>1870</v>
      </c>
      <c r="AK344" s="181" t="str">
        <f t="shared" ca="1" si="73"/>
        <v>TERMINO</v>
      </c>
      <c r="AL344" s="181" t="s">
        <v>576</v>
      </c>
      <c r="AM344" s="176" t="s">
        <v>390</v>
      </c>
      <c r="AN344" s="875" t="str">
        <f>IFERROR(VLOOKUP(E344,'liquidaciones '!$B$2:$C$1048576,2,0),"NO")</f>
        <v>LIQUIDADO</v>
      </c>
      <c r="AO344" s="983" t="str">
        <f>IFERROR(VLOOKUP(E344,'liquidaciones '!$B$2:$I$1048576,8,0),"")</f>
        <v>GIOVANNI SUAREZ</v>
      </c>
      <c r="AP344" s="342"/>
      <c r="AQ344" s="177" t="str">
        <f t="shared" ca="1" si="64"/>
        <v>SI</v>
      </c>
      <c r="AR344" s="177" t="s">
        <v>2610</v>
      </c>
      <c r="AS344" s="438"/>
      <c r="AT344" s="1015"/>
    </row>
    <row r="345" spans="2:46" ht="47.25" customHeight="1" x14ac:dyDescent="0.25">
      <c r="B345" s="15">
        <v>339</v>
      </c>
      <c r="C345" s="442">
        <v>314</v>
      </c>
      <c r="D345" s="442" t="str">
        <f t="shared" si="66"/>
        <v>2015314</v>
      </c>
      <c r="E345" s="895" t="s">
        <v>2102</v>
      </c>
      <c r="F345" s="893" t="s">
        <v>2100</v>
      </c>
      <c r="G345" s="895">
        <v>830099766</v>
      </c>
      <c r="H345" s="893" t="s">
        <v>2101</v>
      </c>
      <c r="I345" s="210">
        <v>80041097</v>
      </c>
      <c r="J345" s="707" t="s">
        <v>2102</v>
      </c>
      <c r="K345" s="298">
        <v>2015</v>
      </c>
      <c r="L345" s="551">
        <v>42193</v>
      </c>
      <c r="M345" s="894">
        <v>42199</v>
      </c>
      <c r="N345" s="894">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12" t="s">
        <v>1528</v>
      </c>
      <c r="Y345" s="42">
        <f t="shared" si="69"/>
        <v>0.90504481716436247</v>
      </c>
      <c r="Z345" s="42">
        <f t="shared" ca="1" si="70"/>
        <v>1</v>
      </c>
      <c r="AA345" s="43">
        <f t="shared" ca="1" si="71"/>
        <v>9.495518283563753E-2</v>
      </c>
      <c r="AB345" s="202" t="str">
        <f t="shared" ca="1" si="72"/>
        <v/>
      </c>
      <c r="AC345" s="44" t="str">
        <f t="shared" si="63"/>
        <v>NO</v>
      </c>
      <c r="AD345" s="765" t="str">
        <f>VLOOKUP(C345,[2]Hoja4!$A$2:$E$116,5,0)</f>
        <v>PRESTACION DE SERVICIOS</v>
      </c>
      <c r="AE345" s="173" t="s">
        <v>1258</v>
      </c>
      <c r="AF345" s="284" t="s">
        <v>2103</v>
      </c>
      <c r="AG345" s="173" t="s">
        <v>1440</v>
      </c>
      <c r="AH345" s="284" t="s">
        <v>560</v>
      </c>
      <c r="AI345" s="308" t="s">
        <v>1510</v>
      </c>
      <c r="AJ345" s="308" t="s">
        <v>1870</v>
      </c>
      <c r="AK345" s="181" t="str">
        <f t="shared" ca="1" si="73"/>
        <v>TERMINO</v>
      </c>
      <c r="AL345" s="313" t="s">
        <v>582</v>
      </c>
      <c r="AM345" s="176" t="s">
        <v>390</v>
      </c>
      <c r="AN345" s="875" t="str">
        <f>IFERROR(VLOOKUP(E345,'liquidaciones '!$B$2:$C$1048576,2,0),"NO")</f>
        <v>LIQUIDADO</v>
      </c>
      <c r="AO345" s="983" t="str">
        <f>IFERROR(VLOOKUP(E345,'liquidaciones '!$B$2:$I$1048576,8,0),"")</f>
        <v>GIOVANNI SUAREZ</v>
      </c>
      <c r="AP345" s="342"/>
      <c r="AQ345" s="177" t="str">
        <f t="shared" ca="1" si="64"/>
        <v>SI</v>
      </c>
      <c r="AR345" s="177" t="s">
        <v>2613</v>
      </c>
      <c r="AS345" s="438"/>
      <c r="AT345" s="1015"/>
    </row>
    <row r="346" spans="2:46" ht="33.75" x14ac:dyDescent="0.25">
      <c r="B346" s="15">
        <v>340</v>
      </c>
      <c r="C346" s="442">
        <v>59</v>
      </c>
      <c r="D346" s="442" t="str">
        <f t="shared" si="66"/>
        <v>201559</v>
      </c>
      <c r="E346" s="895" t="s">
        <v>2104</v>
      </c>
      <c r="F346" s="893" t="s">
        <v>2106</v>
      </c>
      <c r="G346" s="895" t="s">
        <v>2107</v>
      </c>
      <c r="H346" s="893" t="s">
        <v>2105</v>
      </c>
      <c r="I346" s="210">
        <v>20136071</v>
      </c>
      <c r="J346" s="707" t="s">
        <v>2055</v>
      </c>
      <c r="K346" s="298">
        <v>2015</v>
      </c>
      <c r="L346" s="551">
        <v>42209</v>
      </c>
      <c r="M346" s="894">
        <v>42221</v>
      </c>
      <c r="N346" s="894">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12" t="s">
        <v>1528</v>
      </c>
      <c r="Y346" s="42">
        <f t="shared" si="69"/>
        <v>0.54330008073571057</v>
      </c>
      <c r="Z346" s="42">
        <f t="shared" ca="1" si="70"/>
        <v>1</v>
      </c>
      <c r="AA346" s="43">
        <f t="shared" ca="1" si="71"/>
        <v>0.45669991926428943</v>
      </c>
      <c r="AB346" s="202" t="str">
        <f t="shared" ca="1" si="72"/>
        <v/>
      </c>
      <c r="AC346" s="44" t="str">
        <f t="shared" si="63"/>
        <v>NO</v>
      </c>
      <c r="AD346" s="765" t="str">
        <f>VLOOKUP(C346,[2]Hoja4!$A$2:$E$116,5,0)</f>
        <v>PRESTACION DE SERVICIOS</v>
      </c>
      <c r="AE346" s="173" t="s">
        <v>1258</v>
      </c>
      <c r="AF346" s="284" t="s">
        <v>1827</v>
      </c>
      <c r="AG346" s="173" t="s">
        <v>1440</v>
      </c>
      <c r="AH346" s="284" t="s">
        <v>560</v>
      </c>
      <c r="AI346" s="308" t="s">
        <v>1510</v>
      </c>
      <c r="AJ346" s="308" t="s">
        <v>1870</v>
      </c>
      <c r="AK346" s="181" t="str">
        <f t="shared" ca="1" si="73"/>
        <v>TERMINO</v>
      </c>
      <c r="AL346" s="313" t="s">
        <v>576</v>
      </c>
      <c r="AM346" s="176" t="s">
        <v>390</v>
      </c>
      <c r="AN346" s="875" t="str">
        <f>IFERROR(VLOOKUP(E346,'liquidaciones '!$B$2:$C$1048576,2,0),"NO")</f>
        <v>DEVUELTO</v>
      </c>
      <c r="AO346" s="983" t="str">
        <f>IFERROR(VLOOKUP(E346,'liquidaciones '!$B$2:$I$1048576,8,0),"")</f>
        <v>DORA PINILLA</v>
      </c>
      <c r="AP346" s="342"/>
      <c r="AQ346" s="177" t="str">
        <f t="shared" ca="1" si="64"/>
        <v>SI</v>
      </c>
      <c r="AR346" s="177" t="s">
        <v>2613</v>
      </c>
      <c r="AS346" s="438"/>
      <c r="AT346" s="1015"/>
    </row>
    <row r="347" spans="2:46" ht="67.5" x14ac:dyDescent="0.25">
      <c r="B347" s="15">
        <v>341</v>
      </c>
      <c r="C347" s="442">
        <v>173</v>
      </c>
      <c r="D347" s="442" t="str">
        <f t="shared" si="66"/>
        <v>2015173</v>
      </c>
      <c r="E347" s="895" t="s">
        <v>2108</v>
      </c>
      <c r="F347" s="893" t="s">
        <v>2442</v>
      </c>
      <c r="G347" s="895">
        <v>9002141080</v>
      </c>
      <c r="H347" s="893" t="s">
        <v>2109</v>
      </c>
      <c r="I347" s="210">
        <v>213921490</v>
      </c>
      <c r="J347" s="707" t="s">
        <v>1985</v>
      </c>
      <c r="K347" s="298">
        <v>2015</v>
      </c>
      <c r="L347" s="551">
        <v>42213</v>
      </c>
      <c r="M347" s="894">
        <v>42250</v>
      </c>
      <c r="N347" s="894">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12" t="s">
        <v>1970</v>
      </c>
      <c r="Y347" s="42">
        <f t="shared" si="69"/>
        <v>0.65163895175773978</v>
      </c>
      <c r="Z347" s="42">
        <f t="shared" ca="1" si="70"/>
        <v>1</v>
      </c>
      <c r="AA347" s="43">
        <f t="shared" ca="1" si="71"/>
        <v>0.34836104824226022</v>
      </c>
      <c r="AB347" s="202" t="str">
        <f t="shared" ca="1" si="72"/>
        <v/>
      </c>
      <c r="AC347" s="44" t="str">
        <f t="shared" si="63"/>
        <v>NO</v>
      </c>
      <c r="AD347" s="765" t="str">
        <f>VLOOKUP(C347,[2]Hoja4!$A$2:$E$116,5,0)</f>
        <v>OBRA</v>
      </c>
      <c r="AE347" s="173" t="s">
        <v>1257</v>
      </c>
      <c r="AF347" s="284" t="s">
        <v>1287</v>
      </c>
      <c r="AG347" s="173"/>
      <c r="AH347" s="284"/>
      <c r="AI347" s="308" t="s">
        <v>1381</v>
      </c>
      <c r="AJ347" s="308"/>
      <c r="AK347" s="181" t="str">
        <f t="shared" ca="1" si="73"/>
        <v>TERMINO</v>
      </c>
      <c r="AL347" s="313" t="s">
        <v>574</v>
      </c>
      <c r="AM347" s="176" t="s">
        <v>390</v>
      </c>
      <c r="AN347" s="875" t="str">
        <f>IFERROR(VLOOKUP(E347,'liquidaciones '!$B$2:$C$1048576,2,0),"NO")</f>
        <v>EN TRÁMITE</v>
      </c>
      <c r="AO347" s="983" t="str">
        <f>IFERROR(VLOOKUP(E347,'liquidaciones '!$B$2:$I$1048576,8,0),"")</f>
        <v>JULIETH ANGARITA</v>
      </c>
      <c r="AP347" s="342"/>
      <c r="AQ347" s="177" t="str">
        <f t="shared" ca="1" si="64"/>
        <v>SI</v>
      </c>
      <c r="AR347" s="177" t="s">
        <v>981</v>
      </c>
      <c r="AS347" s="438"/>
      <c r="AT347" s="1015"/>
    </row>
    <row r="348" spans="2:46" ht="22.5" x14ac:dyDescent="0.25">
      <c r="B348" s="15">
        <v>342</v>
      </c>
      <c r="C348" s="442">
        <v>307</v>
      </c>
      <c r="D348" s="442" t="str">
        <f t="shared" si="66"/>
        <v>2015307</v>
      </c>
      <c r="E348" s="895" t="s">
        <v>2113</v>
      </c>
      <c r="F348" s="893" t="s">
        <v>2130</v>
      </c>
      <c r="G348" s="895">
        <v>830083523</v>
      </c>
      <c r="H348" s="893" t="s">
        <v>2112</v>
      </c>
      <c r="I348" s="210">
        <v>20880000</v>
      </c>
      <c r="J348" s="707" t="s">
        <v>2113</v>
      </c>
      <c r="K348" s="298">
        <v>2015</v>
      </c>
      <c r="L348" s="551">
        <v>42219</v>
      </c>
      <c r="M348" s="894">
        <v>42226</v>
      </c>
      <c r="N348" s="894">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12" t="s">
        <v>1604</v>
      </c>
      <c r="Y348" s="42">
        <f t="shared" si="69"/>
        <v>1</v>
      </c>
      <c r="Z348" s="42">
        <f t="shared" ca="1" si="70"/>
        <v>1</v>
      </c>
      <c r="AA348" s="43">
        <f t="shared" ca="1" si="71"/>
        <v>0</v>
      </c>
      <c r="AB348" s="202" t="str">
        <f t="shared" ca="1" si="72"/>
        <v/>
      </c>
      <c r="AC348" s="44" t="str">
        <f t="shared" si="63"/>
        <v>SI</v>
      </c>
      <c r="AD348" s="765" t="str">
        <f>VLOOKUP(C348,[2]Hoja4!$A$2:$E$116,5,0)</f>
        <v>NA</v>
      </c>
      <c r="AE348" s="173" t="s">
        <v>1258</v>
      </c>
      <c r="AF348" s="284" t="s">
        <v>2114</v>
      </c>
      <c r="AG348" s="173" t="s">
        <v>1440</v>
      </c>
      <c r="AH348" s="284" t="s">
        <v>560</v>
      </c>
      <c r="AI348" s="308" t="s">
        <v>1510</v>
      </c>
      <c r="AJ348" s="308"/>
      <c r="AK348" s="181" t="str">
        <f t="shared" ca="1" si="73"/>
        <v>TERMINO</v>
      </c>
      <c r="AL348" s="313" t="s">
        <v>582</v>
      </c>
      <c r="AM348" s="176" t="s">
        <v>390</v>
      </c>
      <c r="AN348" s="875" t="str">
        <f>IFERROR(VLOOKUP(E348,'liquidaciones '!$B$2:$C$1048576,2,0),"NO")</f>
        <v>LIQUIDADO</v>
      </c>
      <c r="AO348" s="983">
        <f>IFERROR(VLOOKUP(E348,'liquidaciones '!$B$2:$I$1048576,8,0),"")</f>
        <v>0</v>
      </c>
      <c r="AP348" s="342"/>
      <c r="AQ348" s="177" t="str">
        <f t="shared" ca="1" si="64"/>
        <v>SI</v>
      </c>
      <c r="AR348" s="177" t="s">
        <v>2613</v>
      </c>
      <c r="AS348" s="438"/>
      <c r="AT348" s="1015"/>
    </row>
    <row r="349" spans="2:46" ht="22.5" x14ac:dyDescent="0.25">
      <c r="B349" s="15">
        <v>343</v>
      </c>
      <c r="C349" s="442">
        <v>266</v>
      </c>
      <c r="D349" s="442" t="str">
        <f t="shared" si="66"/>
        <v>2015266</v>
      </c>
      <c r="E349" s="895" t="s">
        <v>3135</v>
      </c>
      <c r="F349" s="893" t="s">
        <v>2116</v>
      </c>
      <c r="G349" s="895" t="s">
        <v>2117</v>
      </c>
      <c r="H349" s="893" t="s">
        <v>2118</v>
      </c>
      <c r="I349" s="210">
        <v>812000</v>
      </c>
      <c r="J349" s="707" t="s">
        <v>2089</v>
      </c>
      <c r="K349" s="298">
        <v>2015</v>
      </c>
      <c r="L349" s="551">
        <v>42220</v>
      </c>
      <c r="M349" s="894">
        <v>42235</v>
      </c>
      <c r="N349" s="894">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12" t="s">
        <v>2119</v>
      </c>
      <c r="Y349" s="42">
        <f t="shared" si="69"/>
        <v>1</v>
      </c>
      <c r="Z349" s="42">
        <f t="shared" ca="1" si="70"/>
        <v>1</v>
      </c>
      <c r="AA349" s="43">
        <f t="shared" ca="1" si="71"/>
        <v>0</v>
      </c>
      <c r="AB349" s="202" t="str">
        <f t="shared" ca="1" si="72"/>
        <v/>
      </c>
      <c r="AC349" s="44" t="str">
        <f t="shared" si="63"/>
        <v>SI</v>
      </c>
      <c r="AD349" s="765" t="str">
        <f>VLOOKUP(C349,[2]Hoja4!$A$2:$E$116,5,0)</f>
        <v>COMPRAVENTA</v>
      </c>
      <c r="AE349" s="173" t="s">
        <v>1257</v>
      </c>
      <c r="AF349" s="284" t="s">
        <v>1314</v>
      </c>
      <c r="AG349" s="173" t="s">
        <v>1439</v>
      </c>
      <c r="AH349" s="284" t="s">
        <v>562</v>
      </c>
      <c r="AI349" s="308" t="s">
        <v>2169</v>
      </c>
      <c r="AJ349" s="308" t="s">
        <v>1870</v>
      </c>
      <c r="AK349" s="181" t="str">
        <f t="shared" ca="1" si="73"/>
        <v>TERMINO</v>
      </c>
      <c r="AL349" s="313" t="s">
        <v>576</v>
      </c>
      <c r="AM349" s="176" t="s">
        <v>391</v>
      </c>
      <c r="AN349" s="875" t="str">
        <f>IFERROR(VLOOKUP(E349,'liquidaciones '!$B$2:$C$1048576,2,0),"NO")</f>
        <v>LIQUIDADO</v>
      </c>
      <c r="AO349" s="983">
        <f>IFERROR(VLOOKUP(E349,'liquidaciones '!$B$2:$I$1048576,8,0),"")</f>
        <v>0</v>
      </c>
      <c r="AP349" s="342"/>
      <c r="AQ349" s="177" t="str">
        <f t="shared" ca="1" si="64"/>
        <v>SI</v>
      </c>
      <c r="AR349" s="177" t="s">
        <v>2080</v>
      </c>
      <c r="AS349" s="438"/>
      <c r="AT349" s="1015"/>
    </row>
    <row r="350" spans="2:46" ht="22.5" x14ac:dyDescent="0.25">
      <c r="B350" s="15">
        <v>344</v>
      </c>
      <c r="C350" s="442">
        <v>144</v>
      </c>
      <c r="D350" s="442" t="str">
        <f t="shared" si="66"/>
        <v>2015144</v>
      </c>
      <c r="E350" s="895" t="s">
        <v>2120</v>
      </c>
      <c r="F350" s="893" t="s">
        <v>2121</v>
      </c>
      <c r="G350" s="895">
        <v>860007590</v>
      </c>
      <c r="H350" s="893" t="s">
        <v>2122</v>
      </c>
      <c r="I350" s="210">
        <v>936000</v>
      </c>
      <c r="J350" s="707" t="s">
        <v>2120</v>
      </c>
      <c r="K350" s="298">
        <v>2015</v>
      </c>
      <c r="L350" s="551">
        <v>42220</v>
      </c>
      <c r="M350" s="894">
        <v>42261</v>
      </c>
      <c r="N350" s="894">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12" t="s">
        <v>2097</v>
      </c>
      <c r="Y350" s="42">
        <f t="shared" si="69"/>
        <v>1</v>
      </c>
      <c r="Z350" s="42">
        <f t="shared" ca="1" si="70"/>
        <v>1</v>
      </c>
      <c r="AA350" s="43">
        <f t="shared" ca="1" si="71"/>
        <v>0</v>
      </c>
      <c r="AB350" s="202" t="str">
        <f t="shared" ca="1" si="72"/>
        <v/>
      </c>
      <c r="AC350" s="44" t="str">
        <f t="shared" si="63"/>
        <v>SI</v>
      </c>
      <c r="AD350" s="765" t="str">
        <f>VLOOKUP(C350,[2]Hoja4!$A$2:$E$116,5,0)</f>
        <v>SUSCRIPCION</v>
      </c>
      <c r="AE350" s="173" t="s">
        <v>1257</v>
      </c>
      <c r="AF350" s="284" t="s">
        <v>1126</v>
      </c>
      <c r="AG350" s="173" t="s">
        <v>1431</v>
      </c>
      <c r="AH350" s="284" t="s">
        <v>564</v>
      </c>
      <c r="AI350" s="308"/>
      <c r="AJ350" s="308"/>
      <c r="AK350" s="181" t="str">
        <f t="shared" ca="1" si="73"/>
        <v>TERMINO</v>
      </c>
      <c r="AL350" s="313" t="s">
        <v>582</v>
      </c>
      <c r="AM350" s="176" t="s">
        <v>390</v>
      </c>
      <c r="AN350" s="875" t="str">
        <f>IFERROR(VLOOKUP(E350,'liquidaciones '!$B$2:$C$1048576,2,0),"NO")</f>
        <v>LIQUIDADO</v>
      </c>
      <c r="AO350" s="983">
        <f>IFERROR(VLOOKUP(E350,'liquidaciones '!$B$2:$I$1048576,8,0),"")</f>
        <v>0</v>
      </c>
      <c r="AP350" s="342"/>
      <c r="AQ350" s="177" t="str">
        <f t="shared" ca="1" si="64"/>
        <v>SI</v>
      </c>
      <c r="AR350" s="177" t="s">
        <v>2612</v>
      </c>
      <c r="AS350" s="438"/>
      <c r="AT350" s="1015"/>
    </row>
    <row r="351" spans="2:46" ht="30" x14ac:dyDescent="0.25">
      <c r="B351" s="725">
        <v>345</v>
      </c>
      <c r="C351" s="442">
        <v>70</v>
      </c>
      <c r="D351" s="442" t="str">
        <f t="shared" si="66"/>
        <v>201570</v>
      </c>
      <c r="E351" s="895" t="s">
        <v>3200</v>
      </c>
      <c r="F351" s="893" t="s">
        <v>2126</v>
      </c>
      <c r="G351" s="895" t="s">
        <v>2127</v>
      </c>
      <c r="H351" s="893" t="s">
        <v>2128</v>
      </c>
      <c r="I351" s="210">
        <v>31577404</v>
      </c>
      <c r="J351" s="718" t="s">
        <v>2066</v>
      </c>
      <c r="K351" s="298">
        <v>2015</v>
      </c>
      <c r="L351" s="551">
        <v>42208</v>
      </c>
      <c r="M351" s="894">
        <v>42221</v>
      </c>
      <c r="N351" s="894">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12" t="s">
        <v>2097</v>
      </c>
      <c r="Y351" s="42">
        <f t="shared" si="69"/>
        <v>0</v>
      </c>
      <c r="Z351" s="42">
        <f t="shared" ca="1" si="70"/>
        <v>1</v>
      </c>
      <c r="AA351" s="43">
        <f t="shared" ca="1" si="71"/>
        <v>1</v>
      </c>
      <c r="AB351" s="202" t="str">
        <f t="shared" ca="1" si="72"/>
        <v/>
      </c>
      <c r="AC351" s="44" t="str">
        <f t="shared" ref="AC351:AC382" si="74">IF(Y351&lt;=99.9%,"NO","SI")</f>
        <v>NO</v>
      </c>
      <c r="AD351" s="765" t="str">
        <f>VLOOKUP(C351,[2]Hoja4!$A$2:$E$116,5,0)</f>
        <v>COMPRAVENTA</v>
      </c>
      <c r="AE351" s="173" t="s">
        <v>1258</v>
      </c>
      <c r="AF351" s="284" t="s">
        <v>2129</v>
      </c>
      <c r="AG351" s="173" t="s">
        <v>1440</v>
      </c>
      <c r="AH351" s="284" t="s">
        <v>560</v>
      </c>
      <c r="AI351" s="308" t="s">
        <v>1510</v>
      </c>
      <c r="AJ351" s="308" t="s">
        <v>1870</v>
      </c>
      <c r="AK351" s="181" t="str">
        <f t="shared" ca="1" si="73"/>
        <v>TERMINO</v>
      </c>
      <c r="AL351" s="313" t="s">
        <v>576</v>
      </c>
      <c r="AM351" s="176" t="s">
        <v>391</v>
      </c>
      <c r="AN351" s="875" t="str">
        <f>IFERROR(VLOOKUP(E351,'liquidaciones '!$B$2:$C$1048576,2,0),"NO")</f>
        <v>LIQUIDADO</v>
      </c>
      <c r="AO351" s="983">
        <f>IFERROR(VLOOKUP(E351,'liquidaciones '!$B$2:$I$1048576,8,0),"")</f>
        <v>0</v>
      </c>
      <c r="AP351" s="342"/>
      <c r="AQ351" s="177" t="str">
        <f t="shared" ref="AQ351:AQ372" ca="1" si="75">IF((TODAY()-T351&lt;900),"SI","NO")</f>
        <v>SI</v>
      </c>
      <c r="AR351" s="177" t="s">
        <v>1995</v>
      </c>
      <c r="AS351" s="438"/>
      <c r="AT351" s="1015"/>
    </row>
    <row r="352" spans="2:46" ht="45" x14ac:dyDescent="0.25">
      <c r="B352" s="725">
        <v>346</v>
      </c>
      <c r="C352" s="442">
        <v>151</v>
      </c>
      <c r="D352" s="442" t="str">
        <f t="shared" si="66"/>
        <v>2015151</v>
      </c>
      <c r="E352" s="893" t="s">
        <v>2145</v>
      </c>
      <c r="F352" s="893" t="s">
        <v>2148</v>
      </c>
      <c r="G352" s="895" t="s">
        <v>2146</v>
      </c>
      <c r="H352" s="893" t="s">
        <v>2147</v>
      </c>
      <c r="I352" s="210">
        <v>14917500</v>
      </c>
      <c r="J352" s="707" t="s">
        <v>2065</v>
      </c>
      <c r="K352" s="298">
        <v>2015</v>
      </c>
      <c r="L352" s="551">
        <v>42228</v>
      </c>
      <c r="M352" s="894">
        <v>42247</v>
      </c>
      <c r="N352" s="894">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13425748</v>
      </c>
      <c r="W352" s="93">
        <f t="shared" si="68"/>
        <v>1491752</v>
      </c>
      <c r="X352" s="312" t="s">
        <v>2149</v>
      </c>
      <c r="Y352" s="42">
        <f t="shared" si="69"/>
        <v>0.89999986592927772</v>
      </c>
      <c r="Z352" s="42">
        <f t="shared" ca="1" si="70"/>
        <v>1</v>
      </c>
      <c r="AA352" s="43">
        <f t="shared" ca="1" si="71"/>
        <v>0.10000013407072228</v>
      </c>
      <c r="AB352" s="202" t="str">
        <f t="shared" ca="1" si="72"/>
        <v/>
      </c>
      <c r="AC352" s="44" t="str">
        <f t="shared" si="74"/>
        <v>NO</v>
      </c>
      <c r="AD352" s="765" t="str">
        <f>VLOOKUP(C352,[2]Hoja4!$A$2:$E$116,5,0)</f>
        <v>CONSULTORIA</v>
      </c>
      <c r="AE352" s="173" t="s">
        <v>1257</v>
      </c>
      <c r="AF352" s="284" t="s">
        <v>1142</v>
      </c>
      <c r="AG352" s="173" t="s">
        <v>1443</v>
      </c>
      <c r="AH352" s="284" t="s">
        <v>560</v>
      </c>
      <c r="AI352" s="174" t="s">
        <v>1381</v>
      </c>
      <c r="AJ352" s="308" t="s">
        <v>1870</v>
      </c>
      <c r="AK352" s="181" t="str">
        <f t="shared" ca="1" si="73"/>
        <v>TERMINO</v>
      </c>
      <c r="AL352" s="181" t="s">
        <v>576</v>
      </c>
      <c r="AM352" s="176" t="s">
        <v>390</v>
      </c>
      <c r="AN352" s="875" t="str">
        <f>IFERROR(VLOOKUP(E352,'liquidaciones '!$B$2:$C$1048576,2,0),"NO")</f>
        <v>EN TRÁMITE</v>
      </c>
      <c r="AO352" s="983">
        <f>IFERROR(VLOOKUP(E352,'liquidaciones '!$B$2:$I$1048576,8,0),"")</f>
        <v>0</v>
      </c>
      <c r="AP352" s="342"/>
      <c r="AQ352" s="177" t="str">
        <f t="shared" ca="1" si="75"/>
        <v>SI</v>
      </c>
      <c r="AR352" s="438" t="s">
        <v>2982</v>
      </c>
      <c r="AS352" s="438"/>
      <c r="AT352" s="1015"/>
    </row>
    <row r="353" spans="2:46" ht="33.75" x14ac:dyDescent="0.25">
      <c r="B353" s="725">
        <v>347</v>
      </c>
      <c r="C353" s="442">
        <v>148</v>
      </c>
      <c r="D353" s="442" t="str">
        <f t="shared" si="66"/>
        <v>2015148</v>
      </c>
      <c r="E353" s="895" t="s">
        <v>2150</v>
      </c>
      <c r="F353" s="893" t="s">
        <v>2151</v>
      </c>
      <c r="G353" s="895">
        <v>860536029</v>
      </c>
      <c r="H353" s="893" t="s">
        <v>2152</v>
      </c>
      <c r="I353" s="210">
        <v>880500</v>
      </c>
      <c r="J353" s="707" t="s">
        <v>2150</v>
      </c>
      <c r="K353" s="298">
        <v>2015</v>
      </c>
      <c r="L353" s="551">
        <v>42230</v>
      </c>
      <c r="M353" s="894">
        <v>42262</v>
      </c>
      <c r="N353" s="894">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12" t="s">
        <v>2097</v>
      </c>
      <c r="Y353" s="42">
        <f t="shared" si="69"/>
        <v>1</v>
      </c>
      <c r="Z353" s="42">
        <f t="shared" ca="1" si="70"/>
        <v>1</v>
      </c>
      <c r="AA353" s="43">
        <f t="shared" ca="1" si="71"/>
        <v>0</v>
      </c>
      <c r="AB353" s="202" t="str">
        <f t="shared" ca="1" si="72"/>
        <v/>
      </c>
      <c r="AC353" s="44" t="str">
        <f t="shared" si="74"/>
        <v>SI</v>
      </c>
      <c r="AD353" s="765" t="str">
        <f>VLOOKUP(C353,[2]Hoja4!$A$2:$E$116,5,0)</f>
        <v>SUSCRIPCION</v>
      </c>
      <c r="AE353" s="173" t="s">
        <v>1257</v>
      </c>
      <c r="AF353" s="284" t="s">
        <v>1126</v>
      </c>
      <c r="AG353" s="173" t="s">
        <v>1431</v>
      </c>
      <c r="AH353" s="284" t="s">
        <v>564</v>
      </c>
      <c r="AI353" s="308"/>
      <c r="AJ353" s="308"/>
      <c r="AK353" s="181" t="str">
        <f t="shared" ca="1" si="73"/>
        <v>TERMINO</v>
      </c>
      <c r="AL353" s="313" t="s">
        <v>582</v>
      </c>
      <c r="AM353" s="176" t="s">
        <v>390</v>
      </c>
      <c r="AN353" s="875" t="str">
        <f>IFERROR(VLOOKUP(E353,'liquidaciones '!$B$2:$C$1048576,2,0),"NO")</f>
        <v>LIQUIDADO</v>
      </c>
      <c r="AO353" s="983">
        <f>IFERROR(VLOOKUP(E353,'liquidaciones '!$B$2:$I$1048576,8,0),"")</f>
        <v>0</v>
      </c>
      <c r="AP353" s="342"/>
      <c r="AQ353" s="177" t="str">
        <f t="shared" ca="1" si="75"/>
        <v>SI</v>
      </c>
      <c r="AR353" s="177" t="s">
        <v>2610</v>
      </c>
      <c r="AS353" s="438"/>
      <c r="AT353" s="1015"/>
    </row>
    <row r="354" spans="2:46" ht="45" x14ac:dyDescent="0.25">
      <c r="B354" s="725">
        <v>348</v>
      </c>
      <c r="C354" s="442">
        <v>155</v>
      </c>
      <c r="D354" s="442" t="str">
        <f t="shared" si="66"/>
        <v>2015155</v>
      </c>
      <c r="E354" s="895" t="s">
        <v>2157</v>
      </c>
      <c r="F354" s="893" t="s">
        <v>2158</v>
      </c>
      <c r="G354" s="895" t="s">
        <v>2159</v>
      </c>
      <c r="H354" s="893" t="s">
        <v>2160</v>
      </c>
      <c r="I354" s="210">
        <v>5000000</v>
      </c>
      <c r="J354" s="707" t="s">
        <v>2110</v>
      </c>
      <c r="K354" s="298">
        <v>2015</v>
      </c>
      <c r="L354" s="551">
        <v>42236</v>
      </c>
      <c r="M354" s="894">
        <v>42244</v>
      </c>
      <c r="N354" s="894">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12" t="s">
        <v>2161</v>
      </c>
      <c r="Y354" s="42">
        <f t="shared" si="69"/>
        <v>0.68967979999999995</v>
      </c>
      <c r="Z354" s="42">
        <f t="shared" ca="1" si="70"/>
        <v>1</v>
      </c>
      <c r="AA354" s="43">
        <f t="shared" ca="1" si="71"/>
        <v>0.31032020000000005</v>
      </c>
      <c r="AB354" s="202" t="str">
        <f t="shared" ca="1" si="72"/>
        <v/>
      </c>
      <c r="AC354" s="44" t="str">
        <f t="shared" si="74"/>
        <v>NO</v>
      </c>
      <c r="AD354" s="765" t="str">
        <f>VLOOKUP(C354,[2]Hoja4!$A$2:$E$116,5,0)</f>
        <v>PRESTACION DE SERVICIOS</v>
      </c>
      <c r="AE354" s="173" t="s">
        <v>1257</v>
      </c>
      <c r="AF354" s="284" t="s">
        <v>1173</v>
      </c>
      <c r="AG354" s="173" t="s">
        <v>1443</v>
      </c>
      <c r="AH354" s="284" t="s">
        <v>560</v>
      </c>
      <c r="AI354" s="174" t="s">
        <v>1381</v>
      </c>
      <c r="AJ354" s="308" t="s">
        <v>1870</v>
      </c>
      <c r="AK354" s="181" t="str">
        <f t="shared" ca="1" si="73"/>
        <v>TERMINO</v>
      </c>
      <c r="AL354" s="181" t="s">
        <v>576</v>
      </c>
      <c r="AM354" s="176" t="s">
        <v>390</v>
      </c>
      <c r="AN354" s="875" t="str">
        <f>IFERROR(VLOOKUP(E354,'liquidaciones '!$B$2:$C$1048576,2,0),"NO")</f>
        <v>DEVUELTO</v>
      </c>
      <c r="AO354" s="983" t="str">
        <f>IFERROR(VLOOKUP(E354,'liquidaciones '!$B$2:$I$1048576,8,0),"")</f>
        <v>JULIETH ANGARITA</v>
      </c>
      <c r="AP354" s="342"/>
      <c r="AQ354" s="177" t="str">
        <f t="shared" ca="1" si="75"/>
        <v>SI</v>
      </c>
      <c r="AR354" s="177" t="s">
        <v>2611</v>
      </c>
      <c r="AS354" s="438"/>
      <c r="AT354" s="1015"/>
    </row>
    <row r="355" spans="2:46" ht="22.5" x14ac:dyDescent="0.25">
      <c r="B355" s="725">
        <v>349</v>
      </c>
      <c r="C355" s="442">
        <v>146</v>
      </c>
      <c r="D355" s="442" t="str">
        <f t="shared" si="66"/>
        <v>2015146</v>
      </c>
      <c r="E355" s="895" t="s">
        <v>2165</v>
      </c>
      <c r="F355" s="893" t="s">
        <v>33</v>
      </c>
      <c r="G355" s="895">
        <v>860509265</v>
      </c>
      <c r="H355" s="893" t="s">
        <v>2166</v>
      </c>
      <c r="I355" s="210">
        <v>825000</v>
      </c>
      <c r="J355" s="707" t="s">
        <v>2165</v>
      </c>
      <c r="K355" s="298">
        <v>2015</v>
      </c>
      <c r="L355" s="551">
        <v>42237</v>
      </c>
      <c r="M355" s="894">
        <v>42278</v>
      </c>
      <c r="N355" s="894">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12" t="s">
        <v>2097</v>
      </c>
      <c r="Y355" s="42">
        <f t="shared" si="69"/>
        <v>1</v>
      </c>
      <c r="Z355" s="42">
        <f t="shared" ca="1" si="70"/>
        <v>1</v>
      </c>
      <c r="AA355" s="43">
        <f t="shared" ca="1" si="71"/>
        <v>0</v>
      </c>
      <c r="AB355" s="202" t="str">
        <f t="shared" ca="1" si="72"/>
        <v/>
      </c>
      <c r="AC355" s="44" t="str">
        <f t="shared" si="74"/>
        <v>SI</v>
      </c>
      <c r="AD355" s="765" t="str">
        <f>VLOOKUP(C355,[2]Hoja4!$A$2:$E$116,5,0)</f>
        <v>SUSCRIPCION</v>
      </c>
      <c r="AE355" s="173" t="s">
        <v>1257</v>
      </c>
      <c r="AF355" s="304" t="s">
        <v>1470</v>
      </c>
      <c r="AG355" s="173" t="s">
        <v>1431</v>
      </c>
      <c r="AH355" s="284" t="s">
        <v>564</v>
      </c>
      <c r="AI355" s="308"/>
      <c r="AJ355" s="308" t="s">
        <v>1870</v>
      </c>
      <c r="AK355" s="181" t="str">
        <f t="shared" ca="1" si="73"/>
        <v>TERMINO</v>
      </c>
      <c r="AL355" s="181" t="s">
        <v>582</v>
      </c>
      <c r="AM355" s="176" t="s">
        <v>390</v>
      </c>
      <c r="AN355" s="875" t="str">
        <f>IFERROR(VLOOKUP(E355,'liquidaciones '!$B$2:$C$1048576,2,0),"NO")</f>
        <v>LIQUIDADO</v>
      </c>
      <c r="AO355" s="983">
        <f>IFERROR(VLOOKUP(E355,'liquidaciones '!$B$2:$I$1048576,8,0),"")</f>
        <v>0</v>
      </c>
      <c r="AP355" s="342"/>
      <c r="AQ355" s="177" t="str">
        <f t="shared" ca="1" si="75"/>
        <v>SI</v>
      </c>
      <c r="AR355" s="177" t="s">
        <v>2612</v>
      </c>
      <c r="AS355" s="438"/>
      <c r="AT355" s="1015"/>
    </row>
    <row r="356" spans="2:46" ht="56.25" x14ac:dyDescent="0.25">
      <c r="B356" s="725">
        <v>350</v>
      </c>
      <c r="C356" s="442">
        <v>282</v>
      </c>
      <c r="D356" s="442" t="str">
        <f t="shared" si="66"/>
        <v>2015282</v>
      </c>
      <c r="E356" s="895" t="s">
        <v>2185</v>
      </c>
      <c r="F356" s="893" t="s">
        <v>2186</v>
      </c>
      <c r="G356" s="895">
        <v>900879521</v>
      </c>
      <c r="H356" s="893" t="s">
        <v>2187</v>
      </c>
      <c r="I356" s="210">
        <v>382091582</v>
      </c>
      <c r="J356" s="707" t="s">
        <v>1986</v>
      </c>
      <c r="K356" s="298">
        <v>2015</v>
      </c>
      <c r="L356" s="551">
        <v>42240</v>
      </c>
      <c r="M356" s="894">
        <v>42261</v>
      </c>
      <c r="N356" s="894">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12" t="s">
        <v>2188</v>
      </c>
      <c r="Y356" s="42">
        <f t="shared" si="69"/>
        <v>0.86473871100547661</v>
      </c>
      <c r="Z356" s="42">
        <f t="shared" ca="1" si="70"/>
        <v>1</v>
      </c>
      <c r="AA356" s="43">
        <f t="shared" ca="1" si="71"/>
        <v>0.13526128899452339</v>
      </c>
      <c r="AB356" s="202" t="str">
        <f t="shared" ca="1" si="72"/>
        <v/>
      </c>
      <c r="AC356" s="44" t="str">
        <f t="shared" si="74"/>
        <v>NO</v>
      </c>
      <c r="AD356" s="765" t="str">
        <f>VLOOKUP(C356,[2]Hoja4!$A$2:$E$116,5,0)</f>
        <v>PRESTACION DE SERVICIOS</v>
      </c>
      <c r="AE356" s="173" t="s">
        <v>1258</v>
      </c>
      <c r="AF356" s="284" t="s">
        <v>2189</v>
      </c>
      <c r="AG356" s="173" t="s">
        <v>1440</v>
      </c>
      <c r="AH356" s="284" t="s">
        <v>560</v>
      </c>
      <c r="AI356" s="308" t="s">
        <v>1510</v>
      </c>
      <c r="AJ356" s="308" t="s">
        <v>1870</v>
      </c>
      <c r="AK356" s="181" t="str">
        <f t="shared" ca="1" si="73"/>
        <v>TERMINO</v>
      </c>
      <c r="AL356" s="313" t="s">
        <v>573</v>
      </c>
      <c r="AM356" s="176" t="s">
        <v>390</v>
      </c>
      <c r="AN356" s="875" t="str">
        <f>IFERROR(VLOOKUP(E356,'liquidaciones '!$B$2:$C$1048576,2,0),"NO")</f>
        <v>LIQUIDADO</v>
      </c>
      <c r="AO356" s="983" t="str">
        <f>IFERROR(VLOOKUP(E356,'liquidaciones '!$B$2:$I$1048576,8,0),"")</f>
        <v>JULIETH ANGARITA</v>
      </c>
      <c r="AP356" s="342"/>
      <c r="AQ356" s="177" t="str">
        <f t="shared" ca="1" si="75"/>
        <v>SI</v>
      </c>
      <c r="AR356" s="177" t="s">
        <v>2613</v>
      </c>
      <c r="AS356" s="438"/>
      <c r="AT356" s="1015"/>
    </row>
    <row r="357" spans="2:46" ht="33.75" x14ac:dyDescent="0.25">
      <c r="B357" s="725">
        <v>351</v>
      </c>
      <c r="C357" s="442">
        <v>325</v>
      </c>
      <c r="D357" s="442" t="str">
        <f t="shared" si="66"/>
        <v>2015325</v>
      </c>
      <c r="E357" s="895" t="s">
        <v>2192</v>
      </c>
      <c r="F357" s="893" t="s">
        <v>1537</v>
      </c>
      <c r="G357" s="895">
        <v>80100229</v>
      </c>
      <c r="H357" s="893" t="s">
        <v>2193</v>
      </c>
      <c r="I357" s="210">
        <v>33000000</v>
      </c>
      <c r="J357" s="707" t="s">
        <v>2192</v>
      </c>
      <c r="K357" s="298">
        <v>2015</v>
      </c>
      <c r="L357" s="551">
        <v>42244</v>
      </c>
      <c r="M357" s="894">
        <v>42249</v>
      </c>
      <c r="N357" s="894">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12" t="s">
        <v>1533</v>
      </c>
      <c r="Y357" s="42">
        <f t="shared" si="69"/>
        <v>1</v>
      </c>
      <c r="Z357" s="42">
        <f t="shared" ca="1" si="70"/>
        <v>1</v>
      </c>
      <c r="AA357" s="43">
        <f t="shared" ca="1" si="71"/>
        <v>0</v>
      </c>
      <c r="AB357" s="202" t="str">
        <f t="shared" ca="1" si="72"/>
        <v/>
      </c>
      <c r="AC357" s="44" t="str">
        <f t="shared" si="74"/>
        <v>SI</v>
      </c>
      <c r="AD357" s="765" t="str">
        <f>VLOOKUP(C357,[2]Hoja4!$A$2:$E$116,5,0)</f>
        <v>PRESTACION DE SERVICIOS1</v>
      </c>
      <c r="AE357" s="173" t="s">
        <v>1258</v>
      </c>
      <c r="AF357" s="173" t="s">
        <v>2195</v>
      </c>
      <c r="AG357" s="173" t="s">
        <v>1178</v>
      </c>
      <c r="AH357" s="284" t="s">
        <v>559</v>
      </c>
      <c r="AI357" s="308" t="s">
        <v>2194</v>
      </c>
      <c r="AJ357" s="308" t="s">
        <v>1870</v>
      </c>
      <c r="AK357" s="181" t="str">
        <f t="shared" ca="1" si="73"/>
        <v>TERMINO</v>
      </c>
      <c r="AL357" s="313" t="s">
        <v>582</v>
      </c>
      <c r="AM357" s="176" t="s">
        <v>391</v>
      </c>
      <c r="AN357" s="875" t="str">
        <f>IFERROR(VLOOKUP(E357,'liquidaciones '!$B$2:$C$1048576,2,0),"NO")</f>
        <v>LIQUIDADO</v>
      </c>
      <c r="AO357" s="983">
        <f>IFERROR(VLOOKUP(E357,'liquidaciones '!$B$2:$I$1048576,8,0),"")</f>
        <v>0</v>
      </c>
      <c r="AP357" s="342"/>
      <c r="AQ357" s="177" t="str">
        <f t="shared" ca="1" si="75"/>
        <v>SI</v>
      </c>
      <c r="AR357" s="177"/>
      <c r="AS357" s="438"/>
      <c r="AT357" s="1015"/>
    </row>
    <row r="358" spans="2:46" ht="22.5" x14ac:dyDescent="0.25">
      <c r="B358" s="725">
        <v>352</v>
      </c>
      <c r="C358" s="442">
        <v>187</v>
      </c>
      <c r="D358" s="442" t="str">
        <f t="shared" si="66"/>
        <v>2015187</v>
      </c>
      <c r="E358" s="895" t="s">
        <v>2197</v>
      </c>
      <c r="F358" s="893" t="s">
        <v>2198</v>
      </c>
      <c r="G358" s="895" t="s">
        <v>2199</v>
      </c>
      <c r="H358" s="893" t="s">
        <v>2200</v>
      </c>
      <c r="I358" s="210">
        <v>19141000</v>
      </c>
      <c r="J358" s="707" t="s">
        <v>2123</v>
      </c>
      <c r="K358" s="298">
        <v>2015</v>
      </c>
      <c r="L358" s="551">
        <v>42248</v>
      </c>
      <c r="M358" s="894">
        <v>42262</v>
      </c>
      <c r="N358" s="894">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12" t="s">
        <v>2201</v>
      </c>
      <c r="Y358" s="42">
        <f t="shared" si="69"/>
        <v>0.9999685491876078</v>
      </c>
      <c r="Z358" s="42">
        <f t="shared" ca="1" si="70"/>
        <v>1</v>
      </c>
      <c r="AA358" s="43">
        <f t="shared" ca="1" si="71"/>
        <v>3.1450812392197491E-5</v>
      </c>
      <c r="AB358" s="202" t="str">
        <f t="shared" ca="1" si="72"/>
        <v/>
      </c>
      <c r="AC358" s="44" t="str">
        <f t="shared" si="74"/>
        <v>SI</v>
      </c>
      <c r="AD358" s="765" t="str">
        <f>VLOOKUP(C358,[2]Hoja4!$A$2:$E$116,5,0)</f>
        <v>COMPRAVENTA</v>
      </c>
      <c r="AE358" s="173" t="s">
        <v>1257</v>
      </c>
      <c r="AF358" s="284" t="s">
        <v>1305</v>
      </c>
      <c r="AG358" s="173" t="s">
        <v>1436</v>
      </c>
      <c r="AH358" s="284" t="s">
        <v>560</v>
      </c>
      <c r="AI358" s="174" t="s">
        <v>1389</v>
      </c>
      <c r="AJ358" s="308" t="s">
        <v>1870</v>
      </c>
      <c r="AK358" s="181" t="str">
        <f t="shared" ca="1" si="73"/>
        <v>TERMINO</v>
      </c>
      <c r="AL358" s="313" t="s">
        <v>576</v>
      </c>
      <c r="AM358" s="176" t="s">
        <v>390</v>
      </c>
      <c r="AN358" s="875" t="str">
        <f>IFERROR(VLOOKUP(E358,'liquidaciones '!$B$2:$C$1048576,2,0),"NO")</f>
        <v>LIQUIDADO</v>
      </c>
      <c r="AO358" s="983">
        <f>IFERROR(VLOOKUP(E358,'liquidaciones '!$B$2:$I$1048576,8,0),"")</f>
        <v>0</v>
      </c>
      <c r="AP358" s="342"/>
      <c r="AQ358" s="177" t="str">
        <f t="shared" ca="1" si="75"/>
        <v>SI</v>
      </c>
      <c r="AR358" s="177" t="s">
        <v>1573</v>
      </c>
      <c r="AS358" s="438"/>
      <c r="AT358" s="1015"/>
    </row>
    <row r="359" spans="2:46" ht="22.5" x14ac:dyDescent="0.25">
      <c r="B359" s="725">
        <v>353</v>
      </c>
      <c r="C359" s="442">
        <v>326</v>
      </c>
      <c r="D359" s="442" t="str">
        <f t="shared" si="66"/>
        <v>2015326</v>
      </c>
      <c r="E359" s="895" t="s">
        <v>2202</v>
      </c>
      <c r="F359" s="893" t="s">
        <v>142</v>
      </c>
      <c r="G359" s="895">
        <v>800026212</v>
      </c>
      <c r="H359" s="893" t="s">
        <v>2203</v>
      </c>
      <c r="I359" s="210">
        <v>72727824</v>
      </c>
      <c r="J359" s="707" t="s">
        <v>2202</v>
      </c>
      <c r="K359" s="298">
        <v>2015</v>
      </c>
      <c r="L359" s="551">
        <v>42236</v>
      </c>
      <c r="M359" s="894">
        <v>42244</v>
      </c>
      <c r="N359" s="894">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12" t="s">
        <v>2119</v>
      </c>
      <c r="Y359" s="42">
        <f t="shared" si="69"/>
        <v>0</v>
      </c>
      <c r="Z359" s="42">
        <f t="shared" ca="1" si="70"/>
        <v>1</v>
      </c>
      <c r="AA359" s="43">
        <f t="shared" ca="1" si="71"/>
        <v>1</v>
      </c>
      <c r="AB359" s="202" t="str">
        <f t="shared" ca="1" si="72"/>
        <v/>
      </c>
      <c r="AC359" s="44" t="str">
        <f t="shared" si="74"/>
        <v>NO</v>
      </c>
      <c r="AD359" s="765" t="str">
        <f>VLOOKUP(C359,[2]Hoja4!$A$2:$E$116,5,0)</f>
        <v>NA</v>
      </c>
      <c r="AE359" s="173" t="s">
        <v>1258</v>
      </c>
      <c r="AF359" s="284" t="s">
        <v>2204</v>
      </c>
      <c r="AG359" s="173" t="s">
        <v>1440</v>
      </c>
      <c r="AH359" s="284" t="s">
        <v>560</v>
      </c>
      <c r="AI359" s="308" t="s">
        <v>1510</v>
      </c>
      <c r="AJ359" s="308" t="s">
        <v>1870</v>
      </c>
      <c r="AK359" s="181" t="str">
        <f t="shared" ca="1" si="73"/>
        <v>TERMINO</v>
      </c>
      <c r="AL359" s="313" t="s">
        <v>582</v>
      </c>
      <c r="AM359" s="176" t="s">
        <v>390</v>
      </c>
      <c r="AN359" s="875" t="str">
        <f>IFERROR(VLOOKUP(E359,'liquidaciones '!$B$2:$C$1048576,2,0),"NO")</f>
        <v>EN TRÁMITE</v>
      </c>
      <c r="AO359" s="983" t="str">
        <f>IFERROR(VLOOKUP(E359,'liquidaciones '!$B$2:$I$1048576,8,0),"")</f>
        <v>GIOVANNI SUAREZ</v>
      </c>
      <c r="AP359" s="342"/>
      <c r="AQ359" s="177" t="str">
        <f t="shared" ca="1" si="75"/>
        <v>SI</v>
      </c>
      <c r="AR359" s="177" t="s">
        <v>1995</v>
      </c>
      <c r="AS359" s="438"/>
      <c r="AT359" s="1015"/>
    </row>
    <row r="360" spans="2:46" ht="67.5" x14ac:dyDescent="0.25">
      <c r="B360" s="725">
        <v>354</v>
      </c>
      <c r="C360" s="442">
        <v>57</v>
      </c>
      <c r="D360" s="442" t="str">
        <f t="shared" si="66"/>
        <v>201557</v>
      </c>
      <c r="E360" s="895" t="s">
        <v>2208</v>
      </c>
      <c r="F360" s="283" t="s">
        <v>2209</v>
      </c>
      <c r="G360" s="309">
        <v>9008873661</v>
      </c>
      <c r="H360" s="283" t="s">
        <v>2210</v>
      </c>
      <c r="I360" s="210">
        <v>154954934</v>
      </c>
      <c r="J360" s="707" t="s">
        <v>2162</v>
      </c>
      <c r="K360" s="298">
        <v>2015</v>
      </c>
      <c r="L360" s="551">
        <v>42258</v>
      </c>
      <c r="M360" s="299">
        <v>42293</v>
      </c>
      <c r="N360" s="299">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12" t="s">
        <v>2211</v>
      </c>
      <c r="Y360" s="42">
        <f t="shared" si="69"/>
        <v>0.99999998709302151</v>
      </c>
      <c r="Z360" s="42">
        <f t="shared" ca="1" si="70"/>
        <v>1</v>
      </c>
      <c r="AA360" s="43">
        <f t="shared" ca="1" si="71"/>
        <v>1.2906978485993648E-8</v>
      </c>
      <c r="AB360" s="202" t="str">
        <f t="shared" ca="1" si="72"/>
        <v/>
      </c>
      <c r="AC360" s="44" t="str">
        <f t="shared" si="74"/>
        <v>SI</v>
      </c>
      <c r="AD360" s="765" t="str">
        <f>VLOOKUP(C360,[2]Hoja4!$A$2:$E$116,5,0)</f>
        <v>PRESTACION DE SERVICIOS</v>
      </c>
      <c r="AE360" s="173" t="s">
        <v>1258</v>
      </c>
      <c r="AF360" s="284" t="s">
        <v>1939</v>
      </c>
      <c r="AG360" s="173" t="s">
        <v>1440</v>
      </c>
      <c r="AH360" s="284" t="s">
        <v>560</v>
      </c>
      <c r="AI360" s="308" t="s">
        <v>1510</v>
      </c>
      <c r="AJ360" s="308" t="s">
        <v>1870</v>
      </c>
      <c r="AK360" s="181" t="str">
        <f t="shared" ca="1" si="73"/>
        <v>TERMINO</v>
      </c>
      <c r="AL360" s="313" t="s">
        <v>575</v>
      </c>
      <c r="AM360" s="176" t="s">
        <v>390</v>
      </c>
      <c r="AN360" s="875" t="str">
        <f>IFERROR(VLOOKUP(E360,'liquidaciones '!$B$2:$C$1048576,2,0),"NO")</f>
        <v>EN TRÁMITE</v>
      </c>
      <c r="AO360" s="983" t="str">
        <f>IFERROR(VLOOKUP(E360,'liquidaciones '!$B$2:$I$1048576,8,0),"")</f>
        <v>MANUEL ROJAS</v>
      </c>
      <c r="AP360" s="342"/>
      <c r="AQ360" s="177" t="str">
        <f t="shared" ca="1" si="75"/>
        <v>SI</v>
      </c>
      <c r="AR360" s="177" t="s">
        <v>2924</v>
      </c>
      <c r="AS360" s="438"/>
      <c r="AT360" s="1015"/>
    </row>
    <row r="361" spans="2:46" ht="33.75" x14ac:dyDescent="0.25">
      <c r="B361" s="725">
        <v>355</v>
      </c>
      <c r="C361" s="442">
        <v>164</v>
      </c>
      <c r="D361" s="442" t="str">
        <f t="shared" si="66"/>
        <v>2015164</v>
      </c>
      <c r="E361" s="895" t="s">
        <v>2214</v>
      </c>
      <c r="F361" s="283" t="s">
        <v>2215</v>
      </c>
      <c r="G361" s="895" t="s">
        <v>2216</v>
      </c>
      <c r="H361" s="283" t="s">
        <v>2217</v>
      </c>
      <c r="I361" s="210">
        <v>28805000</v>
      </c>
      <c r="J361" s="707" t="s">
        <v>2218</v>
      </c>
      <c r="K361" s="298">
        <v>2015</v>
      </c>
      <c r="L361" s="551">
        <v>42268</v>
      </c>
      <c r="M361" s="299">
        <v>42296</v>
      </c>
      <c r="N361" s="299">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12" t="s">
        <v>2219</v>
      </c>
      <c r="Y361" s="42">
        <f t="shared" si="69"/>
        <v>0.42682693976740149</v>
      </c>
      <c r="Z361" s="42">
        <f t="shared" ca="1" si="70"/>
        <v>1</v>
      </c>
      <c r="AA361" s="43">
        <f t="shared" ca="1" si="71"/>
        <v>0.57317306023259851</v>
      </c>
      <c r="AB361" s="202" t="str">
        <f t="shared" ca="1" si="72"/>
        <v/>
      </c>
      <c r="AC361" s="44" t="str">
        <f t="shared" si="74"/>
        <v>NO</v>
      </c>
      <c r="AD361" s="765" t="str">
        <f>VLOOKUP(C361,[2]Hoja4!$A$2:$E$116,5,0)</f>
        <v>PRESTACION DE SERVICIOS</v>
      </c>
      <c r="AE361" s="173" t="s">
        <v>1257</v>
      </c>
      <c r="AF361" s="284" t="s">
        <v>1127</v>
      </c>
      <c r="AG361" s="173" t="s">
        <v>1443</v>
      </c>
      <c r="AH361" s="284" t="s">
        <v>560</v>
      </c>
      <c r="AI361" s="174" t="s">
        <v>1320</v>
      </c>
      <c r="AJ361" s="308" t="s">
        <v>1870</v>
      </c>
      <c r="AK361" s="181" t="str">
        <f t="shared" ca="1" si="73"/>
        <v>TERMINO</v>
      </c>
      <c r="AL361" s="313" t="s">
        <v>576</v>
      </c>
      <c r="AM361" s="176" t="s">
        <v>390</v>
      </c>
      <c r="AN361" s="875" t="str">
        <f>IFERROR(VLOOKUP(E361,'liquidaciones '!$B$2:$C$1048576,2,0),"NO")</f>
        <v>LIQUIDADO</v>
      </c>
      <c r="AO361" s="983" t="str">
        <f>IFERROR(VLOOKUP(E361,'liquidaciones '!$B$2:$I$1048576,8,0),"")</f>
        <v>GIOVANNI SUAREZ</v>
      </c>
      <c r="AP361" s="342"/>
      <c r="AQ361" s="177" t="str">
        <f t="shared" ca="1" si="75"/>
        <v>SI</v>
      </c>
      <c r="AR361" s="177" t="s">
        <v>2609</v>
      </c>
      <c r="AS361" s="438"/>
      <c r="AT361" s="1015"/>
    </row>
    <row r="362" spans="2:46" ht="33.75" x14ac:dyDescent="0.25">
      <c r="B362" s="725">
        <v>356</v>
      </c>
      <c r="C362" s="442">
        <v>186</v>
      </c>
      <c r="D362" s="442" t="str">
        <f t="shared" si="66"/>
        <v>2015186</v>
      </c>
      <c r="E362" s="895" t="s">
        <v>2220</v>
      </c>
      <c r="F362" s="893" t="s">
        <v>2221</v>
      </c>
      <c r="G362" s="895" t="s">
        <v>2222</v>
      </c>
      <c r="H362" s="283" t="s">
        <v>2223</v>
      </c>
      <c r="I362" s="210">
        <v>6000000</v>
      </c>
      <c r="J362" s="707" t="s">
        <v>2163</v>
      </c>
      <c r="K362" s="298">
        <v>2015</v>
      </c>
      <c r="L362" s="551">
        <v>42261</v>
      </c>
      <c r="M362" s="299">
        <v>42291</v>
      </c>
      <c r="N362" s="299">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12" t="s">
        <v>2224</v>
      </c>
      <c r="Y362" s="42">
        <f t="shared" si="69"/>
        <v>0.99998166666666666</v>
      </c>
      <c r="Z362" s="42">
        <f t="shared" ca="1" si="70"/>
        <v>1</v>
      </c>
      <c r="AA362" s="43">
        <f t="shared" ca="1" si="71"/>
        <v>1.8333333333342416E-5</v>
      </c>
      <c r="AB362" s="202" t="str">
        <f t="shared" ca="1" si="72"/>
        <v/>
      </c>
      <c r="AC362" s="44" t="str">
        <f t="shared" si="74"/>
        <v>SI</v>
      </c>
      <c r="AD362" s="765" t="str">
        <f>VLOOKUP(C362,[2]Hoja4!$A$2:$E$116,5,0)</f>
        <v>COMPRAVENTA</v>
      </c>
      <c r="AE362" s="173" t="s">
        <v>1257</v>
      </c>
      <c r="AF362" s="284" t="s">
        <v>1303</v>
      </c>
      <c r="AG362" s="173" t="s">
        <v>1436</v>
      </c>
      <c r="AH362" s="284" t="s">
        <v>560</v>
      </c>
      <c r="AI362" s="308" t="s">
        <v>1390</v>
      </c>
      <c r="AJ362" s="308" t="s">
        <v>1870</v>
      </c>
      <c r="AK362" s="181" t="str">
        <f t="shared" ca="1" si="73"/>
        <v>TERMINO</v>
      </c>
      <c r="AL362" s="313" t="s">
        <v>576</v>
      </c>
      <c r="AM362" s="176" t="s">
        <v>391</v>
      </c>
      <c r="AN362" s="875" t="str">
        <f>IFERROR(VLOOKUP(E362,'liquidaciones '!$B$2:$C$1048576,2,0),"NO")</f>
        <v>LIQUIDADO</v>
      </c>
      <c r="AO362" s="983">
        <f>IFERROR(VLOOKUP(E362,'liquidaciones '!$B$2:$I$1048576,8,0),"")</f>
        <v>0</v>
      </c>
      <c r="AP362" s="342"/>
      <c r="AQ362" s="177" t="str">
        <f t="shared" ca="1" si="75"/>
        <v>SI</v>
      </c>
      <c r="AR362" s="177" t="s">
        <v>1573</v>
      </c>
      <c r="AS362" s="438"/>
      <c r="AT362" s="1015"/>
    </row>
    <row r="363" spans="2:46" ht="22.5" x14ac:dyDescent="0.25">
      <c r="B363" s="725">
        <v>357</v>
      </c>
      <c r="C363" s="442">
        <v>145</v>
      </c>
      <c r="D363" s="442" t="str">
        <f t="shared" si="66"/>
        <v>2015145</v>
      </c>
      <c r="E363" s="895" t="s">
        <v>2225</v>
      </c>
      <c r="F363" s="283" t="s">
        <v>2226</v>
      </c>
      <c r="G363" s="895">
        <v>860009759</v>
      </c>
      <c r="H363" s="283" t="s">
        <v>2227</v>
      </c>
      <c r="I363" s="210">
        <v>764100</v>
      </c>
      <c r="J363" s="707" t="s">
        <v>2225</v>
      </c>
      <c r="K363" s="298">
        <v>2015</v>
      </c>
      <c r="L363" s="551">
        <v>42272</v>
      </c>
      <c r="M363" s="299">
        <v>42336</v>
      </c>
      <c r="N363" s="299">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12" t="s">
        <v>2119</v>
      </c>
      <c r="Y363" s="42">
        <f t="shared" si="69"/>
        <v>1</v>
      </c>
      <c r="Z363" s="42">
        <f t="shared" ca="1" si="70"/>
        <v>1</v>
      </c>
      <c r="AA363" s="43">
        <f t="shared" ca="1" si="71"/>
        <v>0</v>
      </c>
      <c r="AB363" s="202" t="str">
        <f t="shared" ca="1" si="72"/>
        <v/>
      </c>
      <c r="AC363" s="44" t="str">
        <f t="shared" si="74"/>
        <v>SI</v>
      </c>
      <c r="AD363" s="765" t="str">
        <f>VLOOKUP(C363,[2]Hoja4!$A$2:$E$116,5,0)</f>
        <v>SUSCRIPCION</v>
      </c>
      <c r="AE363" s="173" t="s">
        <v>1257</v>
      </c>
      <c r="AF363" s="284" t="s">
        <v>1126</v>
      </c>
      <c r="AG363" s="173" t="s">
        <v>1431</v>
      </c>
      <c r="AH363" s="284" t="s">
        <v>564</v>
      </c>
      <c r="AI363" s="308"/>
      <c r="AJ363" s="308" t="s">
        <v>1870</v>
      </c>
      <c r="AK363" s="181" t="str">
        <f t="shared" ca="1" si="73"/>
        <v>TERMINO</v>
      </c>
      <c r="AL363" s="313" t="s">
        <v>582</v>
      </c>
      <c r="AM363" s="176" t="s">
        <v>390</v>
      </c>
      <c r="AN363" s="875" t="str">
        <f>IFERROR(VLOOKUP(E363,'liquidaciones '!$B$2:$C$1048576,2,0),"NO")</f>
        <v>LIQUIDADO</v>
      </c>
      <c r="AO363" s="983">
        <f>IFERROR(VLOOKUP(E363,'liquidaciones '!$B$2:$I$1048576,8,0),"")</f>
        <v>0</v>
      </c>
      <c r="AP363" s="342"/>
      <c r="AQ363" s="177" t="str">
        <f t="shared" ca="1" si="75"/>
        <v>SI</v>
      </c>
      <c r="AR363" s="177" t="s">
        <v>2610</v>
      </c>
      <c r="AS363" s="438"/>
      <c r="AT363" s="1015"/>
    </row>
    <row r="364" spans="2:46" ht="33.75" x14ac:dyDescent="0.25">
      <c r="B364" s="725">
        <v>358</v>
      </c>
      <c r="C364" s="442">
        <v>134</v>
      </c>
      <c r="D364" s="442" t="str">
        <f t="shared" si="66"/>
        <v>2015134</v>
      </c>
      <c r="E364" s="895" t="s">
        <v>2229</v>
      </c>
      <c r="F364" s="283" t="s">
        <v>2230</v>
      </c>
      <c r="G364" s="895">
        <v>17024109</v>
      </c>
      <c r="H364" s="283" t="s">
        <v>2231</v>
      </c>
      <c r="I364" s="210">
        <v>6660000</v>
      </c>
      <c r="J364" s="707" t="s">
        <v>2229</v>
      </c>
      <c r="K364" s="298">
        <v>2015</v>
      </c>
      <c r="L364" s="551">
        <v>42284</v>
      </c>
      <c r="M364" s="299">
        <v>42303</v>
      </c>
      <c r="N364" s="299">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12" t="s">
        <v>2119</v>
      </c>
      <c r="Y364" s="42">
        <f t="shared" si="69"/>
        <v>0.99099099099099097</v>
      </c>
      <c r="Z364" s="42">
        <f t="shared" ca="1" si="70"/>
        <v>1</v>
      </c>
      <c r="AA364" s="43">
        <f t="shared" ca="1" si="71"/>
        <v>9.009009009009028E-3</v>
      </c>
      <c r="AB364" s="202" t="str">
        <f t="shared" ca="1" si="72"/>
        <v/>
      </c>
      <c r="AC364" s="44" t="str">
        <f t="shared" si="74"/>
        <v>NO</v>
      </c>
      <c r="AD364" s="765" t="str">
        <f>VLOOKUP(C364,[2]Hoja4!$A$2:$E$116,5,0)</f>
        <v>PRESTACION DE SERVICIOS</v>
      </c>
      <c r="AE364" s="173" t="s">
        <v>1257</v>
      </c>
      <c r="AF364" s="284" t="s">
        <v>1308</v>
      </c>
      <c r="AG364" s="173"/>
      <c r="AH364" s="284"/>
      <c r="AI364" s="308"/>
      <c r="AJ364" s="308" t="s">
        <v>1870</v>
      </c>
      <c r="AK364" s="181" t="str">
        <f t="shared" ca="1" si="73"/>
        <v>TERMINO</v>
      </c>
      <c r="AL364" s="313" t="s">
        <v>582</v>
      </c>
      <c r="AM364" s="176" t="s">
        <v>391</v>
      </c>
      <c r="AN364" s="875" t="str">
        <f>IFERROR(VLOOKUP(E364,'liquidaciones '!$B$2:$C$1048576,2,0),"NO")</f>
        <v>LIQUIDADO</v>
      </c>
      <c r="AO364" s="983">
        <f>IFERROR(VLOOKUP(E364,'liquidaciones '!$B$2:$I$1048576,8,0),"")</f>
        <v>0</v>
      </c>
      <c r="AP364" s="342"/>
      <c r="AQ364" s="177" t="str">
        <f t="shared" ca="1" si="75"/>
        <v>SI</v>
      </c>
      <c r="AR364" s="177" t="s">
        <v>1511</v>
      </c>
      <c r="AS364" s="438"/>
      <c r="AT364" s="1015"/>
    </row>
    <row r="365" spans="2:46" ht="45" x14ac:dyDescent="0.25">
      <c r="B365" s="725">
        <v>359</v>
      </c>
      <c r="C365" s="442">
        <v>181</v>
      </c>
      <c r="D365" s="442" t="str">
        <f t="shared" si="66"/>
        <v>2015181</v>
      </c>
      <c r="E365" s="895" t="s">
        <v>2233</v>
      </c>
      <c r="F365" s="283" t="s">
        <v>2234</v>
      </c>
      <c r="G365" s="895">
        <v>830143378</v>
      </c>
      <c r="H365" s="283" t="s">
        <v>2235</v>
      </c>
      <c r="I365" s="210">
        <v>436914000</v>
      </c>
      <c r="J365" s="707" t="s">
        <v>2196</v>
      </c>
      <c r="K365" s="298">
        <v>2015</v>
      </c>
      <c r="L365" s="551">
        <v>42293</v>
      </c>
      <c r="M365" s="299">
        <v>42362</v>
      </c>
      <c r="N365" s="299">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12" t="s">
        <v>2236</v>
      </c>
      <c r="Y365" s="42">
        <f t="shared" si="69"/>
        <v>1</v>
      </c>
      <c r="Z365" s="42">
        <f t="shared" ca="1" si="70"/>
        <v>1</v>
      </c>
      <c r="AA365" s="43">
        <f t="shared" ca="1" si="71"/>
        <v>0</v>
      </c>
      <c r="AB365" s="202" t="str">
        <f t="shared" ca="1" si="72"/>
        <v/>
      </c>
      <c r="AC365" s="44" t="str">
        <f t="shared" si="74"/>
        <v>SI</v>
      </c>
      <c r="AD365" s="765" t="str">
        <f>VLOOKUP(C365,[2]Hoja4!$A$2:$E$116,5,0)</f>
        <v>PRESTACION DE SERVICIOS</v>
      </c>
      <c r="AE365" s="173" t="s">
        <v>1257</v>
      </c>
      <c r="AF365" s="284" t="s">
        <v>1284</v>
      </c>
      <c r="AG365" s="173" t="s">
        <v>1436</v>
      </c>
      <c r="AH365" s="284" t="s">
        <v>560</v>
      </c>
      <c r="AI365" s="308" t="s">
        <v>1387</v>
      </c>
      <c r="AJ365" s="308" t="s">
        <v>1870</v>
      </c>
      <c r="AK365" s="181" t="str">
        <f t="shared" ca="1" si="73"/>
        <v>TERMINO</v>
      </c>
      <c r="AL365" s="313" t="s">
        <v>573</v>
      </c>
      <c r="AM365" s="176" t="s">
        <v>390</v>
      </c>
      <c r="AN365" s="875" t="str">
        <f>IFERROR(VLOOKUP(E365,'liquidaciones '!$B$2:$C$1048576,2,0),"NO")</f>
        <v>LIQUIDADO</v>
      </c>
      <c r="AO365" s="983" t="str">
        <f>IFERROR(VLOOKUP(E365,'liquidaciones '!$B$2:$I$1048576,8,0),"")</f>
        <v>DORA PINILLA</v>
      </c>
      <c r="AP365" s="342"/>
      <c r="AQ365" s="177" t="str">
        <f t="shared" ca="1" si="75"/>
        <v>SI</v>
      </c>
      <c r="AR365" s="177" t="s">
        <v>1511</v>
      </c>
      <c r="AS365" s="438"/>
      <c r="AT365" s="1015"/>
    </row>
    <row r="366" spans="2:46" ht="56.25" x14ac:dyDescent="0.25">
      <c r="B366" s="725">
        <v>360</v>
      </c>
      <c r="C366" s="442">
        <v>185</v>
      </c>
      <c r="D366" s="442" t="str">
        <f t="shared" si="66"/>
        <v>2015185</v>
      </c>
      <c r="E366" s="895" t="s">
        <v>2237</v>
      </c>
      <c r="F366" s="893" t="s">
        <v>2011</v>
      </c>
      <c r="G366" s="895">
        <v>8600669427</v>
      </c>
      <c r="H366" s="283" t="s">
        <v>2238</v>
      </c>
      <c r="I366" s="210">
        <v>550762000</v>
      </c>
      <c r="J366" s="707" t="s">
        <v>2239</v>
      </c>
      <c r="K366" s="298">
        <v>2015</v>
      </c>
      <c r="L366" s="551">
        <v>42297</v>
      </c>
      <c r="M366" s="299">
        <v>42305</v>
      </c>
      <c r="N366" s="299">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12" t="s">
        <v>2240</v>
      </c>
      <c r="Y366" s="42">
        <f t="shared" si="69"/>
        <v>0.93519888768628345</v>
      </c>
      <c r="Z366" s="42">
        <f t="shared" ca="1" si="70"/>
        <v>1</v>
      </c>
      <c r="AA366" s="43">
        <f t="shared" ca="1" si="71"/>
        <v>6.4801112313716547E-2</v>
      </c>
      <c r="AB366" s="202" t="str">
        <f t="shared" ca="1" si="72"/>
        <v/>
      </c>
      <c r="AC366" s="44" t="str">
        <f t="shared" si="74"/>
        <v>NO</v>
      </c>
      <c r="AD366" s="765" t="str">
        <f>VLOOKUP(C366,[2]Hoja4!$A$2:$E$116,5,0)</f>
        <v>PRESTACION DE SERVICIOS</v>
      </c>
      <c r="AE366" s="173" t="s">
        <v>1257</v>
      </c>
      <c r="AF366" s="284" t="s">
        <v>1281</v>
      </c>
      <c r="AG366" s="173" t="s">
        <v>1436</v>
      </c>
      <c r="AH366" s="284" t="s">
        <v>560</v>
      </c>
      <c r="AI366" s="308" t="s">
        <v>1387</v>
      </c>
      <c r="AJ366" s="308" t="s">
        <v>1870</v>
      </c>
      <c r="AK366" s="181" t="str">
        <f t="shared" ca="1" si="73"/>
        <v>TERMINO</v>
      </c>
      <c r="AL366" s="313" t="s">
        <v>573</v>
      </c>
      <c r="AM366" s="176" t="s">
        <v>390</v>
      </c>
      <c r="AN366" s="875" t="str">
        <f>IFERROR(VLOOKUP(E366,'liquidaciones '!$B$2:$C$1048576,2,0),"NO")</f>
        <v>LIQUIDADO</v>
      </c>
      <c r="AO366" s="983" t="str">
        <f>IFERROR(VLOOKUP(E366,'liquidaciones '!$B$2:$I$1048576,8,0),"")</f>
        <v>DORA PINILLA</v>
      </c>
      <c r="AP366" s="342"/>
      <c r="AQ366" s="177" t="str">
        <f t="shared" ca="1" si="75"/>
        <v>SI</v>
      </c>
      <c r="AR366" s="177" t="s">
        <v>981</v>
      </c>
      <c r="AS366" s="438"/>
      <c r="AT366" s="1015"/>
    </row>
    <row r="367" spans="2:46" ht="33.75" x14ac:dyDescent="0.25">
      <c r="B367" s="725">
        <v>361</v>
      </c>
      <c r="C367" s="442">
        <v>335</v>
      </c>
      <c r="D367" s="442" t="str">
        <f t="shared" si="66"/>
        <v>2015335</v>
      </c>
      <c r="E367" s="895" t="s">
        <v>2241</v>
      </c>
      <c r="F367" s="283" t="s">
        <v>1346</v>
      </c>
      <c r="G367" s="895" t="s">
        <v>2242</v>
      </c>
      <c r="H367" s="283" t="s">
        <v>2243</v>
      </c>
      <c r="I367" s="210">
        <v>2742000</v>
      </c>
      <c r="J367" s="707" t="s">
        <v>2244</v>
      </c>
      <c r="K367" s="298">
        <v>2015</v>
      </c>
      <c r="L367" s="551">
        <v>42305</v>
      </c>
      <c r="M367" s="299">
        <v>42321</v>
      </c>
      <c r="N367" s="299">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12" t="s">
        <v>2245</v>
      </c>
      <c r="Y367" s="42">
        <f t="shared" si="69"/>
        <v>0.99970970094821299</v>
      </c>
      <c r="Z367" s="42">
        <f t="shared" ca="1" si="70"/>
        <v>1</v>
      </c>
      <c r="AA367" s="43">
        <f t="shared" ca="1" si="71"/>
        <v>2.9029905178701298E-4</v>
      </c>
      <c r="AB367" s="202" t="str">
        <f t="shared" ca="1" si="72"/>
        <v/>
      </c>
      <c r="AC367" s="44" t="str">
        <f t="shared" si="74"/>
        <v>SI</v>
      </c>
      <c r="AD367" s="765" t="e">
        <f>VLOOKUP(C367,[2]Hoja4!$A$2:$E$116,5,0)</f>
        <v>#N/A</v>
      </c>
      <c r="AE367" s="173" t="s">
        <v>1257</v>
      </c>
      <c r="AF367" s="284" t="s">
        <v>1300</v>
      </c>
      <c r="AG367" s="173" t="s">
        <v>1441</v>
      </c>
      <c r="AH367" s="284" t="s">
        <v>562</v>
      </c>
      <c r="AI367" s="308" t="s">
        <v>1474</v>
      </c>
      <c r="AJ367" s="308" t="s">
        <v>1870</v>
      </c>
      <c r="AK367" s="181" t="str">
        <f t="shared" ca="1" si="73"/>
        <v>TERMINO</v>
      </c>
      <c r="AL367" s="313" t="s">
        <v>576</v>
      </c>
      <c r="AM367" s="176" t="s">
        <v>390</v>
      </c>
      <c r="AN367" s="875" t="str">
        <f>IFERROR(VLOOKUP(E367,'liquidaciones '!$B$2:$C$1048576,2,0),"NO")</f>
        <v>DEVUELTO</v>
      </c>
      <c r="AO367" s="983" t="str">
        <f>IFERROR(VLOOKUP(E367,'liquidaciones '!$B$2:$I$1048576,8,0),"")</f>
        <v>JULIETH ANGARITA</v>
      </c>
      <c r="AP367" s="342"/>
      <c r="AQ367" s="177" t="str">
        <f t="shared" ca="1" si="75"/>
        <v>SI</v>
      </c>
      <c r="AR367" s="177" t="s">
        <v>1573</v>
      </c>
      <c r="AS367" s="438"/>
      <c r="AT367" s="1015"/>
    </row>
    <row r="368" spans="2:46" ht="45" x14ac:dyDescent="0.25">
      <c r="B368" s="725">
        <v>362</v>
      </c>
      <c r="C368" s="442">
        <v>74</v>
      </c>
      <c r="D368" s="442" t="str">
        <f t="shared" si="66"/>
        <v>201574</v>
      </c>
      <c r="E368" s="309" t="s">
        <v>2248</v>
      </c>
      <c r="F368" s="283" t="s">
        <v>2249</v>
      </c>
      <c r="G368" s="895">
        <v>900254691</v>
      </c>
      <c r="H368" s="283" t="s">
        <v>2250</v>
      </c>
      <c r="I368" s="210">
        <v>1512217703</v>
      </c>
      <c r="J368" s="707" t="s">
        <v>2251</v>
      </c>
      <c r="K368" s="298">
        <v>2015</v>
      </c>
      <c r="L368" s="551">
        <v>42311</v>
      </c>
      <c r="M368" s="299">
        <v>42333</v>
      </c>
      <c r="N368" s="299">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12" t="s">
        <v>2252</v>
      </c>
      <c r="Y368" s="42">
        <f t="shared" si="69"/>
        <v>1</v>
      </c>
      <c r="Z368" s="42">
        <f t="shared" ca="1" si="70"/>
        <v>1</v>
      </c>
      <c r="AA368" s="43">
        <f t="shared" ca="1" si="71"/>
        <v>0</v>
      </c>
      <c r="AB368" s="202" t="str">
        <f t="shared" ca="1" si="72"/>
        <v/>
      </c>
      <c r="AC368" s="44" t="str">
        <f t="shared" si="74"/>
        <v>SI</v>
      </c>
      <c r="AD368" s="765" t="str">
        <f>VLOOKUP(C368,[2]Hoja4!$A$2:$E$116,5,0)</f>
        <v>COMPRAVENTA</v>
      </c>
      <c r="AE368" s="173" t="s">
        <v>1258</v>
      </c>
      <c r="AF368" s="284" t="s">
        <v>2253</v>
      </c>
      <c r="AG368" s="173" t="s">
        <v>1440</v>
      </c>
      <c r="AH368" s="284" t="s">
        <v>560</v>
      </c>
      <c r="AI368" s="308" t="s">
        <v>1510</v>
      </c>
      <c r="AJ368" s="308" t="s">
        <v>1870</v>
      </c>
      <c r="AK368" s="181" t="str">
        <f t="shared" ca="1" si="73"/>
        <v>TERMINO</v>
      </c>
      <c r="AL368" s="313" t="s">
        <v>575</v>
      </c>
      <c r="AM368" s="176" t="s">
        <v>390</v>
      </c>
      <c r="AN368" s="875" t="str">
        <f>IFERROR(VLOOKUP(E368,'liquidaciones '!$B$2:$C$1048576,2,0),"NO")</f>
        <v>LIQUIDADO</v>
      </c>
      <c r="AO368" s="983" t="str">
        <f>IFERROR(VLOOKUP(E368,'liquidaciones '!$B$2:$I$1048576,8,0),"")</f>
        <v>DORA PINILLA</v>
      </c>
      <c r="AP368" s="342"/>
      <c r="AQ368" s="177" t="str">
        <f t="shared" ca="1" si="75"/>
        <v>SI</v>
      </c>
      <c r="AR368" s="177" t="s">
        <v>1995</v>
      </c>
      <c r="AS368" s="438"/>
      <c r="AT368" s="1015"/>
    </row>
    <row r="369" spans="2:46" ht="67.5" x14ac:dyDescent="0.25">
      <c r="B369" s="725">
        <v>363</v>
      </c>
      <c r="C369" s="442">
        <v>184</v>
      </c>
      <c r="D369" s="442" t="str">
        <f t="shared" si="66"/>
        <v>2015184</v>
      </c>
      <c r="E369" s="895" t="s">
        <v>2254</v>
      </c>
      <c r="F369" s="893" t="s">
        <v>2255</v>
      </c>
      <c r="G369" s="895">
        <v>890900608</v>
      </c>
      <c r="H369" s="283" t="s">
        <v>2256</v>
      </c>
      <c r="I369" s="210">
        <v>37372300</v>
      </c>
      <c r="J369" s="707" t="s">
        <v>2206</v>
      </c>
      <c r="K369" s="298">
        <v>2015</v>
      </c>
      <c r="L369" s="551">
        <v>42314</v>
      </c>
      <c r="M369" s="299">
        <v>42331</v>
      </c>
      <c r="N369" s="299">
        <v>42392</v>
      </c>
      <c r="O369" s="127">
        <f>COUNTA(Modificaciones!I369,Modificaciones!K369,Modificaciones!M369,Modificaciones!O369)</f>
        <v>0</v>
      </c>
      <c r="P369" s="128">
        <f>VLOOKUP(E369,Modificaciones!$B$7:$Q$400,16,0)</f>
        <v>0</v>
      </c>
      <c r="Q369" s="129" t="s">
        <v>2451</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12" t="s">
        <v>2257</v>
      </c>
      <c r="Y369" s="42">
        <f t="shared" si="69"/>
        <v>0.79999986621107078</v>
      </c>
      <c r="Z369" s="42">
        <f t="shared" ca="1" si="70"/>
        <v>1</v>
      </c>
      <c r="AA369" s="43">
        <f t="shared" ca="1" si="71"/>
        <v>0.20000013378892922</v>
      </c>
      <c r="AB369" s="202" t="str">
        <f t="shared" ca="1" si="72"/>
        <v/>
      </c>
      <c r="AC369" s="44" t="str">
        <f t="shared" si="74"/>
        <v>NO</v>
      </c>
      <c r="AD369" s="765" t="str">
        <f>VLOOKUP(C369,[2]Hoja4!$A$2:$E$116,5,0)</f>
        <v>COMPRAVENTA</v>
      </c>
      <c r="AE369" s="173" t="s">
        <v>1257</v>
      </c>
      <c r="AF369" s="284" t="s">
        <v>1485</v>
      </c>
      <c r="AG369" s="173" t="s">
        <v>1436</v>
      </c>
      <c r="AH369" s="284" t="s">
        <v>560</v>
      </c>
      <c r="AI369" s="308" t="s">
        <v>1387</v>
      </c>
      <c r="AJ369" s="308" t="s">
        <v>1870</v>
      </c>
      <c r="AK369" s="181" t="str">
        <f t="shared" ca="1" si="73"/>
        <v>TERMINO</v>
      </c>
      <c r="AL369" s="313" t="s">
        <v>574</v>
      </c>
      <c r="AM369" s="176" t="s">
        <v>391</v>
      </c>
      <c r="AN369" s="875" t="str">
        <f>IFERROR(VLOOKUP(E369,'liquidaciones '!$B$2:$C$1048576,2,0),"NO")</f>
        <v>DEVUELTO</v>
      </c>
      <c r="AO369" s="983" t="str">
        <f>IFERROR(VLOOKUP(E369,'liquidaciones '!$B$2:$I$1048576,8,0),"")</f>
        <v>JULIETH ANGARITA</v>
      </c>
      <c r="AP369" s="342"/>
      <c r="AQ369" s="177" t="str">
        <f t="shared" ca="1" si="75"/>
        <v>SI</v>
      </c>
      <c r="AR369" s="177" t="s">
        <v>981</v>
      </c>
      <c r="AS369" s="438"/>
      <c r="AT369" s="1015"/>
    </row>
    <row r="370" spans="2:46" ht="33.75" x14ac:dyDescent="0.25">
      <c r="B370" s="725">
        <v>364</v>
      </c>
      <c r="C370" s="442">
        <v>308</v>
      </c>
      <c r="D370" s="442" t="str">
        <f t="shared" si="66"/>
        <v>2015308</v>
      </c>
      <c r="E370" s="895" t="s">
        <v>2262</v>
      </c>
      <c r="F370" s="283" t="s">
        <v>2263</v>
      </c>
      <c r="G370" s="895">
        <v>900908963</v>
      </c>
      <c r="H370" s="283" t="s">
        <v>2264</v>
      </c>
      <c r="I370" s="210">
        <v>96032643</v>
      </c>
      <c r="J370" s="707" t="s">
        <v>2265</v>
      </c>
      <c r="K370" s="298">
        <v>2015</v>
      </c>
      <c r="L370" s="551">
        <v>42325</v>
      </c>
      <c r="M370" s="299">
        <v>42345</v>
      </c>
      <c r="N370" s="299">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12" t="s">
        <v>2266</v>
      </c>
      <c r="Y370" s="42">
        <f t="shared" si="69"/>
        <v>1</v>
      </c>
      <c r="Z370" s="42">
        <f t="shared" ca="1" si="70"/>
        <v>1</v>
      </c>
      <c r="AA370" s="43">
        <f t="shared" ca="1" si="71"/>
        <v>0</v>
      </c>
      <c r="AB370" s="202" t="str">
        <f t="shared" ca="1" si="72"/>
        <v/>
      </c>
      <c r="AC370" s="44" t="str">
        <f t="shared" si="74"/>
        <v>SI</v>
      </c>
      <c r="AD370" s="765" t="str">
        <f>VLOOKUP(C370,[2]Hoja4!$A$2:$E$116,5,0)</f>
        <v>PRESTACION DE SERVICIOS</v>
      </c>
      <c r="AE370" s="173" t="s">
        <v>1258</v>
      </c>
      <c r="AF370" s="284" t="s">
        <v>2267</v>
      </c>
      <c r="AG370" s="173" t="s">
        <v>1440</v>
      </c>
      <c r="AH370" s="284" t="s">
        <v>560</v>
      </c>
      <c r="AI370" s="308" t="s">
        <v>1510</v>
      </c>
      <c r="AJ370" s="308" t="s">
        <v>1870</v>
      </c>
      <c r="AK370" s="181" t="str">
        <f t="shared" ca="1" si="73"/>
        <v>TERMINO</v>
      </c>
      <c r="AL370" s="313" t="s">
        <v>574</v>
      </c>
      <c r="AM370" s="176" t="s">
        <v>390</v>
      </c>
      <c r="AN370" s="875" t="str">
        <f>IFERROR(VLOOKUP(E370,'liquidaciones '!$B$2:$C$1048576,2,0),"NO")</f>
        <v>LIQUIDADO</v>
      </c>
      <c r="AO370" s="983">
        <f>IFERROR(VLOOKUP(E370,'liquidaciones '!$B$2:$I$1048576,8,0),"")</f>
        <v>0</v>
      </c>
      <c r="AP370" s="342"/>
      <c r="AQ370" s="177" t="str">
        <f t="shared" ca="1" si="75"/>
        <v>SI</v>
      </c>
      <c r="AR370" s="177" t="s">
        <v>2613</v>
      </c>
      <c r="AS370" s="438"/>
      <c r="AT370" s="1015"/>
    </row>
    <row r="371" spans="2:46" ht="56.25" x14ac:dyDescent="0.25">
      <c r="B371" s="725">
        <v>365</v>
      </c>
      <c r="C371" s="442">
        <v>367</v>
      </c>
      <c r="D371" s="442" t="str">
        <f t="shared" si="66"/>
        <v>2015367</v>
      </c>
      <c r="E371" s="309" t="s">
        <v>2273</v>
      </c>
      <c r="F371" s="283" t="s">
        <v>2272</v>
      </c>
      <c r="G371" s="895" t="s">
        <v>2274</v>
      </c>
      <c r="H371" s="283" t="s">
        <v>2275</v>
      </c>
      <c r="I371" s="210">
        <v>17340258</v>
      </c>
      <c r="J371" s="707" t="s">
        <v>2276</v>
      </c>
      <c r="K371" s="298">
        <v>2015</v>
      </c>
      <c r="L371" s="551">
        <v>42332</v>
      </c>
      <c r="M371" s="299">
        <v>42338</v>
      </c>
      <c r="N371" s="299">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12" t="s">
        <v>2277</v>
      </c>
      <c r="Y371" s="42">
        <f t="shared" si="69"/>
        <v>1</v>
      </c>
      <c r="Z371" s="42">
        <f t="shared" ca="1" si="70"/>
        <v>1</v>
      </c>
      <c r="AA371" s="43">
        <f t="shared" ca="1" si="71"/>
        <v>0</v>
      </c>
      <c r="AB371" s="202" t="str">
        <f t="shared" ca="1" si="72"/>
        <v/>
      </c>
      <c r="AC371" s="44" t="str">
        <f t="shared" si="74"/>
        <v>SI</v>
      </c>
      <c r="AD371" s="765" t="e">
        <f>VLOOKUP(C371,[2]Hoja4!$A$2:$E$116,5,0)</f>
        <v>#N/A</v>
      </c>
      <c r="AE371" s="173" t="s">
        <v>1257</v>
      </c>
      <c r="AF371" s="284" t="s">
        <v>1489</v>
      </c>
      <c r="AG371" s="173" t="s">
        <v>1443</v>
      </c>
      <c r="AH371" s="284" t="s">
        <v>560</v>
      </c>
      <c r="AI371" s="308" t="s">
        <v>1381</v>
      </c>
      <c r="AJ371" s="308" t="s">
        <v>1870</v>
      </c>
      <c r="AK371" s="181" t="str">
        <f t="shared" ca="1" si="73"/>
        <v>TERMINO</v>
      </c>
      <c r="AL371" s="313" t="s">
        <v>576</v>
      </c>
      <c r="AM371" s="176" t="s">
        <v>390</v>
      </c>
      <c r="AN371" s="875" t="str">
        <f>IFERROR(VLOOKUP(E371,'liquidaciones '!$B$2:$C$1048576,2,0),"NO")</f>
        <v>LIQUIDADO</v>
      </c>
      <c r="AO371" s="983" t="str">
        <f>IFERROR(VLOOKUP(E371,'liquidaciones '!$B$2:$I$1048576,8,0),"")</f>
        <v>JULIETH ANGARITA</v>
      </c>
      <c r="AP371" s="342"/>
      <c r="AQ371" s="177" t="str">
        <f t="shared" ca="1" si="75"/>
        <v>SI</v>
      </c>
      <c r="AR371" s="177" t="s">
        <v>981</v>
      </c>
      <c r="AS371" s="438"/>
      <c r="AT371" s="1015"/>
    </row>
    <row r="372" spans="2:46" ht="45" x14ac:dyDescent="0.25">
      <c r="B372" s="725">
        <v>366</v>
      </c>
      <c r="C372" s="442">
        <v>366</v>
      </c>
      <c r="D372" s="442" t="str">
        <f t="shared" si="66"/>
        <v>2015366</v>
      </c>
      <c r="E372" s="895" t="s">
        <v>2351</v>
      </c>
      <c r="F372" s="893" t="s">
        <v>2353</v>
      </c>
      <c r="G372" s="895">
        <v>72007383</v>
      </c>
      <c r="H372" s="283" t="s">
        <v>2352</v>
      </c>
      <c r="I372" s="210">
        <v>27500000</v>
      </c>
      <c r="J372" s="707" t="s">
        <v>2351</v>
      </c>
      <c r="K372" s="298">
        <v>2015</v>
      </c>
      <c r="L372" s="551">
        <v>42342</v>
      </c>
      <c r="M372" s="299">
        <v>42349</v>
      </c>
      <c r="N372" s="299">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12" t="s">
        <v>1970</v>
      </c>
      <c r="Y372" s="42">
        <f t="shared" si="69"/>
        <v>0.94</v>
      </c>
      <c r="Z372" s="42">
        <f t="shared" ca="1" si="70"/>
        <v>1</v>
      </c>
      <c r="AA372" s="43">
        <f t="shared" ca="1" si="71"/>
        <v>6.0000000000000053E-2</v>
      </c>
      <c r="AB372" s="202" t="str">
        <f t="shared" ca="1" si="72"/>
        <v/>
      </c>
      <c r="AC372" s="44" t="str">
        <f t="shared" si="74"/>
        <v>NO</v>
      </c>
      <c r="AD372" s="765" t="s">
        <v>2915</v>
      </c>
      <c r="AE372" s="173" t="s">
        <v>1258</v>
      </c>
      <c r="AF372" s="284" t="s">
        <v>2394</v>
      </c>
      <c r="AG372" s="173" t="s">
        <v>1178</v>
      </c>
      <c r="AH372" s="284" t="s">
        <v>559</v>
      </c>
      <c r="AI372" s="308"/>
      <c r="AJ372" s="308" t="s">
        <v>1870</v>
      </c>
      <c r="AK372" s="181" t="str">
        <f t="shared" ca="1" si="73"/>
        <v>TERMINO</v>
      </c>
      <c r="AL372" s="313" t="s">
        <v>582</v>
      </c>
      <c r="AM372" s="176" t="s">
        <v>390</v>
      </c>
      <c r="AN372" s="875" t="str">
        <f>IFERROR(VLOOKUP(E372,'liquidaciones '!$B$2:$C$1048576,2,0),"NO")</f>
        <v>LIQUIDADO</v>
      </c>
      <c r="AO372" s="983">
        <f>IFERROR(VLOOKUP(E372,'liquidaciones '!$B$2:$I$1048576,8,0),"")</f>
        <v>0</v>
      </c>
      <c r="AP372" s="342"/>
      <c r="AQ372" s="177" t="str">
        <f t="shared" ca="1" si="75"/>
        <v>SI</v>
      </c>
      <c r="AR372" s="177" t="s">
        <v>981</v>
      </c>
      <c r="AS372" s="438"/>
      <c r="AT372" s="1015"/>
    </row>
    <row r="373" spans="2:46" ht="33.75" x14ac:dyDescent="0.25">
      <c r="B373" s="725">
        <v>367</v>
      </c>
      <c r="C373" s="442">
        <v>365</v>
      </c>
      <c r="D373" s="442" t="str">
        <f t="shared" si="66"/>
        <v>2015365</v>
      </c>
      <c r="E373" s="895" t="s">
        <v>2366</v>
      </c>
      <c r="F373" s="283" t="s">
        <v>2367</v>
      </c>
      <c r="G373" s="895">
        <v>79634149</v>
      </c>
      <c r="H373" s="283" t="s">
        <v>2379</v>
      </c>
      <c r="I373" s="840">
        <v>910786703.20000005</v>
      </c>
      <c r="J373" s="707" t="s">
        <v>2368</v>
      </c>
      <c r="K373" s="298">
        <v>2015</v>
      </c>
      <c r="L373" s="551">
        <v>42341</v>
      </c>
      <c r="M373" s="299">
        <v>42341</v>
      </c>
      <c r="N373" s="299">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12" t="s">
        <v>2369</v>
      </c>
      <c r="Y373" s="42">
        <f t="shared" si="69"/>
        <v>0.99999999978040954</v>
      </c>
      <c r="Z373" s="42">
        <f t="shared" ca="1" si="70"/>
        <v>1</v>
      </c>
      <c r="AA373" s="43">
        <f t="shared" ca="1" si="71"/>
        <v>2.195904569290974E-10</v>
      </c>
      <c r="AB373" s="202" t="str">
        <f t="shared" ca="1" si="72"/>
        <v/>
      </c>
      <c r="AC373" s="44" t="str">
        <f t="shared" si="74"/>
        <v>SI</v>
      </c>
      <c r="AD373" s="765" t="e">
        <f>VLOOKUP(C373,[2]Hoja4!$A$2:$E$116,5,0)</f>
        <v>#N/A</v>
      </c>
      <c r="AE373" s="173" t="s">
        <v>1258</v>
      </c>
      <c r="AF373" s="284" t="s">
        <v>2370</v>
      </c>
      <c r="AG373" s="173" t="s">
        <v>1440</v>
      </c>
      <c r="AH373" s="284" t="s">
        <v>560</v>
      </c>
      <c r="AI373" s="308" t="s">
        <v>1510</v>
      </c>
      <c r="AJ373" s="308" t="s">
        <v>1870</v>
      </c>
      <c r="AK373" s="181" t="str">
        <f t="shared" ca="1" si="73"/>
        <v>TERMINO</v>
      </c>
      <c r="AL373" s="313" t="s">
        <v>582</v>
      </c>
      <c r="AM373" s="176"/>
      <c r="AN373" s="875" t="str">
        <f>IFERROR(VLOOKUP(E373,'liquidaciones '!$B$2:$C$1048576,2,0),"NO")</f>
        <v>DEVUELTO</v>
      </c>
      <c r="AO373" s="983" t="str">
        <f>IFERROR(VLOOKUP(E373,'liquidaciones '!$B$2:$I$1048576,8,0),"")</f>
        <v>JULIETH ANGARITA</v>
      </c>
      <c r="AP373" s="342"/>
      <c r="AQ373" s="177"/>
      <c r="AR373" s="177" t="s">
        <v>1995</v>
      </c>
      <c r="AS373" s="438"/>
      <c r="AT373" s="1015"/>
    </row>
    <row r="374" spans="2:46" ht="22.5" x14ac:dyDescent="0.25">
      <c r="B374" s="725">
        <v>368</v>
      </c>
      <c r="C374" s="442">
        <v>368</v>
      </c>
      <c r="D374" s="442" t="str">
        <f t="shared" si="66"/>
        <v>2015368</v>
      </c>
      <c r="E374" s="895" t="s">
        <v>2360</v>
      </c>
      <c r="F374" s="283" t="s">
        <v>2362</v>
      </c>
      <c r="G374" s="895" t="s">
        <v>2363</v>
      </c>
      <c r="H374" s="283" t="s">
        <v>2361</v>
      </c>
      <c r="I374" s="210">
        <v>8404200</v>
      </c>
      <c r="J374" s="707" t="s">
        <v>2364</v>
      </c>
      <c r="K374" s="298">
        <v>2015</v>
      </c>
      <c r="L374" s="551">
        <v>42352</v>
      </c>
      <c r="M374" s="299">
        <v>42383</v>
      </c>
      <c r="N374" s="299">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12" t="s">
        <v>2365</v>
      </c>
      <c r="Y374" s="42">
        <f t="shared" si="69"/>
        <v>1</v>
      </c>
      <c r="Z374" s="42">
        <f t="shared" ca="1" si="70"/>
        <v>1</v>
      </c>
      <c r="AA374" s="43">
        <f t="shared" ca="1" si="71"/>
        <v>0</v>
      </c>
      <c r="AB374" s="202" t="str">
        <f t="shared" ca="1" si="72"/>
        <v/>
      </c>
      <c r="AC374" s="44" t="str">
        <f t="shared" si="74"/>
        <v>SI</v>
      </c>
      <c r="AD374" s="765" t="e">
        <f>VLOOKUP(C374,[2]Hoja4!$A$2:$E$116,5,0)</f>
        <v>#N/A</v>
      </c>
      <c r="AE374" s="173" t="s">
        <v>1257</v>
      </c>
      <c r="AF374" s="284" t="s">
        <v>2268</v>
      </c>
      <c r="AG374" s="173" t="s">
        <v>1443</v>
      </c>
      <c r="AH374" s="284" t="s">
        <v>560</v>
      </c>
      <c r="AI374" s="308"/>
      <c r="AJ374" s="308" t="s">
        <v>1870</v>
      </c>
      <c r="AK374" s="181" t="str">
        <f t="shared" ca="1" si="73"/>
        <v>TERMINO</v>
      </c>
      <c r="AL374" s="313" t="s">
        <v>576</v>
      </c>
      <c r="AM374" s="176" t="s">
        <v>391</v>
      </c>
      <c r="AN374" s="875" t="str">
        <f>IFERROR(VLOOKUP(E374,'liquidaciones '!$B$2:$C$1048576,2,0),"NO")</f>
        <v>LIQUIDADO</v>
      </c>
      <c r="AO374" s="983">
        <f>IFERROR(VLOOKUP(E374,'liquidaciones '!$B$2:$I$1048576,8,0),"")</f>
        <v>0</v>
      </c>
      <c r="AP374" s="342"/>
      <c r="AQ374" s="177" t="str">
        <f t="shared" ref="AQ374:AQ401" ca="1" si="76">IF((TODAY()-T374&lt;900),"SI","NO")</f>
        <v>SI</v>
      </c>
      <c r="AR374" s="177" t="s">
        <v>981</v>
      </c>
      <c r="AS374" s="438"/>
      <c r="AT374" s="1015"/>
    </row>
    <row r="375" spans="2:46" ht="56.25" x14ac:dyDescent="0.25">
      <c r="B375" s="725">
        <v>369</v>
      </c>
      <c r="C375" s="442">
        <v>160</v>
      </c>
      <c r="D375" s="442" t="str">
        <f t="shared" si="66"/>
        <v>2015160</v>
      </c>
      <c r="E375" s="895" t="s">
        <v>2371</v>
      </c>
      <c r="F375" s="893" t="s">
        <v>2372</v>
      </c>
      <c r="G375" s="309" t="s">
        <v>2373</v>
      </c>
      <c r="H375" s="283" t="s">
        <v>2374</v>
      </c>
      <c r="I375" s="210">
        <v>345000000</v>
      </c>
      <c r="J375" s="707" t="s">
        <v>2375</v>
      </c>
      <c r="K375" s="298">
        <v>2015</v>
      </c>
      <c r="L375" s="551">
        <v>42349</v>
      </c>
      <c r="M375" s="299">
        <v>42383</v>
      </c>
      <c r="N375" s="299">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12" t="s">
        <v>2376</v>
      </c>
      <c r="Y375" s="42">
        <f t="shared" si="69"/>
        <v>0.99786321545893719</v>
      </c>
      <c r="Z375" s="42">
        <f t="shared" ca="1" si="70"/>
        <v>1</v>
      </c>
      <c r="AA375" s="43">
        <f t="shared" ca="1" si="71"/>
        <v>2.1367845410628084E-3</v>
      </c>
      <c r="AB375" s="202" t="str">
        <f t="shared" ca="1" si="72"/>
        <v/>
      </c>
      <c r="AC375" s="44" t="str">
        <f t="shared" si="74"/>
        <v>NO</v>
      </c>
      <c r="AD375" s="765" t="str">
        <f>VLOOKUP(C375,[2]Hoja4!$A$2:$E$116,5,0)</f>
        <v>CONTRATO INTERADMINISTRATIVO</v>
      </c>
      <c r="AE375" s="173" t="s">
        <v>1257</v>
      </c>
      <c r="AF375" s="284" t="s">
        <v>1534</v>
      </c>
      <c r="AG375" s="173" t="s">
        <v>1431</v>
      </c>
      <c r="AH375" s="284" t="s">
        <v>564</v>
      </c>
      <c r="AI375" s="308"/>
      <c r="AJ375" s="308" t="s">
        <v>1870</v>
      </c>
      <c r="AK375" s="181" t="str">
        <f t="shared" ca="1" si="73"/>
        <v>TERMINO</v>
      </c>
      <c r="AL375" s="313" t="s">
        <v>575</v>
      </c>
      <c r="AM375" s="176" t="s">
        <v>390</v>
      </c>
      <c r="AN375" s="875" t="str">
        <f>IFERROR(VLOOKUP(E375,'liquidaciones '!$B$2:$C$1048576,2,0),"NO")</f>
        <v>NO</v>
      </c>
      <c r="AO375" s="983" t="str">
        <f>IFERROR(VLOOKUP(E375,'liquidaciones '!$B$2:$I$1048576,8,0),"")</f>
        <v>MANUEL ROJAS</v>
      </c>
      <c r="AP375" s="342"/>
      <c r="AQ375" s="177" t="str">
        <f t="shared" ca="1" si="76"/>
        <v>SI</v>
      </c>
      <c r="AR375" s="177" t="s">
        <v>981</v>
      </c>
      <c r="AS375" s="438"/>
      <c r="AT375" s="1015"/>
    </row>
    <row r="376" spans="2:46" ht="33.75" x14ac:dyDescent="0.25">
      <c r="B376" s="725">
        <v>370</v>
      </c>
      <c r="C376" s="442">
        <v>365</v>
      </c>
      <c r="D376" s="442" t="str">
        <f t="shared" si="66"/>
        <v>2015365</v>
      </c>
      <c r="E376" s="895" t="s">
        <v>2380</v>
      </c>
      <c r="F376" s="283" t="s">
        <v>2367</v>
      </c>
      <c r="G376" s="309">
        <v>79634149</v>
      </c>
      <c r="H376" s="283" t="s">
        <v>2379</v>
      </c>
      <c r="I376" s="840">
        <v>295840339</v>
      </c>
      <c r="J376" s="707" t="s">
        <v>2368</v>
      </c>
      <c r="K376" s="298">
        <v>2015</v>
      </c>
      <c r="L376" s="551">
        <v>42349</v>
      </c>
      <c r="M376" s="299">
        <v>42349</v>
      </c>
      <c r="N376" s="299">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12" t="s">
        <v>2369</v>
      </c>
      <c r="Y376" s="42">
        <f t="shared" si="69"/>
        <v>1</v>
      </c>
      <c r="Z376" s="42">
        <f t="shared" ca="1" si="70"/>
        <v>1</v>
      </c>
      <c r="AA376" s="43">
        <f t="shared" ca="1" si="71"/>
        <v>0</v>
      </c>
      <c r="AB376" s="202" t="str">
        <f t="shared" ca="1" si="72"/>
        <v/>
      </c>
      <c r="AC376" s="44" t="str">
        <f t="shared" si="74"/>
        <v>SI</v>
      </c>
      <c r="AD376" s="765" t="e">
        <f>VLOOKUP(C376,[2]Hoja4!$A$2:$E$116,5,0)</f>
        <v>#N/A</v>
      </c>
      <c r="AE376" s="173" t="s">
        <v>1258</v>
      </c>
      <c r="AF376" s="284" t="s">
        <v>2370</v>
      </c>
      <c r="AG376" s="173" t="s">
        <v>1440</v>
      </c>
      <c r="AH376" s="284" t="s">
        <v>560</v>
      </c>
      <c r="AI376" s="308" t="s">
        <v>1510</v>
      </c>
      <c r="AJ376" s="308" t="s">
        <v>1870</v>
      </c>
      <c r="AK376" s="181" t="str">
        <f t="shared" ca="1" si="73"/>
        <v>TERMINO</v>
      </c>
      <c r="AL376" s="313" t="s">
        <v>582</v>
      </c>
      <c r="AM376" s="176"/>
      <c r="AN376" s="875" t="str">
        <f>IFERROR(VLOOKUP(E376,'liquidaciones '!$B$2:$C$1048576,2,0),"NO")</f>
        <v>EN TRÁMITE</v>
      </c>
      <c r="AO376" s="983">
        <f>IFERROR(VLOOKUP(E376,'liquidaciones '!$B$2:$I$1048576,8,0),"")</f>
        <v>0</v>
      </c>
      <c r="AP376" s="342"/>
      <c r="AQ376" s="177" t="str">
        <f t="shared" ca="1" si="76"/>
        <v>SI</v>
      </c>
      <c r="AR376" s="177" t="s">
        <v>1995</v>
      </c>
      <c r="AS376" s="438"/>
      <c r="AT376" s="1015"/>
    </row>
    <row r="377" spans="2:46" ht="33.75" x14ac:dyDescent="0.25">
      <c r="B377" s="725">
        <v>371</v>
      </c>
      <c r="C377" s="442">
        <v>365</v>
      </c>
      <c r="D377" s="442" t="str">
        <f t="shared" si="66"/>
        <v>2015365</v>
      </c>
      <c r="E377" s="895" t="s">
        <v>2378</v>
      </c>
      <c r="F377" s="283" t="s">
        <v>2367</v>
      </c>
      <c r="G377" s="895">
        <v>79634149</v>
      </c>
      <c r="H377" s="283" t="s">
        <v>2379</v>
      </c>
      <c r="I377" s="840">
        <v>188315358.83000001</v>
      </c>
      <c r="J377" s="707" t="s">
        <v>2368</v>
      </c>
      <c r="K377" s="298">
        <v>2015</v>
      </c>
      <c r="L377" s="551">
        <v>42349</v>
      </c>
      <c r="M377" s="299">
        <v>42349</v>
      </c>
      <c r="N377" s="299">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12" t="s">
        <v>2369</v>
      </c>
      <c r="Y377" s="42">
        <f t="shared" si="69"/>
        <v>1.000000000902741</v>
      </c>
      <c r="Z377" s="42">
        <f t="shared" ca="1" si="70"/>
        <v>1</v>
      </c>
      <c r="AA377" s="43">
        <f t="shared" ca="1" si="71"/>
        <v>-9.0274099306952849E-10</v>
      </c>
      <c r="AB377" s="202" t="str">
        <f t="shared" ca="1" si="72"/>
        <v/>
      </c>
      <c r="AC377" s="44" t="str">
        <f t="shared" si="74"/>
        <v>SI</v>
      </c>
      <c r="AD377" s="765" t="e">
        <f>VLOOKUP(C377,[2]Hoja4!$A$2:$E$116,5,0)</f>
        <v>#N/A</v>
      </c>
      <c r="AE377" s="173" t="s">
        <v>1258</v>
      </c>
      <c r="AF377" s="284" t="s">
        <v>2370</v>
      </c>
      <c r="AG377" s="173" t="s">
        <v>1440</v>
      </c>
      <c r="AH377" s="284" t="s">
        <v>560</v>
      </c>
      <c r="AI377" s="308" t="s">
        <v>1510</v>
      </c>
      <c r="AJ377" s="308" t="s">
        <v>1870</v>
      </c>
      <c r="AK377" s="181" t="str">
        <f t="shared" ca="1" si="73"/>
        <v>TERMINO</v>
      </c>
      <c r="AL377" s="313" t="s">
        <v>582</v>
      </c>
      <c r="AM377" s="176"/>
      <c r="AN377" s="875" t="str">
        <f>IFERROR(VLOOKUP(E377,'liquidaciones '!$B$2:$C$1048576,2,0),"NO")</f>
        <v>DEVUELTO</v>
      </c>
      <c r="AO377" s="983" t="str">
        <f>IFERROR(VLOOKUP(E377,'liquidaciones '!$B$2:$I$1048576,8,0),"")</f>
        <v>JULIETH ANGARITA</v>
      </c>
      <c r="AP377" s="342"/>
      <c r="AQ377" s="177" t="str">
        <f t="shared" ca="1" si="76"/>
        <v>SI</v>
      </c>
      <c r="AR377" s="177" t="s">
        <v>1995</v>
      </c>
      <c r="AS377" s="438"/>
      <c r="AT377" s="1015"/>
    </row>
    <row r="378" spans="2:46" ht="56.25" x14ac:dyDescent="0.25">
      <c r="B378" s="725">
        <v>372</v>
      </c>
      <c r="C378" s="442">
        <v>62</v>
      </c>
      <c r="D378" s="442" t="str">
        <f t="shared" si="66"/>
        <v>201562</v>
      </c>
      <c r="E378" s="895" t="s">
        <v>2382</v>
      </c>
      <c r="F378" s="283" t="s">
        <v>2383</v>
      </c>
      <c r="G378" s="895">
        <v>830025104</v>
      </c>
      <c r="H378" s="283" t="s">
        <v>2384</v>
      </c>
      <c r="I378" s="210">
        <v>64250000</v>
      </c>
      <c r="J378" s="707" t="s">
        <v>2385</v>
      </c>
      <c r="K378" s="298">
        <v>2015</v>
      </c>
      <c r="L378" s="551">
        <v>42359</v>
      </c>
      <c r="M378" s="299">
        <v>42384</v>
      </c>
      <c r="N378" s="299">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12" t="s">
        <v>2386</v>
      </c>
      <c r="Y378" s="42">
        <f t="shared" si="69"/>
        <v>1</v>
      </c>
      <c r="Z378" s="42">
        <f t="shared" ca="1" si="70"/>
        <v>1</v>
      </c>
      <c r="AA378" s="43">
        <f t="shared" ca="1" si="71"/>
        <v>0</v>
      </c>
      <c r="AB378" s="202" t="str">
        <f t="shared" ca="1" si="72"/>
        <v/>
      </c>
      <c r="AC378" s="44" t="str">
        <f t="shared" si="74"/>
        <v>SI</v>
      </c>
      <c r="AD378" s="765" t="str">
        <f>VLOOKUP(C378,[2]Hoja4!$A$2:$E$116,5,0)</f>
        <v>PRESTACION DE SERVICIOS</v>
      </c>
      <c r="AE378" s="173" t="s">
        <v>1258</v>
      </c>
      <c r="AF378" s="284" t="s">
        <v>1576</v>
      </c>
      <c r="AG378" s="173" t="s">
        <v>1440</v>
      </c>
      <c r="AH378" s="284" t="s">
        <v>560</v>
      </c>
      <c r="AI378" s="308" t="s">
        <v>1510</v>
      </c>
      <c r="AJ378" s="308" t="s">
        <v>1870</v>
      </c>
      <c r="AK378" s="181" t="str">
        <f t="shared" ca="1" si="73"/>
        <v>TERMINO</v>
      </c>
      <c r="AL378" s="313" t="s">
        <v>576</v>
      </c>
      <c r="AM378" s="176" t="s">
        <v>390</v>
      </c>
      <c r="AN378" s="875" t="str">
        <f>IFERROR(VLOOKUP(E378,'liquidaciones '!$B$2:$C$1048576,2,0),"NO")</f>
        <v>LIQUIDADO</v>
      </c>
      <c r="AO378" s="983" t="str">
        <f>IFERROR(VLOOKUP(E378,'liquidaciones '!$B$2:$I$1048576,8,0),"")</f>
        <v>JULIETH ANGARITA</v>
      </c>
      <c r="AP378" s="342"/>
      <c r="AQ378" s="177" t="str">
        <f t="shared" ca="1" si="76"/>
        <v>SI</v>
      </c>
      <c r="AR378" s="177" t="s">
        <v>1995</v>
      </c>
      <c r="AS378" s="438"/>
      <c r="AT378" s="1015"/>
    </row>
    <row r="379" spans="2:46" ht="43.5" customHeight="1" x14ac:dyDescent="0.25">
      <c r="B379" s="725">
        <v>373</v>
      </c>
      <c r="C379" s="442"/>
      <c r="D379" s="442" t="str">
        <f t="shared" si="66"/>
        <v>2015</v>
      </c>
      <c r="E379" s="895" t="s">
        <v>2387</v>
      </c>
      <c r="F379" s="283" t="s">
        <v>2388</v>
      </c>
      <c r="G379" s="895" t="s">
        <v>2389</v>
      </c>
      <c r="H379" s="893" t="s">
        <v>2390</v>
      </c>
      <c r="I379" s="210">
        <v>64000000</v>
      </c>
      <c r="J379" s="707" t="s">
        <v>2391</v>
      </c>
      <c r="K379" s="298">
        <v>2015</v>
      </c>
      <c r="L379" s="551">
        <v>42362</v>
      </c>
      <c r="M379" s="299">
        <v>42384</v>
      </c>
      <c r="N379" s="299">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6" t="s">
        <v>2392</v>
      </c>
      <c r="Y379" s="42">
        <f t="shared" si="69"/>
        <v>1</v>
      </c>
      <c r="Z379" s="42">
        <f t="shared" ca="1" si="70"/>
        <v>1</v>
      </c>
      <c r="AA379" s="43">
        <f t="shared" ca="1" si="71"/>
        <v>0</v>
      </c>
      <c r="AB379" s="202" t="str">
        <f t="shared" ca="1" si="72"/>
        <v/>
      </c>
      <c r="AC379" s="44" t="str">
        <f t="shared" si="74"/>
        <v>SI</v>
      </c>
      <c r="AD379" s="765" t="e">
        <f>VLOOKUP(C379,[2]Hoja4!$A$2:$E$116,5,0)</f>
        <v>#N/A</v>
      </c>
      <c r="AE379" s="173" t="s">
        <v>1258</v>
      </c>
      <c r="AF379" s="284" t="s">
        <v>1468</v>
      </c>
      <c r="AG379" s="173" t="s">
        <v>1440</v>
      </c>
      <c r="AH379" s="284" t="s">
        <v>560</v>
      </c>
      <c r="AI379" s="308" t="s">
        <v>1510</v>
      </c>
      <c r="AJ379" s="308" t="s">
        <v>1870</v>
      </c>
      <c r="AK379" s="181" t="str">
        <f t="shared" ca="1" si="73"/>
        <v>TERMINO</v>
      </c>
      <c r="AL379" s="313" t="s">
        <v>576</v>
      </c>
      <c r="AM379" s="176" t="s">
        <v>390</v>
      </c>
      <c r="AN379" s="875" t="str">
        <f>IFERROR(VLOOKUP(E379,'liquidaciones '!$B$2:$C$1048576,2,0),"NO")</f>
        <v>LIQUIDADO</v>
      </c>
      <c r="AO379" s="983" t="str">
        <f>IFERROR(VLOOKUP(E379,'liquidaciones '!$B$2:$I$1048576,8,0),"")</f>
        <v>DORA PINILLA</v>
      </c>
      <c r="AP379" s="342"/>
      <c r="AQ379" s="177" t="str">
        <f t="shared" ca="1" si="76"/>
        <v>SI</v>
      </c>
      <c r="AR379" s="177" t="s">
        <v>2613</v>
      </c>
      <c r="AS379" s="438"/>
      <c r="AT379" s="1015"/>
    </row>
    <row r="380" spans="2:46" s="851" customFormat="1" ht="33.75" x14ac:dyDescent="0.25">
      <c r="B380" s="852">
        <v>375</v>
      </c>
      <c r="C380" s="850">
        <v>135</v>
      </c>
      <c r="D380" s="850" t="str">
        <f>+K380&amp;C380</f>
        <v>2016135</v>
      </c>
      <c r="E380" s="853" t="s">
        <v>2419</v>
      </c>
      <c r="F380" s="854" t="s">
        <v>86</v>
      </c>
      <c r="G380" s="933">
        <v>860001022</v>
      </c>
      <c r="H380" s="944" t="s">
        <v>2420</v>
      </c>
      <c r="I380" s="939">
        <v>1226994</v>
      </c>
      <c r="J380" s="855" t="s">
        <v>2419</v>
      </c>
      <c r="K380" s="856">
        <v>2016</v>
      </c>
      <c r="L380" s="857">
        <v>42429</v>
      </c>
      <c r="M380" s="858">
        <v>42451</v>
      </c>
      <c r="N380" s="858">
        <v>42816</v>
      </c>
      <c r="O380" s="859">
        <f>COUNTA(Modificaciones!I380,Modificaciones!K380,Modificaciones!M380,Modificaciones!O380)</f>
        <v>0</v>
      </c>
      <c r="P380" s="860">
        <f>VLOOKUP(E380,Modificaciones!$B$7:$Q$400,16,0)</f>
        <v>0</v>
      </c>
      <c r="Q380" s="861">
        <f>COUNTA(Modificaciones!S380,Modificaciones!U380,Modificaciones!W380,Modificaciones!Y380)</f>
        <v>0</v>
      </c>
      <c r="R380" s="862" t="str">
        <f>IF(Modificaciones!Z380=0,"",VLOOKUP(E380,Modificaciones!$B$7:$AA$400,25,0))</f>
        <v/>
      </c>
      <c r="S380" s="863" t="str">
        <f>IF(Modificaciones!AA380=0,"",VLOOKUP(E380,Modificaciones!$B$7:$AA$400,26,0))</f>
        <v/>
      </c>
      <c r="T380" s="864">
        <f t="shared" si="65"/>
        <v>42816</v>
      </c>
      <c r="U380" s="865">
        <f t="shared" si="67"/>
        <v>1226994</v>
      </c>
      <c r="V380" s="860">
        <f>VLOOKUP(E380,Modificaciones!$B$7:$AU$400,46,0)</f>
        <v>1226994</v>
      </c>
      <c r="W380" s="866">
        <f t="shared" si="77"/>
        <v>0</v>
      </c>
      <c r="X380" s="867" t="s">
        <v>1108</v>
      </c>
      <c r="Y380" s="868">
        <f t="shared" si="69"/>
        <v>1</v>
      </c>
      <c r="Z380" s="868">
        <f t="shared" ca="1" si="70"/>
        <v>1</v>
      </c>
      <c r="AA380" s="869">
        <f t="shared" ca="1" si="71"/>
        <v>0</v>
      </c>
      <c r="AB380" s="870" t="str">
        <f t="shared" ca="1" si="72"/>
        <v/>
      </c>
      <c r="AC380" s="871" t="str">
        <f t="shared" si="74"/>
        <v>SI</v>
      </c>
      <c r="AD380" s="872" t="str">
        <f>VLOOKUP(C380,[2]Hoja4!$A$2:$E$116,5,0)</f>
        <v>PRESTACION DE SERVICIOS1</v>
      </c>
      <c r="AE380" s="873" t="s">
        <v>1257</v>
      </c>
      <c r="AF380" s="854" t="s">
        <v>1126</v>
      </c>
      <c r="AG380" s="873"/>
      <c r="AH380" s="854" t="s">
        <v>564</v>
      </c>
      <c r="AI380" s="853"/>
      <c r="AJ380" s="853" t="s">
        <v>600</v>
      </c>
      <c r="AK380" s="181" t="str">
        <f t="shared" ca="1" si="73"/>
        <v>TERMINO</v>
      </c>
      <c r="AL380" s="874" t="s">
        <v>582</v>
      </c>
      <c r="AM380" s="875" t="s">
        <v>390</v>
      </c>
      <c r="AN380" s="875" t="str">
        <f>IFERROR(VLOOKUP(E380,'liquidaciones '!$B$2:$C$1048576,2,0),"NO")</f>
        <v>LIQUIDADO</v>
      </c>
      <c r="AO380" s="983" t="str">
        <f>IFERROR(VLOOKUP(E380,'liquidaciones '!$B$2:$I$1048576,8,0),"")</f>
        <v>MANUEL ROJAS</v>
      </c>
      <c r="AP380" s="876"/>
      <c r="AQ380" s="877" t="str">
        <f t="shared" ca="1" si="76"/>
        <v>SI</v>
      </c>
      <c r="AR380" s="177" t="s">
        <v>2609</v>
      </c>
      <c r="AS380" s="438"/>
      <c r="AT380" s="1017"/>
    </row>
    <row r="381" spans="2:46" ht="29.25" customHeight="1" x14ac:dyDescent="0.25">
      <c r="B381" s="725">
        <v>376</v>
      </c>
      <c r="C381" s="442"/>
      <c r="D381" s="442" t="str">
        <f t="shared" ref="D381:D406" si="78">K381&amp;C381</f>
        <v>2016</v>
      </c>
      <c r="E381" s="895" t="s">
        <v>2421</v>
      </c>
      <c r="F381" s="283" t="s">
        <v>2422</v>
      </c>
      <c r="G381" s="934">
        <v>900459737</v>
      </c>
      <c r="H381" s="945" t="s">
        <v>402</v>
      </c>
      <c r="I381" s="940">
        <v>287600000</v>
      </c>
      <c r="J381" s="732"/>
      <c r="K381" s="298">
        <v>2016</v>
      </c>
      <c r="L381" s="551"/>
      <c r="M381" s="299">
        <v>42375</v>
      </c>
      <c r="N381" s="299">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12"/>
      <c r="Y381" s="42">
        <f t="shared" si="69"/>
        <v>0.99392303683955407</v>
      </c>
      <c r="Z381" s="42">
        <f t="shared" ca="1" si="70"/>
        <v>1</v>
      </c>
      <c r="AA381" s="43">
        <f t="shared" ca="1" si="71"/>
        <v>6.0769631604459251E-3</v>
      </c>
      <c r="AB381" s="202" t="str">
        <f t="shared" ca="1" si="72"/>
        <v/>
      </c>
      <c r="AC381" s="44" t="str">
        <f t="shared" si="74"/>
        <v>NO</v>
      </c>
      <c r="AD381" s="765" t="s">
        <v>1716</v>
      </c>
      <c r="AE381" s="173" t="s">
        <v>1257</v>
      </c>
      <c r="AF381" s="284" t="s">
        <v>1140</v>
      </c>
      <c r="AG381" s="173"/>
      <c r="AH381" s="284" t="s">
        <v>560</v>
      </c>
      <c r="AI381" s="308" t="s">
        <v>1320</v>
      </c>
      <c r="AJ381" s="308" t="s">
        <v>600</v>
      </c>
      <c r="AK381" s="181" t="str">
        <f t="shared" ca="1" si="73"/>
        <v>TERMINO</v>
      </c>
      <c r="AL381" s="313"/>
      <c r="AM381" s="176"/>
      <c r="AN381" s="875" t="str">
        <f>IFERROR(VLOOKUP(E381,'liquidaciones '!$B$2:$C$1048576,2,0),"NO")</f>
        <v>NO</v>
      </c>
      <c r="AO381" s="983" t="str">
        <f>IFERROR(VLOOKUP(E381,'liquidaciones '!$B$2:$I$1048576,8,0),"")</f>
        <v>MANUEL ROJAS</v>
      </c>
      <c r="AP381" s="342"/>
      <c r="AQ381" s="177" t="str">
        <f t="shared" ca="1" si="76"/>
        <v>SI</v>
      </c>
      <c r="AR381" s="177" t="s">
        <v>1511</v>
      </c>
      <c r="AS381" s="438"/>
      <c r="AT381" s="1015"/>
    </row>
    <row r="382" spans="2:46" ht="78.75" x14ac:dyDescent="0.25">
      <c r="B382" s="725">
        <v>377</v>
      </c>
      <c r="C382" s="442"/>
      <c r="D382" s="442" t="str">
        <f t="shared" si="78"/>
        <v>2016</v>
      </c>
      <c r="E382" s="895" t="s">
        <v>2423</v>
      </c>
      <c r="F382" s="283" t="s">
        <v>2424</v>
      </c>
      <c r="G382" s="934"/>
      <c r="H382" s="945" t="s">
        <v>3025</v>
      </c>
      <c r="I382" s="940">
        <v>601948308</v>
      </c>
      <c r="J382" s="879" t="s">
        <v>2423</v>
      </c>
      <c r="K382" s="298">
        <v>2016</v>
      </c>
      <c r="L382" s="551">
        <v>42447</v>
      </c>
      <c r="M382" s="299">
        <v>42447</v>
      </c>
      <c r="N382" s="299">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12"/>
      <c r="Y382" s="42">
        <f t="shared" si="69"/>
        <v>1</v>
      </c>
      <c r="Z382" s="42">
        <f t="shared" ca="1" si="70"/>
        <v>1</v>
      </c>
      <c r="AA382" s="43">
        <f t="shared" ca="1" si="71"/>
        <v>0</v>
      </c>
      <c r="AB382" s="202" t="str">
        <f t="shared" ca="1" si="72"/>
        <v/>
      </c>
      <c r="AC382" s="44" t="str">
        <f t="shared" si="74"/>
        <v>SI</v>
      </c>
      <c r="AD382" s="765" t="e">
        <f>VLOOKUP(C382,[2]Hoja4!$A$2:$E$116,5,0)</f>
        <v>#N/A</v>
      </c>
      <c r="AE382" s="173"/>
      <c r="AF382" s="284"/>
      <c r="AG382" s="173"/>
      <c r="AH382" s="284"/>
      <c r="AI382" s="308"/>
      <c r="AJ382" s="308"/>
      <c r="AK382" s="181" t="str">
        <f t="shared" ca="1" si="73"/>
        <v>TERMINO</v>
      </c>
      <c r="AL382" s="313"/>
      <c r="AM382" s="176"/>
      <c r="AN382" s="875" t="str">
        <f>IFERROR(VLOOKUP(E382,'liquidaciones '!$B$2:$C$1048576,2,0),"NO")</f>
        <v>DEVUELTO</v>
      </c>
      <c r="AO382" s="983" t="str">
        <f>IFERROR(VLOOKUP(E382,'liquidaciones '!$B$2:$I$1048576,8,0),"")</f>
        <v>JULIETH ANGARITA</v>
      </c>
      <c r="AP382" s="342"/>
      <c r="AQ382" s="177" t="str">
        <f t="shared" ca="1" si="76"/>
        <v>SI</v>
      </c>
      <c r="AR382" s="177" t="s">
        <v>2609</v>
      </c>
      <c r="AS382" s="438"/>
      <c r="AT382" s="1015"/>
    </row>
    <row r="383" spans="2:46" ht="45" x14ac:dyDescent="0.25">
      <c r="B383" s="725">
        <v>378</v>
      </c>
      <c r="C383" s="442"/>
      <c r="D383" s="442" t="str">
        <f t="shared" si="78"/>
        <v>2016</v>
      </c>
      <c r="E383" s="895" t="s">
        <v>3564</v>
      </c>
      <c r="F383" s="283" t="s">
        <v>126</v>
      </c>
      <c r="G383" s="934">
        <v>900333228</v>
      </c>
      <c r="H383" s="945" t="s">
        <v>2425</v>
      </c>
      <c r="I383" s="940">
        <v>4640000</v>
      </c>
      <c r="J383" s="986" t="s">
        <v>2433</v>
      </c>
      <c r="K383" s="298">
        <v>2016</v>
      </c>
      <c r="L383" s="551">
        <v>42459</v>
      </c>
      <c r="M383" s="299">
        <v>42473</v>
      </c>
      <c r="N383" s="299">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12"/>
      <c r="Y383" s="42">
        <f t="shared" si="69"/>
        <v>1</v>
      </c>
      <c r="Z383" s="42">
        <f t="shared" ca="1" si="70"/>
        <v>1</v>
      </c>
      <c r="AA383" s="43">
        <f t="shared" ca="1" si="71"/>
        <v>0</v>
      </c>
      <c r="AB383" s="202" t="str">
        <f t="shared" ca="1" si="72"/>
        <v/>
      </c>
      <c r="AC383" s="44" t="str">
        <f t="shared" ref="AC383:AC400" si="79">IF(Y383&lt;=99.9%,"NO","SI")</f>
        <v>SI</v>
      </c>
      <c r="AD383" s="765" t="e">
        <f>VLOOKUP(C383,[2]Hoja4!$A$2:$E$116,5,0)</f>
        <v>#N/A</v>
      </c>
      <c r="AE383" s="173" t="s">
        <v>1257</v>
      </c>
      <c r="AF383" s="284" t="s">
        <v>1283</v>
      </c>
      <c r="AG383" s="173"/>
      <c r="AH383" s="284" t="s">
        <v>560</v>
      </c>
      <c r="AI383" s="308" t="s">
        <v>1381</v>
      </c>
      <c r="AJ383" s="308" t="s">
        <v>600</v>
      </c>
      <c r="AK383" s="181" t="str">
        <f t="shared" ca="1" si="73"/>
        <v>TERMINO</v>
      </c>
      <c r="AL383" s="313" t="s">
        <v>576</v>
      </c>
      <c r="AM383" s="176" t="s">
        <v>390</v>
      </c>
      <c r="AN383" s="875" t="str">
        <f>IFERROR(VLOOKUP(E383,'liquidaciones '!$B$2:$C$1048576,2,0),"NO")</f>
        <v>NO</v>
      </c>
      <c r="AO383" s="983" t="str">
        <f>IFERROR(VLOOKUP(E383,'liquidaciones '!$B$2:$I$1048576,8,0),"")</f>
        <v>JULIETH ANGARITA</v>
      </c>
      <c r="AP383" s="342"/>
      <c r="AQ383" s="177" t="str">
        <f t="shared" ca="1" si="76"/>
        <v>SI</v>
      </c>
      <c r="AR383" s="177" t="s">
        <v>1511</v>
      </c>
      <c r="AS383" s="438"/>
      <c r="AT383" s="1015"/>
    </row>
    <row r="384" spans="2:46" ht="22.5" x14ac:dyDescent="0.25">
      <c r="B384" s="725">
        <v>379</v>
      </c>
      <c r="C384" s="442"/>
      <c r="D384" s="442" t="str">
        <f t="shared" si="78"/>
        <v>2016</v>
      </c>
      <c r="E384" s="895" t="s">
        <v>2426</v>
      </c>
      <c r="F384" s="283" t="s">
        <v>2428</v>
      </c>
      <c r="G384" s="934">
        <v>800249557</v>
      </c>
      <c r="H384" s="945" t="s">
        <v>2427</v>
      </c>
      <c r="I384" s="940">
        <v>4200000</v>
      </c>
      <c r="J384" s="880" t="s">
        <v>2426</v>
      </c>
      <c r="K384" s="298">
        <v>2016</v>
      </c>
      <c r="L384" s="551">
        <v>42444</v>
      </c>
      <c r="M384" s="299">
        <v>42467</v>
      </c>
      <c r="N384" s="299">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12" t="s">
        <v>1108</v>
      </c>
      <c r="Y384" s="42">
        <f t="shared" si="69"/>
        <v>1</v>
      </c>
      <c r="Z384" s="42">
        <f t="shared" ca="1" si="70"/>
        <v>1</v>
      </c>
      <c r="AA384" s="43">
        <f t="shared" ca="1" si="71"/>
        <v>0</v>
      </c>
      <c r="AB384" s="202" t="str">
        <f t="shared" ca="1" si="72"/>
        <v/>
      </c>
      <c r="AC384" s="44" t="str">
        <f t="shared" si="79"/>
        <v>SI</v>
      </c>
      <c r="AD384" s="765" t="e">
        <f>VLOOKUP(C384,[2]Hoja4!$A$2:$E$116,5,0)</f>
        <v>#N/A</v>
      </c>
      <c r="AE384" s="173" t="s">
        <v>1257</v>
      </c>
      <c r="AF384" s="284" t="s">
        <v>1292</v>
      </c>
      <c r="AG384" s="173"/>
      <c r="AH384" s="284" t="s">
        <v>564</v>
      </c>
      <c r="AI384" s="308"/>
      <c r="AJ384" s="308" t="s">
        <v>600</v>
      </c>
      <c r="AK384" s="181" t="str">
        <f t="shared" ca="1" si="73"/>
        <v>TERMINO</v>
      </c>
      <c r="AL384" s="313" t="s">
        <v>582</v>
      </c>
      <c r="AM384" s="176" t="s">
        <v>390</v>
      </c>
      <c r="AN384" s="875" t="str">
        <f>IFERROR(VLOOKUP(E384,'liquidaciones '!$B$2:$C$1048576,2,0),"NO")</f>
        <v>LIQUIDADO</v>
      </c>
      <c r="AO384" s="983">
        <f>IFERROR(VLOOKUP(E384,'liquidaciones '!$B$2:$I$1048576,8,0),"")</f>
        <v>0</v>
      </c>
      <c r="AP384" s="342"/>
      <c r="AQ384" s="177" t="str">
        <f t="shared" ca="1" si="76"/>
        <v>SI</v>
      </c>
      <c r="AR384" s="177" t="s">
        <v>1511</v>
      </c>
      <c r="AS384" s="438"/>
      <c r="AT384" s="1015"/>
    </row>
    <row r="385" spans="2:46" ht="45" x14ac:dyDescent="0.25">
      <c r="B385" s="725">
        <v>380</v>
      </c>
      <c r="C385" s="442"/>
      <c r="D385" s="442" t="str">
        <f t="shared" si="78"/>
        <v>2016</v>
      </c>
      <c r="E385" s="895" t="s">
        <v>2429</v>
      </c>
      <c r="F385" s="283" t="s">
        <v>2430</v>
      </c>
      <c r="G385" s="934">
        <v>900583252</v>
      </c>
      <c r="H385" s="945" t="s">
        <v>3026</v>
      </c>
      <c r="I385" s="940">
        <v>92800000</v>
      </c>
      <c r="J385" s="880" t="s">
        <v>2429</v>
      </c>
      <c r="K385" s="298">
        <v>2016</v>
      </c>
      <c r="L385" s="551">
        <v>42445</v>
      </c>
      <c r="M385" s="299">
        <v>42461</v>
      </c>
      <c r="N385" s="299">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12" t="s">
        <v>1095</v>
      </c>
      <c r="Y385" s="42">
        <f t="shared" si="69"/>
        <v>0.9</v>
      </c>
      <c r="Z385" s="42">
        <f t="shared" ca="1" si="70"/>
        <v>1</v>
      </c>
      <c r="AA385" s="43">
        <f t="shared" ca="1" si="71"/>
        <v>9.9999999999999978E-2</v>
      </c>
      <c r="AB385" s="202" t="str">
        <f t="shared" ca="1" si="72"/>
        <v/>
      </c>
      <c r="AC385" s="44" t="str">
        <f t="shared" si="79"/>
        <v>NO</v>
      </c>
      <c r="AD385" s="765" t="e">
        <f>VLOOKUP(C385,[2]Hoja4!$A$2:$E$116,5,0)</f>
        <v>#N/A</v>
      </c>
      <c r="AE385" s="173" t="s">
        <v>1257</v>
      </c>
      <c r="AF385" s="284" t="s">
        <v>2449</v>
      </c>
      <c r="AG385" s="173"/>
      <c r="AH385" s="284" t="s">
        <v>561</v>
      </c>
      <c r="AI385" s="308"/>
      <c r="AJ385" s="308" t="s">
        <v>600</v>
      </c>
      <c r="AK385" s="181" t="str">
        <f t="shared" ca="1" si="73"/>
        <v>TERMINO</v>
      </c>
      <c r="AL385" s="313" t="s">
        <v>582</v>
      </c>
      <c r="AM385" s="176" t="s">
        <v>391</v>
      </c>
      <c r="AN385" s="875" t="str">
        <f>IFERROR(VLOOKUP(E385,'liquidaciones '!$B$2:$C$1048576,2,0),"NO")</f>
        <v>LIQUIDADO</v>
      </c>
      <c r="AO385" s="983" t="str">
        <f>IFERROR(VLOOKUP(E385,'liquidaciones '!$B$2:$I$1048576,8,0),"")</f>
        <v>MANUEL ROJAS</v>
      </c>
      <c r="AP385" s="342"/>
      <c r="AQ385" s="177" t="str">
        <f t="shared" ca="1" si="76"/>
        <v>SI</v>
      </c>
      <c r="AR385" s="438" t="s">
        <v>2995</v>
      </c>
      <c r="AS385" s="438"/>
      <c r="AT385" s="1015"/>
    </row>
    <row r="386" spans="2:46" ht="33.75" x14ac:dyDescent="0.25">
      <c r="C386" s="442">
        <v>153</v>
      </c>
      <c r="D386" s="442" t="str">
        <f t="shared" si="78"/>
        <v>2016153</v>
      </c>
      <c r="E386" s="895" t="s">
        <v>2431</v>
      </c>
      <c r="F386" s="283" t="s">
        <v>1033</v>
      </c>
      <c r="G386" s="934">
        <v>51931422</v>
      </c>
      <c r="H386" s="945" t="s">
        <v>3027</v>
      </c>
      <c r="I386" s="940">
        <v>61800000</v>
      </c>
      <c r="J386" s="880" t="s">
        <v>2431</v>
      </c>
      <c r="K386" s="298">
        <v>2016</v>
      </c>
      <c r="L386" s="551">
        <v>42446</v>
      </c>
      <c r="M386" s="299">
        <v>42451</v>
      </c>
      <c r="N386" s="299">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12" t="s">
        <v>1095</v>
      </c>
      <c r="Y386" s="42">
        <f t="shared" si="69"/>
        <v>1</v>
      </c>
      <c r="Z386" s="42">
        <f t="shared" ca="1" si="70"/>
        <v>1</v>
      </c>
      <c r="AA386" s="43">
        <f t="shared" ca="1" si="71"/>
        <v>0</v>
      </c>
      <c r="AB386" s="202" t="str">
        <f t="shared" ca="1" si="72"/>
        <v/>
      </c>
      <c r="AC386" s="44" t="str">
        <f t="shared" si="79"/>
        <v>SI</v>
      </c>
      <c r="AD386" s="765" t="s">
        <v>1714</v>
      </c>
      <c r="AE386" s="173" t="s">
        <v>1257</v>
      </c>
      <c r="AF386" s="284" t="s">
        <v>2176</v>
      </c>
      <c r="AG386" s="173"/>
      <c r="AH386" s="284" t="s">
        <v>559</v>
      </c>
      <c r="AI386" s="308"/>
      <c r="AJ386" s="308" t="s">
        <v>600</v>
      </c>
      <c r="AK386" s="181" t="str">
        <f t="shared" ca="1" si="73"/>
        <v>TERMINO</v>
      </c>
      <c r="AL386" s="313" t="s">
        <v>582</v>
      </c>
      <c r="AM386" s="176" t="s">
        <v>391</v>
      </c>
      <c r="AN386" s="875" t="str">
        <f>IFERROR(VLOOKUP(E386,'liquidaciones '!$B$2:$C$1048576,2,0),"NO")</f>
        <v>LIQUIDADO</v>
      </c>
      <c r="AO386" s="983" t="str">
        <f>IFERROR(VLOOKUP(E386,'liquidaciones '!$B$2:$I$1048576,8,0),"")</f>
        <v>ANDREA CASAS</v>
      </c>
      <c r="AP386" s="342"/>
      <c r="AQ386" s="177" t="str">
        <f t="shared" ca="1" si="76"/>
        <v>SI</v>
      </c>
      <c r="AR386" s="177" t="s">
        <v>981</v>
      </c>
      <c r="AS386" s="438"/>
      <c r="AT386" s="1015"/>
    </row>
    <row r="387" spans="2:46" ht="33.75" x14ac:dyDescent="0.25">
      <c r="C387" s="442">
        <v>98</v>
      </c>
      <c r="D387" s="442" t="str">
        <f t="shared" si="78"/>
        <v>201698</v>
      </c>
      <c r="E387" s="895" t="s">
        <v>2432</v>
      </c>
      <c r="F387" s="283" t="s">
        <v>1537</v>
      </c>
      <c r="G387" s="934">
        <v>80100229</v>
      </c>
      <c r="H387" s="945" t="s">
        <v>3028</v>
      </c>
      <c r="I387" s="940">
        <v>56650000</v>
      </c>
      <c r="J387" s="986" t="s">
        <v>2432</v>
      </c>
      <c r="K387" s="298">
        <v>2016</v>
      </c>
      <c r="L387" s="551">
        <v>42466</v>
      </c>
      <c r="M387" s="299">
        <v>42466</v>
      </c>
      <c r="N387" s="299">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12" t="s">
        <v>1533</v>
      </c>
      <c r="Y387" s="42">
        <f t="shared" si="69"/>
        <v>1</v>
      </c>
      <c r="Z387" s="42">
        <f t="shared" ca="1" si="70"/>
        <v>1</v>
      </c>
      <c r="AA387" s="43">
        <f t="shared" ca="1" si="71"/>
        <v>0</v>
      </c>
      <c r="AB387" s="202" t="str">
        <f t="shared" ca="1" si="72"/>
        <v/>
      </c>
      <c r="AC387" s="44" t="str">
        <f t="shared" si="79"/>
        <v>SI</v>
      </c>
      <c r="AD387" s="765" t="s">
        <v>1714</v>
      </c>
      <c r="AE387" s="173" t="s">
        <v>1258</v>
      </c>
      <c r="AF387" s="284" t="s">
        <v>2195</v>
      </c>
      <c r="AG387" s="173"/>
      <c r="AH387" s="284" t="s">
        <v>559</v>
      </c>
      <c r="AI387" s="308" t="s">
        <v>2194</v>
      </c>
      <c r="AJ387" s="308" t="s">
        <v>600</v>
      </c>
      <c r="AK387" s="181" t="str">
        <f t="shared" ca="1" si="73"/>
        <v>TERMINO</v>
      </c>
      <c r="AL387" s="313" t="s">
        <v>582</v>
      </c>
      <c r="AM387" s="176" t="s">
        <v>391</v>
      </c>
      <c r="AN387" s="875" t="str">
        <f>IFERROR(VLOOKUP(E387,'liquidaciones '!$B$2:$C$1048576,2,0),"NO")</f>
        <v>LIQUIDADO</v>
      </c>
      <c r="AO387" s="983" t="str">
        <f>IFERROR(VLOOKUP(E387,'liquidaciones '!$B$2:$I$1048576,8,0),"")</f>
        <v>JAVIER QUINTERO</v>
      </c>
      <c r="AP387" s="342"/>
      <c r="AQ387" s="177" t="str">
        <f t="shared" ca="1" si="76"/>
        <v>SI</v>
      </c>
      <c r="AR387" s="177" t="s">
        <v>2609</v>
      </c>
      <c r="AS387" s="438"/>
      <c r="AT387" s="1015"/>
    </row>
    <row r="388" spans="2:46" ht="33.75" x14ac:dyDescent="0.25">
      <c r="C388" s="442">
        <v>119</v>
      </c>
      <c r="D388" s="442" t="str">
        <f t="shared" si="78"/>
        <v>2016119</v>
      </c>
      <c r="E388" s="895" t="s">
        <v>2434</v>
      </c>
      <c r="F388" s="283" t="s">
        <v>2435</v>
      </c>
      <c r="G388" s="934">
        <v>35457601</v>
      </c>
      <c r="H388" s="945" t="s">
        <v>1581</v>
      </c>
      <c r="I388" s="940">
        <v>23872500</v>
      </c>
      <c r="J388" s="718" t="s">
        <v>2434</v>
      </c>
      <c r="K388" s="298">
        <v>2016</v>
      </c>
      <c r="L388" s="551">
        <v>42473</v>
      </c>
      <c r="M388" s="299">
        <v>42479</v>
      </c>
      <c r="N388" s="299">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12" t="s">
        <v>1095</v>
      </c>
      <c r="Y388" s="42">
        <f t="shared" si="69"/>
        <v>1</v>
      </c>
      <c r="Z388" s="42">
        <f t="shared" ca="1" si="70"/>
        <v>1</v>
      </c>
      <c r="AA388" s="43">
        <f t="shared" ca="1" si="71"/>
        <v>0</v>
      </c>
      <c r="AB388" s="202" t="str">
        <f t="shared" ca="1" si="72"/>
        <v/>
      </c>
      <c r="AC388" s="44" t="str">
        <f t="shared" si="79"/>
        <v>SI</v>
      </c>
      <c r="AD388" s="765" t="s">
        <v>1714</v>
      </c>
      <c r="AE388" s="173" t="s">
        <v>1257</v>
      </c>
      <c r="AF388" s="284" t="s">
        <v>2182</v>
      </c>
      <c r="AG388" s="173" t="s">
        <v>1431</v>
      </c>
      <c r="AH388" s="284" t="s">
        <v>564</v>
      </c>
      <c r="AI388" s="308"/>
      <c r="AJ388" s="308" t="s">
        <v>600</v>
      </c>
      <c r="AK388" s="181" t="str">
        <f t="shared" ca="1" si="73"/>
        <v>TERMINO</v>
      </c>
      <c r="AL388" s="181" t="s">
        <v>582</v>
      </c>
      <c r="AM388" s="176" t="s">
        <v>391</v>
      </c>
      <c r="AN388" s="875" t="str">
        <f>IFERROR(VLOOKUP(E388,'liquidaciones '!$B$2:$C$1048576,2,0),"NO")</f>
        <v>LIQUIDADO</v>
      </c>
      <c r="AO388" s="983" t="str">
        <f>IFERROR(VLOOKUP(E388,'liquidaciones '!$B$2:$I$1048576,8,0),"")</f>
        <v>JAVIER QUINTERO</v>
      </c>
      <c r="AP388" s="342"/>
      <c r="AQ388" s="177" t="str">
        <f t="shared" ca="1" si="76"/>
        <v>SI</v>
      </c>
      <c r="AR388" s="177" t="s">
        <v>2609</v>
      </c>
      <c r="AS388" s="438"/>
      <c r="AT388" s="1015"/>
    </row>
    <row r="389" spans="2:46" ht="45" x14ac:dyDescent="0.25">
      <c r="C389" s="442">
        <v>117</v>
      </c>
      <c r="D389" s="442" t="str">
        <f t="shared" si="78"/>
        <v>2016117</v>
      </c>
      <c r="E389" s="895" t="s">
        <v>2436</v>
      </c>
      <c r="F389" s="283" t="s">
        <v>1035</v>
      </c>
      <c r="G389" s="934">
        <v>4098836</v>
      </c>
      <c r="H389" s="945" t="s">
        <v>3029</v>
      </c>
      <c r="I389" s="940">
        <v>35595000</v>
      </c>
      <c r="J389" s="718" t="s">
        <v>2436</v>
      </c>
      <c r="K389" s="298">
        <v>2016</v>
      </c>
      <c r="L389" s="551">
        <v>42479</v>
      </c>
      <c r="M389" s="299">
        <v>42485</v>
      </c>
      <c r="N389" s="299">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12" t="s">
        <v>1095</v>
      </c>
      <c r="Y389" s="42">
        <f t="shared" si="69"/>
        <v>1</v>
      </c>
      <c r="Z389" s="42">
        <f t="shared" ca="1" si="70"/>
        <v>1</v>
      </c>
      <c r="AA389" s="43">
        <f t="shared" ca="1" si="71"/>
        <v>0</v>
      </c>
      <c r="AB389" s="202" t="str">
        <f t="shared" ca="1" si="72"/>
        <v/>
      </c>
      <c r="AC389" s="44" t="str">
        <f t="shared" si="79"/>
        <v>SI</v>
      </c>
      <c r="AD389" s="765" t="s">
        <v>2437</v>
      </c>
      <c r="AE389" s="173" t="s">
        <v>1257</v>
      </c>
      <c r="AF389" s="173" t="s">
        <v>2175</v>
      </c>
      <c r="AG389" s="173" t="s">
        <v>1178</v>
      </c>
      <c r="AH389" s="284" t="s">
        <v>559</v>
      </c>
      <c r="AI389" s="308"/>
      <c r="AJ389" s="308" t="s">
        <v>600</v>
      </c>
      <c r="AK389" s="181" t="str">
        <f t="shared" ca="1" si="73"/>
        <v>TERMINO</v>
      </c>
      <c r="AL389" s="313" t="s">
        <v>582</v>
      </c>
      <c r="AM389" s="176" t="s">
        <v>391</v>
      </c>
      <c r="AN389" s="875" t="str">
        <f>IFERROR(VLOOKUP(E389,'liquidaciones '!$B$2:$C$1048576,2,0),"NO")</f>
        <v>LIQUIDADO</v>
      </c>
      <c r="AO389" s="983" t="str">
        <f>IFERROR(VLOOKUP(E389,'liquidaciones '!$B$2:$I$1048576,8,0),"")</f>
        <v>GIOVANNI SUAREZ</v>
      </c>
      <c r="AP389" s="342"/>
      <c r="AQ389" s="177" t="str">
        <f t="shared" ca="1" si="76"/>
        <v>SI</v>
      </c>
      <c r="AR389" s="177" t="s">
        <v>981</v>
      </c>
      <c r="AS389" s="438"/>
      <c r="AT389" s="1015"/>
    </row>
    <row r="390" spans="2:46" ht="45" x14ac:dyDescent="0.25">
      <c r="C390" s="442"/>
      <c r="D390" s="442" t="str">
        <f t="shared" si="78"/>
        <v>2016</v>
      </c>
      <c r="E390" s="895" t="s">
        <v>2438</v>
      </c>
      <c r="F390" s="283" t="s">
        <v>1339</v>
      </c>
      <c r="G390" s="934" t="s">
        <v>2439</v>
      </c>
      <c r="H390" s="945" t="s">
        <v>3030</v>
      </c>
      <c r="I390" s="940">
        <v>154000000</v>
      </c>
      <c r="J390" s="718" t="s">
        <v>2438</v>
      </c>
      <c r="K390" s="298">
        <v>2016</v>
      </c>
      <c r="L390" s="551">
        <v>42452</v>
      </c>
      <c r="M390" s="299">
        <v>42466</v>
      </c>
      <c r="N390" s="299">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12" t="s">
        <v>1095</v>
      </c>
      <c r="Y390" s="42">
        <f t="shared" si="69"/>
        <v>0.87018000777006033</v>
      </c>
      <c r="Z390" s="42">
        <f t="shared" ca="1" si="70"/>
        <v>1</v>
      </c>
      <c r="AA390" s="43">
        <f t="shared" ca="1" si="71"/>
        <v>0.12981999222993967</v>
      </c>
      <c r="AB390" s="202" t="str">
        <f t="shared" ca="1" si="72"/>
        <v/>
      </c>
      <c r="AC390" s="44" t="str">
        <f t="shared" si="79"/>
        <v>NO</v>
      </c>
      <c r="AD390" s="765" t="s">
        <v>1713</v>
      </c>
      <c r="AE390" s="173" t="s">
        <v>1258</v>
      </c>
      <c r="AF390" s="284" t="s">
        <v>1609</v>
      </c>
      <c r="AG390" s="173" t="s">
        <v>1440</v>
      </c>
      <c r="AH390" s="284" t="s">
        <v>560</v>
      </c>
      <c r="AI390" s="308" t="s">
        <v>1510</v>
      </c>
      <c r="AJ390" s="308" t="s">
        <v>600</v>
      </c>
      <c r="AK390" s="181" t="str">
        <f t="shared" ca="1" si="73"/>
        <v>TERMINO</v>
      </c>
      <c r="AL390" s="313" t="s">
        <v>582</v>
      </c>
      <c r="AM390" s="176" t="s">
        <v>390</v>
      </c>
      <c r="AN390" s="875" t="str">
        <f>IFERROR(VLOOKUP(E390,'liquidaciones '!$B$2:$C$1048576,2,0),"NO")</f>
        <v>NO</v>
      </c>
      <c r="AO390" s="983" t="str">
        <f>IFERROR(VLOOKUP(E390,'liquidaciones '!$B$2:$I$1048576,8,0),"")</f>
        <v>GIOVANNI SUAREZ</v>
      </c>
      <c r="AP390" s="342"/>
      <c r="AQ390" s="177" t="str">
        <f t="shared" ca="1" si="76"/>
        <v>SI</v>
      </c>
      <c r="AR390" s="438" t="s">
        <v>3817</v>
      </c>
      <c r="AS390" s="438"/>
      <c r="AT390" s="1015"/>
    </row>
    <row r="391" spans="2:46" ht="56.25" x14ac:dyDescent="0.25">
      <c r="C391" s="442">
        <v>152</v>
      </c>
      <c r="D391" s="442" t="str">
        <f t="shared" si="78"/>
        <v>2016152</v>
      </c>
      <c r="E391" s="895" t="s">
        <v>2440</v>
      </c>
      <c r="F391" s="283" t="s">
        <v>2441</v>
      </c>
      <c r="G391" s="934">
        <v>900475780</v>
      </c>
      <c r="H391" s="945" t="s">
        <v>1641</v>
      </c>
      <c r="I391" s="940">
        <v>3454655000</v>
      </c>
      <c r="J391" s="718" t="s">
        <v>2440</v>
      </c>
      <c r="K391" s="298">
        <v>2016</v>
      </c>
      <c r="L391" s="551">
        <v>42468</v>
      </c>
      <c r="M391" s="299">
        <v>42468</v>
      </c>
      <c r="N391" s="299">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12"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5" t="s">
        <v>1722</v>
      </c>
      <c r="AE391" s="173" t="s">
        <v>1257</v>
      </c>
      <c r="AF391" s="284" t="s">
        <v>1509</v>
      </c>
      <c r="AG391" s="173" t="s">
        <v>1443</v>
      </c>
      <c r="AH391" s="284" t="s">
        <v>560</v>
      </c>
      <c r="AI391" s="308" t="s">
        <v>1320</v>
      </c>
      <c r="AJ391" s="308" t="s">
        <v>600</v>
      </c>
      <c r="AK391" s="181" t="str">
        <f t="shared" ref="AK391:AK454" ca="1" si="86">IF(T391&gt;=$F$3,"EN EJECUCIÓN","TERMINO")</f>
        <v>TERMINO</v>
      </c>
      <c r="AL391" s="181" t="s">
        <v>582</v>
      </c>
      <c r="AM391" s="176" t="s">
        <v>390</v>
      </c>
      <c r="AN391" s="875" t="str">
        <f>IFERROR(VLOOKUP(E391,'liquidaciones '!$B$2:$C$1048576,2,0),"NO")</f>
        <v>NO</v>
      </c>
      <c r="AO391" s="983" t="str">
        <f>IFERROR(VLOOKUP(E391,'liquidaciones '!$B$2:$I$1048576,8,0),"")</f>
        <v>MANUEL ROJAS</v>
      </c>
      <c r="AP391" s="342"/>
      <c r="AQ391" s="177" t="str">
        <f t="shared" ca="1" si="76"/>
        <v>SI</v>
      </c>
      <c r="AR391" s="438" t="s">
        <v>2995</v>
      </c>
      <c r="AS391" s="438"/>
      <c r="AT391" s="1015"/>
    </row>
    <row r="392" spans="2:46" ht="45" x14ac:dyDescent="0.25">
      <c r="C392" s="442">
        <v>125</v>
      </c>
      <c r="D392" s="442" t="str">
        <f t="shared" si="78"/>
        <v>2016125</v>
      </c>
      <c r="E392" s="895" t="s">
        <v>2444</v>
      </c>
      <c r="F392" s="283" t="s">
        <v>2034</v>
      </c>
      <c r="G392" s="934">
        <v>79246871</v>
      </c>
      <c r="H392" s="945" t="s">
        <v>2445</v>
      </c>
      <c r="I392" s="940">
        <v>29664000</v>
      </c>
      <c r="J392" s="718" t="s">
        <v>2454</v>
      </c>
      <c r="K392" s="298">
        <v>2016</v>
      </c>
      <c r="L392" s="551">
        <v>42493</v>
      </c>
      <c r="M392" s="299">
        <v>42494</v>
      </c>
      <c r="N392" s="299">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12" t="s">
        <v>1533</v>
      </c>
      <c r="Y392" s="42">
        <f t="shared" si="82"/>
        <v>1</v>
      </c>
      <c r="Z392" s="42">
        <f t="shared" ca="1" si="83"/>
        <v>1</v>
      </c>
      <c r="AA392" s="43">
        <f t="shared" ca="1" si="84"/>
        <v>0</v>
      </c>
      <c r="AB392" s="202" t="str">
        <f t="shared" ca="1" si="85"/>
        <v/>
      </c>
      <c r="AC392" s="44" t="str">
        <f t="shared" si="79"/>
        <v>SI</v>
      </c>
      <c r="AD392" s="765" t="s">
        <v>1714</v>
      </c>
      <c r="AE392" s="173" t="s">
        <v>1257</v>
      </c>
      <c r="AF392" s="284" t="s">
        <v>2063</v>
      </c>
      <c r="AG392" s="173" t="s">
        <v>1438</v>
      </c>
      <c r="AH392" s="284" t="s">
        <v>561</v>
      </c>
      <c r="AI392" s="308"/>
      <c r="AJ392" s="308" t="s">
        <v>600</v>
      </c>
      <c r="AK392" s="181" t="str">
        <f t="shared" ca="1" si="86"/>
        <v>TERMINO</v>
      </c>
      <c r="AL392" s="313" t="s">
        <v>582</v>
      </c>
      <c r="AM392" s="176" t="s">
        <v>391</v>
      </c>
      <c r="AN392" s="875" t="str">
        <f>IFERROR(VLOOKUP(E392,'liquidaciones '!$B$2:$C$1048576,2,0),"NO")</f>
        <v>LIQUIDADO</v>
      </c>
      <c r="AO392" s="983" t="str">
        <f>IFERROR(VLOOKUP(E392,'liquidaciones '!$B$2:$I$1048576,8,0),"")</f>
        <v>JAVIER QUINTERO</v>
      </c>
      <c r="AP392" s="342"/>
      <c r="AQ392" s="177" t="str">
        <f t="shared" ca="1" si="76"/>
        <v>SI</v>
      </c>
      <c r="AR392" s="177" t="s">
        <v>2609</v>
      </c>
      <c r="AS392" s="438"/>
      <c r="AT392" s="1015"/>
    </row>
    <row r="393" spans="2:46" ht="33.75" x14ac:dyDescent="0.25">
      <c r="C393" s="442">
        <v>149</v>
      </c>
      <c r="D393" s="442" t="str">
        <f t="shared" si="78"/>
        <v>2016149</v>
      </c>
      <c r="E393" s="895" t="s">
        <v>2448</v>
      </c>
      <c r="F393" s="283" t="s">
        <v>1112</v>
      </c>
      <c r="G393" s="934">
        <v>830005370</v>
      </c>
      <c r="H393" s="945" t="s">
        <v>3031</v>
      </c>
      <c r="I393" s="940">
        <v>1148500000</v>
      </c>
      <c r="J393" s="718" t="s">
        <v>2448</v>
      </c>
      <c r="K393" s="298">
        <v>2016</v>
      </c>
      <c r="L393" s="551">
        <v>42480</v>
      </c>
      <c r="M393" s="299">
        <v>42481</v>
      </c>
      <c r="N393" s="299">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12" t="s">
        <v>1893</v>
      </c>
      <c r="Y393" s="42">
        <f t="shared" si="82"/>
        <v>0.99999997213757075</v>
      </c>
      <c r="Z393" s="42">
        <f t="shared" ca="1" si="83"/>
        <v>1</v>
      </c>
      <c r="AA393" s="43">
        <f t="shared" ca="1" si="84"/>
        <v>2.7862429252678567E-8</v>
      </c>
      <c r="AB393" s="202" t="str">
        <f t="shared" ca="1" si="85"/>
        <v/>
      </c>
      <c r="AC393" s="44" t="str">
        <f t="shared" si="79"/>
        <v>SI</v>
      </c>
      <c r="AD393" s="765" t="s">
        <v>1722</v>
      </c>
      <c r="AE393" s="173" t="s">
        <v>1257</v>
      </c>
      <c r="AF393" s="173" t="s">
        <v>1293</v>
      </c>
      <c r="AG393" s="173" t="s">
        <v>1431</v>
      </c>
      <c r="AH393" s="284" t="s">
        <v>564</v>
      </c>
      <c r="AI393" s="308"/>
      <c r="AJ393" s="308" t="s">
        <v>600</v>
      </c>
      <c r="AK393" s="181" t="str">
        <f t="shared" ca="1" si="86"/>
        <v>TERMINO</v>
      </c>
      <c r="AL393" s="313" t="s">
        <v>582</v>
      </c>
      <c r="AM393" s="176" t="s">
        <v>390</v>
      </c>
      <c r="AN393" s="875" t="str">
        <f>IFERROR(VLOOKUP(E393,'liquidaciones '!$B$2:$C$1048576,2,0),"NO")</f>
        <v>NO</v>
      </c>
      <c r="AO393" s="983" t="str">
        <f>IFERROR(VLOOKUP(E393,'liquidaciones '!$B$2:$I$1048576,8,0),"")</f>
        <v>MANUEL ROJAS</v>
      </c>
      <c r="AP393" s="342"/>
      <c r="AQ393" s="177" t="str">
        <f t="shared" ca="1" si="76"/>
        <v>SI</v>
      </c>
      <c r="AR393" s="177" t="s">
        <v>981</v>
      </c>
      <c r="AS393" s="438"/>
      <c r="AT393" s="1015"/>
    </row>
    <row r="394" spans="2:46" ht="22.5" x14ac:dyDescent="0.25">
      <c r="C394" s="442">
        <v>136</v>
      </c>
      <c r="D394" s="442" t="str">
        <f t="shared" si="78"/>
        <v>2016136</v>
      </c>
      <c r="E394" s="895" t="s">
        <v>2453</v>
      </c>
      <c r="F394" s="283" t="s">
        <v>15</v>
      </c>
      <c r="G394" s="934">
        <v>830067096</v>
      </c>
      <c r="H394" s="945" t="s">
        <v>353</v>
      </c>
      <c r="I394" s="940">
        <v>8010000</v>
      </c>
      <c r="J394" s="718" t="s">
        <v>2453</v>
      </c>
      <c r="K394" s="298">
        <v>2016</v>
      </c>
      <c r="L394" s="551">
        <v>42508</v>
      </c>
      <c r="M394" s="299">
        <v>42513</v>
      </c>
      <c r="N394" s="299">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12" t="s">
        <v>1898</v>
      </c>
      <c r="Y394" s="42">
        <f t="shared" si="82"/>
        <v>1</v>
      </c>
      <c r="Z394" s="42">
        <f t="shared" ca="1" si="83"/>
        <v>1</v>
      </c>
      <c r="AA394" s="43">
        <f t="shared" ca="1" si="84"/>
        <v>0</v>
      </c>
      <c r="AB394" s="202" t="str">
        <f t="shared" ca="1" si="85"/>
        <v/>
      </c>
      <c r="AC394" s="44" t="str">
        <f t="shared" si="79"/>
        <v>SI</v>
      </c>
      <c r="AD394" s="765" t="s">
        <v>1717</v>
      </c>
      <c r="AE394" s="173"/>
      <c r="AF394" s="304" t="s">
        <v>1126</v>
      </c>
      <c r="AG394" s="173" t="s">
        <v>1431</v>
      </c>
      <c r="AH394" s="284" t="s">
        <v>564</v>
      </c>
      <c r="AI394" s="308"/>
      <c r="AJ394" s="308" t="s">
        <v>600</v>
      </c>
      <c r="AK394" s="181" t="str">
        <f t="shared" ca="1" si="86"/>
        <v>TERMINO</v>
      </c>
      <c r="AL394" s="313" t="s">
        <v>582</v>
      </c>
      <c r="AM394" s="176" t="s">
        <v>390</v>
      </c>
      <c r="AN394" s="875" t="str">
        <f>IFERROR(VLOOKUP(E394,'liquidaciones '!$B$2:$C$1048576,2,0),"NO")</f>
        <v>LIQUIDADO</v>
      </c>
      <c r="AO394" s="983" t="str">
        <f>IFERROR(VLOOKUP(E394,'liquidaciones '!$B$2:$I$1048576,8,0),"")</f>
        <v>MANUEL ROJAS</v>
      </c>
      <c r="AP394" s="342"/>
      <c r="AQ394" s="177" t="str">
        <f t="shared" ca="1" si="76"/>
        <v>SI</v>
      </c>
      <c r="AR394" s="177" t="s">
        <v>981</v>
      </c>
      <c r="AS394" s="438"/>
      <c r="AT394" s="1015"/>
    </row>
    <row r="395" spans="2:46" ht="22.5" x14ac:dyDescent="0.25">
      <c r="C395" s="442">
        <v>217</v>
      </c>
      <c r="D395" s="442" t="str">
        <f t="shared" si="78"/>
        <v>2016217</v>
      </c>
      <c r="E395" s="895" t="s">
        <v>2455</v>
      </c>
      <c r="F395" s="283" t="s">
        <v>1860</v>
      </c>
      <c r="G395" s="934">
        <v>860025639</v>
      </c>
      <c r="H395" s="945" t="s">
        <v>2456</v>
      </c>
      <c r="I395" s="940">
        <v>14640000</v>
      </c>
      <c r="J395" s="718" t="s">
        <v>2455</v>
      </c>
      <c r="K395" s="298">
        <v>2016</v>
      </c>
      <c r="L395" s="551">
        <v>42496</v>
      </c>
      <c r="M395" s="299">
        <v>42514</v>
      </c>
      <c r="N395" s="299">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12" t="s">
        <v>3012</v>
      </c>
      <c r="Y395" s="42">
        <f t="shared" si="82"/>
        <v>0.95161612021857922</v>
      </c>
      <c r="Z395" s="42">
        <f t="shared" ca="1" si="83"/>
        <v>1</v>
      </c>
      <c r="AA395" s="43">
        <f t="shared" ca="1" si="84"/>
        <v>4.838387978142078E-2</v>
      </c>
      <c r="AB395" s="202" t="str">
        <f t="shared" ca="1" si="85"/>
        <v/>
      </c>
      <c r="AC395" s="44" t="str">
        <f t="shared" si="79"/>
        <v>NO</v>
      </c>
      <c r="AD395" s="765" t="s">
        <v>1713</v>
      </c>
      <c r="AE395" s="173" t="s">
        <v>1257</v>
      </c>
      <c r="AF395" s="284" t="s">
        <v>1171</v>
      </c>
      <c r="AG395" s="173" t="s">
        <v>1443</v>
      </c>
      <c r="AH395" s="284" t="s">
        <v>560</v>
      </c>
      <c r="AI395" s="308"/>
      <c r="AJ395" s="308" t="s">
        <v>600</v>
      </c>
      <c r="AK395" s="181" t="str">
        <f t="shared" ca="1" si="86"/>
        <v>TERMINO</v>
      </c>
      <c r="AL395" s="181" t="s">
        <v>582</v>
      </c>
      <c r="AM395" s="176" t="s">
        <v>390</v>
      </c>
      <c r="AN395" s="875" t="str">
        <f>IFERROR(VLOOKUP(E395,'liquidaciones '!$B$2:$C$1048576,2,0),"NO")</f>
        <v>DEVUELTO</v>
      </c>
      <c r="AO395" s="983" t="str">
        <f>IFERROR(VLOOKUP(E395,'liquidaciones '!$B$2:$I$1048576,8,0),"")</f>
        <v>JULIETH ANGARITA</v>
      </c>
      <c r="AP395" s="342"/>
      <c r="AQ395" s="177" t="str">
        <f t="shared" ca="1" si="76"/>
        <v>SI</v>
      </c>
      <c r="AR395" s="177" t="s">
        <v>1511</v>
      </c>
      <c r="AS395" s="438"/>
      <c r="AT395" s="1015"/>
    </row>
    <row r="396" spans="2:46" ht="33.75" x14ac:dyDescent="0.25">
      <c r="C396" s="442">
        <v>126</v>
      </c>
      <c r="D396" s="442" t="str">
        <f t="shared" si="78"/>
        <v>2016126</v>
      </c>
      <c r="E396" s="895" t="s">
        <v>2457</v>
      </c>
      <c r="F396" s="893" t="s">
        <v>2458</v>
      </c>
      <c r="G396" s="934">
        <v>41758887</v>
      </c>
      <c r="H396" s="945" t="s">
        <v>2459</v>
      </c>
      <c r="I396" s="940">
        <v>44000000</v>
      </c>
      <c r="J396" s="718" t="s">
        <v>2457</v>
      </c>
      <c r="K396" s="298">
        <v>2016</v>
      </c>
      <c r="L396" s="551">
        <v>42506</v>
      </c>
      <c r="M396" s="299">
        <v>42510</v>
      </c>
      <c r="N396" s="299">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12" t="s">
        <v>1533</v>
      </c>
      <c r="Y396" s="42">
        <f t="shared" si="82"/>
        <v>1</v>
      </c>
      <c r="Z396" s="42">
        <f t="shared" ca="1" si="83"/>
        <v>1</v>
      </c>
      <c r="AA396" s="43">
        <f t="shared" ca="1" si="84"/>
        <v>0</v>
      </c>
      <c r="AB396" s="202" t="str">
        <f t="shared" ca="1" si="85"/>
        <v/>
      </c>
      <c r="AC396" s="44" t="str">
        <f t="shared" si="79"/>
        <v>SI</v>
      </c>
      <c r="AD396" s="765" t="s">
        <v>1714</v>
      </c>
      <c r="AE396" s="173" t="s">
        <v>1257</v>
      </c>
      <c r="AF396" s="284" t="s">
        <v>2060</v>
      </c>
      <c r="AG396" s="173" t="s">
        <v>1178</v>
      </c>
      <c r="AH396" s="284" t="s">
        <v>559</v>
      </c>
      <c r="AI396" s="308" t="s">
        <v>2173</v>
      </c>
      <c r="AJ396" s="308" t="s">
        <v>600</v>
      </c>
      <c r="AK396" s="181" t="str">
        <f t="shared" ca="1" si="86"/>
        <v>TERMINO</v>
      </c>
      <c r="AL396" s="313" t="s">
        <v>582</v>
      </c>
      <c r="AM396" s="176" t="s">
        <v>391</v>
      </c>
      <c r="AN396" s="875" t="str">
        <f>IFERROR(VLOOKUP(E396,'liquidaciones '!$B$2:$C$1048576,2,0),"NO")</f>
        <v>LIQUIDADO</v>
      </c>
      <c r="AO396" s="983" t="str">
        <f>IFERROR(VLOOKUP(E396,'liquidaciones '!$B$2:$I$1048576,8,0),"")</f>
        <v>JAVIER QUINTERO</v>
      </c>
      <c r="AP396" s="342"/>
      <c r="AQ396" s="177" t="str">
        <f t="shared" ca="1" si="76"/>
        <v>SI</v>
      </c>
      <c r="AR396" s="177" t="s">
        <v>2609</v>
      </c>
      <c r="AS396" s="438"/>
      <c r="AT396" s="1015"/>
    </row>
    <row r="397" spans="2:46" ht="30" x14ac:dyDescent="0.25">
      <c r="C397" s="442">
        <v>210</v>
      </c>
      <c r="D397" s="442" t="str">
        <f t="shared" si="78"/>
        <v>2016210</v>
      </c>
      <c r="E397" s="895" t="s">
        <v>2463</v>
      </c>
      <c r="F397" s="283" t="s">
        <v>284</v>
      </c>
      <c r="G397" s="934">
        <v>830055842</v>
      </c>
      <c r="H397" s="945" t="s">
        <v>3032</v>
      </c>
      <c r="I397" s="940">
        <v>33009000</v>
      </c>
      <c r="J397" s="718" t="s">
        <v>2662</v>
      </c>
      <c r="K397" s="298">
        <v>2016</v>
      </c>
      <c r="L397" s="551">
        <v>42508</v>
      </c>
      <c r="M397" s="299">
        <v>42513</v>
      </c>
      <c r="N397" s="299">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12" t="s">
        <v>1868</v>
      </c>
      <c r="Y397" s="42">
        <f t="shared" si="82"/>
        <v>0.96824490290526821</v>
      </c>
      <c r="Z397" s="42">
        <f t="shared" ca="1" si="83"/>
        <v>1</v>
      </c>
      <c r="AA397" s="43">
        <f t="shared" ca="1" si="84"/>
        <v>3.1755097094731788E-2</v>
      </c>
      <c r="AB397" s="202" t="str">
        <f t="shared" ca="1" si="85"/>
        <v/>
      </c>
      <c r="AC397" s="44" t="str">
        <f t="shared" si="79"/>
        <v>NO</v>
      </c>
      <c r="AD397" s="765" t="s">
        <v>1713</v>
      </c>
      <c r="AE397" s="173" t="s">
        <v>1257</v>
      </c>
      <c r="AF397" s="284" t="s">
        <v>1138</v>
      </c>
      <c r="AG397" s="173" t="s">
        <v>1437</v>
      </c>
      <c r="AH397" s="284" t="s">
        <v>562</v>
      </c>
      <c r="AI397" s="174" t="s">
        <v>1386</v>
      </c>
      <c r="AJ397" s="308" t="s">
        <v>600</v>
      </c>
      <c r="AK397" s="181" t="str">
        <f t="shared" ca="1" si="86"/>
        <v>TERMINO</v>
      </c>
      <c r="AL397" s="313" t="s">
        <v>575</v>
      </c>
      <c r="AM397" s="176" t="s">
        <v>390</v>
      </c>
      <c r="AN397" s="875" t="str">
        <f>IFERROR(VLOOKUP(E397,'liquidaciones '!$B$2:$C$1048576,2,0),"NO")</f>
        <v>DEVUELTO</v>
      </c>
      <c r="AO397" s="983" t="str">
        <f>IFERROR(VLOOKUP(E397,'liquidaciones '!$B$2:$I$1048576,8,0),"")</f>
        <v>MANUEL ROJAS</v>
      </c>
      <c r="AP397" s="342"/>
      <c r="AQ397" s="177" t="str">
        <f t="shared" ca="1" si="76"/>
        <v>SI</v>
      </c>
      <c r="AR397" s="177" t="s">
        <v>2982</v>
      </c>
      <c r="AS397" s="438"/>
      <c r="AT397" s="1015"/>
    </row>
    <row r="398" spans="2:46" ht="33.75" x14ac:dyDescent="0.25">
      <c r="C398" s="442">
        <v>82</v>
      </c>
      <c r="D398" s="442" t="str">
        <f t="shared" si="78"/>
        <v>201682</v>
      </c>
      <c r="E398" s="895" t="s">
        <v>2465</v>
      </c>
      <c r="F398" s="283" t="s">
        <v>1516</v>
      </c>
      <c r="G398" s="934">
        <v>80117116</v>
      </c>
      <c r="H398" s="945" t="s">
        <v>3033</v>
      </c>
      <c r="I398" s="940">
        <v>37080000</v>
      </c>
      <c r="J398" s="718" t="s">
        <v>2465</v>
      </c>
      <c r="K398" s="298">
        <v>2016</v>
      </c>
      <c r="L398" s="551">
        <v>42514</v>
      </c>
      <c r="M398" s="299">
        <v>42522</v>
      </c>
      <c r="N398" s="299">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12" t="s">
        <v>1095</v>
      </c>
      <c r="Y398" s="42">
        <f t="shared" si="82"/>
        <v>1</v>
      </c>
      <c r="Z398" s="42">
        <f t="shared" ca="1" si="83"/>
        <v>1</v>
      </c>
      <c r="AA398" s="43">
        <f t="shared" ca="1" si="84"/>
        <v>0</v>
      </c>
      <c r="AB398" s="202" t="str">
        <f t="shared" ca="1" si="85"/>
        <v/>
      </c>
      <c r="AC398" s="44" t="str">
        <f t="shared" si="79"/>
        <v>SI</v>
      </c>
      <c r="AD398" s="765" t="s">
        <v>1714</v>
      </c>
      <c r="AE398" s="173" t="s">
        <v>1257</v>
      </c>
      <c r="AF398" s="173" t="s">
        <v>2178</v>
      </c>
      <c r="AG398" s="173" t="s">
        <v>1431</v>
      </c>
      <c r="AH398" s="284" t="s">
        <v>564</v>
      </c>
      <c r="AI398" s="308"/>
      <c r="AJ398" s="308" t="s">
        <v>600</v>
      </c>
      <c r="AK398" s="181" t="str">
        <f t="shared" ca="1" si="86"/>
        <v>TERMINO</v>
      </c>
      <c r="AL398" s="181" t="s">
        <v>582</v>
      </c>
      <c r="AM398" s="176" t="s">
        <v>391</v>
      </c>
      <c r="AN398" s="875" t="str">
        <f>IFERROR(VLOOKUP(E398,'liquidaciones '!$B$2:$C$1048576,2,0),"NO")</f>
        <v>LIQUIDADO</v>
      </c>
      <c r="AO398" s="983" t="str">
        <f>IFERROR(VLOOKUP(E398,'liquidaciones '!$B$2:$I$1048576,8,0),"")</f>
        <v>ANDREA CASAS</v>
      </c>
      <c r="AP398" s="342"/>
      <c r="AQ398" s="177" t="str">
        <f t="shared" ca="1" si="76"/>
        <v>SI</v>
      </c>
      <c r="AR398" s="177" t="s">
        <v>981</v>
      </c>
      <c r="AS398" s="438"/>
      <c r="AT398" s="1015"/>
    </row>
    <row r="399" spans="2:46" ht="45" x14ac:dyDescent="0.25">
      <c r="C399" s="442"/>
      <c r="D399" s="442" t="str">
        <f t="shared" si="78"/>
        <v>2016</v>
      </c>
      <c r="E399" s="895" t="s">
        <v>2467</v>
      </c>
      <c r="F399" s="893" t="s">
        <v>2468</v>
      </c>
      <c r="G399" s="934">
        <v>52963023</v>
      </c>
      <c r="H399" s="945" t="s">
        <v>2476</v>
      </c>
      <c r="I399" s="940">
        <v>43712000</v>
      </c>
      <c r="J399" s="718" t="s">
        <v>2471</v>
      </c>
      <c r="K399" s="298">
        <v>2016</v>
      </c>
      <c r="L399" s="551">
        <v>42521</v>
      </c>
      <c r="M399" s="299">
        <v>42523</v>
      </c>
      <c r="N399" s="299">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12" t="s">
        <v>1095</v>
      </c>
      <c r="Y399" s="42">
        <f t="shared" si="82"/>
        <v>1</v>
      </c>
      <c r="Z399" s="42">
        <f t="shared" ca="1" si="83"/>
        <v>1</v>
      </c>
      <c r="AA399" s="43">
        <f t="shared" ca="1" si="84"/>
        <v>0</v>
      </c>
      <c r="AB399" s="202" t="str">
        <f t="shared" ca="1" si="85"/>
        <v/>
      </c>
      <c r="AC399" s="44" t="str">
        <f t="shared" si="79"/>
        <v>SI</v>
      </c>
      <c r="AD399" s="765" t="s">
        <v>2469</v>
      </c>
      <c r="AE399" s="173" t="s">
        <v>1257</v>
      </c>
      <c r="AF399" s="284" t="s">
        <v>2470</v>
      </c>
      <c r="AG399" s="173" t="s">
        <v>1438</v>
      </c>
      <c r="AH399" s="284" t="s">
        <v>561</v>
      </c>
      <c r="AI399" s="308"/>
      <c r="AJ399" s="308" t="s">
        <v>600</v>
      </c>
      <c r="AK399" s="181" t="str">
        <f t="shared" ca="1" si="86"/>
        <v>TERMINO</v>
      </c>
      <c r="AL399" s="181" t="s">
        <v>582</v>
      </c>
      <c r="AM399" s="176" t="s">
        <v>391</v>
      </c>
      <c r="AN399" s="875" t="str">
        <f>IFERROR(VLOOKUP(E399,'liquidaciones '!$B$2:$C$1048576,2,0),"NO")</f>
        <v>LIQUIDADO</v>
      </c>
      <c r="AO399" s="983" t="str">
        <f>IFERROR(VLOOKUP(E399,'liquidaciones '!$B$2:$I$1048576,8,0),"")</f>
        <v>JAVIER QUINTERO</v>
      </c>
      <c r="AP399" s="342"/>
      <c r="AQ399" s="177" t="str">
        <f t="shared" ca="1" si="76"/>
        <v>SI</v>
      </c>
      <c r="AR399" s="177" t="s">
        <v>2609</v>
      </c>
      <c r="AS399" s="438"/>
      <c r="AT399" s="1015"/>
    </row>
    <row r="400" spans="2:46" ht="33.75" x14ac:dyDescent="0.25">
      <c r="C400" s="442">
        <v>83</v>
      </c>
      <c r="D400" s="442" t="str">
        <f t="shared" si="78"/>
        <v>201683</v>
      </c>
      <c r="E400" s="895" t="s">
        <v>2472</v>
      </c>
      <c r="F400" s="283" t="s">
        <v>1034</v>
      </c>
      <c r="G400" s="934">
        <v>79887061</v>
      </c>
      <c r="H400" s="945" t="s">
        <v>2473</v>
      </c>
      <c r="I400" s="940">
        <v>29664000</v>
      </c>
      <c r="J400" s="718" t="s">
        <v>2475</v>
      </c>
      <c r="K400" s="298">
        <v>2016</v>
      </c>
      <c r="L400" s="551">
        <v>42514</v>
      </c>
      <c r="M400" s="299">
        <v>42524</v>
      </c>
      <c r="N400" s="299">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12" t="s">
        <v>1095</v>
      </c>
      <c r="Y400" s="42">
        <f t="shared" si="82"/>
        <v>1</v>
      </c>
      <c r="Z400" s="42">
        <f t="shared" ca="1" si="83"/>
        <v>1</v>
      </c>
      <c r="AA400" s="43">
        <f t="shared" ca="1" si="84"/>
        <v>0</v>
      </c>
      <c r="AB400" s="202" t="str">
        <f t="shared" ca="1" si="85"/>
        <v/>
      </c>
      <c r="AC400" s="44" t="str">
        <f t="shared" si="79"/>
        <v>SI</v>
      </c>
      <c r="AD400" s="765" t="s">
        <v>2469</v>
      </c>
      <c r="AE400" s="173" t="s">
        <v>1257</v>
      </c>
      <c r="AF400" s="173" t="s">
        <v>2183</v>
      </c>
      <c r="AG400" s="173" t="s">
        <v>1440</v>
      </c>
      <c r="AH400" s="284" t="s">
        <v>560</v>
      </c>
      <c r="AI400" s="308" t="s">
        <v>1510</v>
      </c>
      <c r="AJ400" s="308" t="s">
        <v>600</v>
      </c>
      <c r="AK400" s="181" t="str">
        <f t="shared" ca="1" si="86"/>
        <v>TERMINO</v>
      </c>
      <c r="AL400" s="181" t="s">
        <v>582</v>
      </c>
      <c r="AM400" s="176" t="s">
        <v>391</v>
      </c>
      <c r="AN400" s="875" t="str">
        <f>IFERROR(VLOOKUP(E400,'liquidaciones '!$B$2:$C$1048576,2,0),"NO")</f>
        <v>LIQUIDADO</v>
      </c>
      <c r="AO400" s="983" t="str">
        <f>IFERROR(VLOOKUP(E400,'liquidaciones '!$B$2:$I$1048576,8,0),"")</f>
        <v>GIOVANNI SUAREZ</v>
      </c>
      <c r="AP400" s="342"/>
      <c r="AQ400" s="177" t="str">
        <f t="shared" ca="1" si="76"/>
        <v>SI</v>
      </c>
      <c r="AR400" s="177" t="s">
        <v>981</v>
      </c>
      <c r="AS400" s="438"/>
      <c r="AT400" s="1015"/>
    </row>
    <row r="401" spans="3:46" ht="30" x14ac:dyDescent="0.25">
      <c r="C401" s="442"/>
      <c r="D401" s="442" t="str">
        <f t="shared" si="78"/>
        <v>2016</v>
      </c>
      <c r="E401" s="895" t="s">
        <v>2474</v>
      </c>
      <c r="F401" s="283" t="s">
        <v>290</v>
      </c>
      <c r="G401" s="934">
        <v>811021363</v>
      </c>
      <c r="H401" s="945" t="s">
        <v>3034</v>
      </c>
      <c r="I401" s="940">
        <v>6239000</v>
      </c>
      <c r="J401" s="718" t="s">
        <v>2478</v>
      </c>
      <c r="K401" s="298">
        <v>2016</v>
      </c>
      <c r="L401" s="551">
        <v>42489</v>
      </c>
      <c r="M401" s="299">
        <v>42508</v>
      </c>
      <c r="N401" s="299">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12" t="s">
        <v>1823</v>
      </c>
      <c r="Y401" s="42">
        <f t="shared" si="82"/>
        <v>0.99999839717903505</v>
      </c>
      <c r="Z401" s="42">
        <f t="shared" ca="1" si="83"/>
        <v>1</v>
      </c>
      <c r="AA401" s="43">
        <f t="shared" ca="1" si="84"/>
        <v>1.602820964952123E-6</v>
      </c>
      <c r="AB401" s="202" t="str">
        <f t="shared" ca="1" si="85"/>
        <v/>
      </c>
      <c r="AC401" s="44" t="s">
        <v>390</v>
      </c>
      <c r="AD401" s="765" t="s">
        <v>1715</v>
      </c>
      <c r="AE401" s="173" t="s">
        <v>1258</v>
      </c>
      <c r="AF401" s="284" t="s">
        <v>1312</v>
      </c>
      <c r="AG401" s="173" t="s">
        <v>1440</v>
      </c>
      <c r="AH401" s="284" t="s">
        <v>560</v>
      </c>
      <c r="AI401" s="308" t="s">
        <v>1510</v>
      </c>
      <c r="AJ401" s="308" t="s">
        <v>600</v>
      </c>
      <c r="AK401" s="181" t="str">
        <f t="shared" ca="1" si="86"/>
        <v>TERMINO</v>
      </c>
      <c r="AL401" s="313" t="s">
        <v>576</v>
      </c>
      <c r="AM401" s="176" t="s">
        <v>391</v>
      </c>
      <c r="AN401" s="875" t="str">
        <f>IFERROR(VLOOKUP(E401,'liquidaciones '!$B$2:$C$1048576,2,0),"NO")</f>
        <v>LIQUIDADO</v>
      </c>
      <c r="AO401" s="983">
        <f>IFERROR(VLOOKUP(E401,'liquidaciones '!$B$2:$I$1048576,8,0),"")</f>
        <v>0</v>
      </c>
      <c r="AP401" s="342"/>
      <c r="AQ401" s="177" t="str">
        <f t="shared" ca="1" si="76"/>
        <v>SI</v>
      </c>
      <c r="AR401" s="177" t="s">
        <v>2613</v>
      </c>
      <c r="AS401" s="438"/>
      <c r="AT401" s="1015"/>
    </row>
    <row r="402" spans="3:46" ht="33.75" x14ac:dyDescent="0.25">
      <c r="C402" s="442">
        <v>143</v>
      </c>
      <c r="D402" s="442" t="str">
        <f t="shared" si="78"/>
        <v>2016143</v>
      </c>
      <c r="E402" s="309" t="s">
        <v>2477</v>
      </c>
      <c r="F402" s="283" t="s">
        <v>1873</v>
      </c>
      <c r="G402" s="934">
        <v>900587953</v>
      </c>
      <c r="H402" s="945" t="s">
        <v>3035</v>
      </c>
      <c r="I402" s="940">
        <v>2060000</v>
      </c>
      <c r="J402" s="718" t="s">
        <v>2479</v>
      </c>
      <c r="K402" s="298">
        <v>2016</v>
      </c>
      <c r="L402" s="551">
        <v>42528</v>
      </c>
      <c r="M402" s="299">
        <v>42541</v>
      </c>
      <c r="N402" s="299">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12" t="s">
        <v>1616</v>
      </c>
      <c r="Y402" s="42">
        <f t="shared" si="82"/>
        <v>0.86563106796116507</v>
      </c>
      <c r="Z402" s="42">
        <f t="shared" ca="1" si="83"/>
        <v>1</v>
      </c>
      <c r="AA402" s="43">
        <f t="shared" ca="1" si="84"/>
        <v>0.13436893203883493</v>
      </c>
      <c r="AB402" s="202" t="str">
        <f t="shared" ca="1" si="85"/>
        <v/>
      </c>
      <c r="AC402" s="44" t="str">
        <f t="shared" ref="AC402:AC433" si="87">IF(Y402&lt;=99.9%,"NO","SI")</f>
        <v>NO</v>
      </c>
      <c r="AD402" s="765" t="s">
        <v>1713</v>
      </c>
      <c r="AE402" s="173" t="s">
        <v>1257</v>
      </c>
      <c r="AF402" s="284" t="s">
        <v>1384</v>
      </c>
      <c r="AG402" s="173" t="s">
        <v>1443</v>
      </c>
      <c r="AH402" s="284" t="s">
        <v>560</v>
      </c>
      <c r="AI402" s="174" t="s">
        <v>1381</v>
      </c>
      <c r="AJ402" s="308" t="s">
        <v>600</v>
      </c>
      <c r="AK402" s="181" t="str">
        <f t="shared" ca="1" si="86"/>
        <v>TERMINO</v>
      </c>
      <c r="AL402" s="181" t="s">
        <v>576</v>
      </c>
      <c r="AM402" s="176" t="s">
        <v>390</v>
      </c>
      <c r="AN402" s="875" t="str">
        <f>IFERROR(VLOOKUP(E402,'liquidaciones '!$B$2:$C$1048576,2,0),"NO")</f>
        <v>NO</v>
      </c>
      <c r="AO402" s="983" t="str">
        <f>IFERROR(VLOOKUP(E402,'liquidaciones '!$B$2:$I$1048576,8,0),"")</f>
        <v>MANUEL ROJAS</v>
      </c>
      <c r="AP402" s="342"/>
      <c r="AQ402" s="177" t="s">
        <v>390</v>
      </c>
      <c r="AR402" s="177" t="s">
        <v>2996</v>
      </c>
      <c r="AS402" s="438"/>
      <c r="AT402" s="1015"/>
    </row>
    <row r="403" spans="3:46" ht="45" x14ac:dyDescent="0.25">
      <c r="C403" s="442">
        <v>219</v>
      </c>
      <c r="D403" s="442" t="str">
        <f t="shared" si="78"/>
        <v>2016219</v>
      </c>
      <c r="E403" s="895" t="s">
        <v>2481</v>
      </c>
      <c r="F403" s="283" t="s">
        <v>1025</v>
      </c>
      <c r="G403" s="934">
        <v>80199707</v>
      </c>
      <c r="H403" s="945" t="s">
        <v>3036</v>
      </c>
      <c r="I403" s="940">
        <v>19931000</v>
      </c>
      <c r="J403" s="718" t="s">
        <v>2480</v>
      </c>
      <c r="K403" s="298">
        <v>2016</v>
      </c>
      <c r="L403" s="551">
        <v>42517</v>
      </c>
      <c r="M403" s="299">
        <v>42529</v>
      </c>
      <c r="N403" s="299">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12" t="s">
        <v>3012</v>
      </c>
      <c r="Y403" s="42">
        <f t="shared" si="82"/>
        <v>0.99999001555366007</v>
      </c>
      <c r="Z403" s="42">
        <f t="shared" ca="1" si="83"/>
        <v>1</v>
      </c>
      <c r="AA403" s="43">
        <f t="shared" ca="1" si="84"/>
        <v>9.9844463399278993E-6</v>
      </c>
      <c r="AB403" s="202" t="str">
        <f t="shared" ca="1" si="85"/>
        <v/>
      </c>
      <c r="AC403" s="44" t="str">
        <f t="shared" si="87"/>
        <v>SI</v>
      </c>
      <c r="AD403" s="765" t="s">
        <v>1713</v>
      </c>
      <c r="AE403" s="173" t="s">
        <v>1257</v>
      </c>
      <c r="AF403" s="284" t="s">
        <v>1299</v>
      </c>
      <c r="AG403" s="173" t="s">
        <v>1443</v>
      </c>
      <c r="AH403" s="284" t="s">
        <v>560</v>
      </c>
      <c r="AI403" s="174" t="s">
        <v>1381</v>
      </c>
      <c r="AJ403" s="308" t="s">
        <v>600</v>
      </c>
      <c r="AK403" s="181" t="str">
        <f t="shared" ca="1" si="86"/>
        <v>TERMINO</v>
      </c>
      <c r="AL403" s="181" t="s">
        <v>576</v>
      </c>
      <c r="AM403" s="176" t="s">
        <v>390</v>
      </c>
      <c r="AN403" s="875" t="str">
        <f>IFERROR(VLOOKUP(E403,'liquidaciones '!$B$2:$C$1048576,2,0),"NO")</f>
        <v>EN TRÁMITE</v>
      </c>
      <c r="AO403" s="983" t="str">
        <f>IFERROR(VLOOKUP(E403,'liquidaciones '!$B$2:$I$1048576,8,0),"")</f>
        <v>MANUEL ROJAS</v>
      </c>
      <c r="AP403" s="342"/>
      <c r="AQ403" s="177" t="s">
        <v>390</v>
      </c>
      <c r="AR403" s="177" t="s">
        <v>981</v>
      </c>
      <c r="AS403" s="438"/>
      <c r="AT403" s="1015"/>
    </row>
    <row r="404" spans="3:46" ht="78.75" x14ac:dyDescent="0.25">
      <c r="C404" s="442">
        <v>227</v>
      </c>
      <c r="D404" s="442" t="str">
        <f t="shared" si="78"/>
        <v>2016227</v>
      </c>
      <c r="E404" s="895" t="s">
        <v>2513</v>
      </c>
      <c r="F404" s="283" t="s">
        <v>2011</v>
      </c>
      <c r="G404" s="934" t="s">
        <v>2483</v>
      </c>
      <c r="H404" s="945" t="s">
        <v>3037</v>
      </c>
      <c r="I404" s="940">
        <v>108906000</v>
      </c>
      <c r="J404" s="718" t="s">
        <v>2482</v>
      </c>
      <c r="K404" s="298">
        <v>2016</v>
      </c>
      <c r="L404" s="551">
        <v>42523</v>
      </c>
      <c r="M404" s="299">
        <v>42531</v>
      </c>
      <c r="N404" s="299">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12" t="s">
        <v>2014</v>
      </c>
      <c r="Y404" s="42">
        <f t="shared" si="82"/>
        <v>0.99987179831571593</v>
      </c>
      <c r="Z404" s="42">
        <f t="shared" ca="1" si="83"/>
        <v>1</v>
      </c>
      <c r="AA404" s="43">
        <f t="shared" ca="1" si="84"/>
        <v>1.2820168428406831E-4</v>
      </c>
      <c r="AB404" s="202" t="str">
        <f t="shared" ca="1" si="85"/>
        <v/>
      </c>
      <c r="AC404" s="44" t="str">
        <f t="shared" si="87"/>
        <v>SI</v>
      </c>
      <c r="AD404" s="765" t="s">
        <v>1713</v>
      </c>
      <c r="AE404" s="173" t="s">
        <v>1257</v>
      </c>
      <c r="AF404" s="284" t="s">
        <v>1302</v>
      </c>
      <c r="AG404" s="173" t="s">
        <v>1436</v>
      </c>
      <c r="AH404" s="284" t="s">
        <v>560</v>
      </c>
      <c r="AI404" s="174" t="s">
        <v>1387</v>
      </c>
      <c r="AJ404" s="308" t="s">
        <v>600</v>
      </c>
      <c r="AK404" s="181" t="str">
        <f t="shared" ca="1" si="86"/>
        <v>TERMINO</v>
      </c>
      <c r="AL404" s="313" t="s">
        <v>574</v>
      </c>
      <c r="AM404" s="176" t="s">
        <v>390</v>
      </c>
      <c r="AN404" s="875" t="str">
        <f>IFERROR(VLOOKUP(E404,'liquidaciones '!$B$2:$C$1048576,2,0),"NO")</f>
        <v>EN TRÁMITE</v>
      </c>
      <c r="AO404" s="983" t="str">
        <f>IFERROR(VLOOKUP(E404,'liquidaciones '!$B$2:$I$1048576,8,0),"")</f>
        <v>JULIETH ANGARITA</v>
      </c>
      <c r="AP404" s="342"/>
      <c r="AQ404" s="177" t="s">
        <v>390</v>
      </c>
      <c r="AR404" s="177" t="s">
        <v>981</v>
      </c>
      <c r="AS404" s="438"/>
      <c r="AT404" s="1015"/>
    </row>
    <row r="405" spans="3:46" ht="45" x14ac:dyDescent="0.25">
      <c r="C405" s="442">
        <v>131</v>
      </c>
      <c r="D405" s="442" t="str">
        <f t="shared" si="78"/>
        <v>2016131</v>
      </c>
      <c r="E405" s="309" t="s">
        <v>2484</v>
      </c>
      <c r="F405" s="283" t="s">
        <v>1988</v>
      </c>
      <c r="G405" s="934">
        <v>1016042559</v>
      </c>
      <c r="H405" s="945" t="s">
        <v>3038</v>
      </c>
      <c r="I405" s="940">
        <v>14400000</v>
      </c>
      <c r="J405" s="718" t="s">
        <v>2484</v>
      </c>
      <c r="K405" s="298">
        <v>2016</v>
      </c>
      <c r="L405" s="551">
        <v>42531</v>
      </c>
      <c r="M405" s="299">
        <v>42535</v>
      </c>
      <c r="N405" s="299">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12" t="s">
        <v>1095</v>
      </c>
      <c r="Y405" s="881">
        <f t="shared" si="82"/>
        <v>1</v>
      </c>
      <c r="Z405" s="42">
        <f t="shared" ca="1" si="83"/>
        <v>1</v>
      </c>
      <c r="AA405" s="43">
        <f t="shared" ca="1" si="84"/>
        <v>0</v>
      </c>
      <c r="AB405" s="202" t="str">
        <f t="shared" ca="1" si="85"/>
        <v/>
      </c>
      <c r="AC405" s="44" t="str">
        <f t="shared" si="87"/>
        <v>SI</v>
      </c>
      <c r="AD405" s="765" t="s">
        <v>2469</v>
      </c>
      <c r="AE405" s="173" t="s">
        <v>1257</v>
      </c>
      <c r="AF405" s="284" t="s">
        <v>2064</v>
      </c>
      <c r="AG405" s="173" t="s">
        <v>1178</v>
      </c>
      <c r="AH405" s="284" t="s">
        <v>559</v>
      </c>
      <c r="AI405" s="308" t="s">
        <v>2173</v>
      </c>
      <c r="AJ405" s="308" t="s">
        <v>600</v>
      </c>
      <c r="AK405" s="181" t="str">
        <f t="shared" ca="1" si="86"/>
        <v>TERMINO</v>
      </c>
      <c r="AL405" s="313" t="s">
        <v>582</v>
      </c>
      <c r="AM405" s="176" t="s">
        <v>391</v>
      </c>
      <c r="AN405" s="875" t="str">
        <f>IFERROR(VLOOKUP(E405,'liquidaciones '!$B$2:$C$1048576,2,0),"NO")</f>
        <v>LIQUIDADO</v>
      </c>
      <c r="AO405" s="983" t="str">
        <f>IFERROR(VLOOKUP(E405,'liquidaciones '!$B$2:$I$1048576,8,0),"")</f>
        <v>EDWARD MORENO</v>
      </c>
      <c r="AP405" s="342"/>
      <c r="AQ405" s="177" t="s">
        <v>390</v>
      </c>
      <c r="AR405" s="177" t="s">
        <v>1511</v>
      </c>
      <c r="AS405" s="438"/>
      <c r="AT405" s="1015"/>
    </row>
    <row r="406" spans="3:46" ht="45" x14ac:dyDescent="0.25">
      <c r="C406" s="442">
        <v>121</v>
      </c>
      <c r="D406" s="442" t="str">
        <f t="shared" si="78"/>
        <v>2016121</v>
      </c>
      <c r="E406" s="895" t="s">
        <v>2485</v>
      </c>
      <c r="F406" s="283" t="s">
        <v>2486</v>
      </c>
      <c r="G406" s="934">
        <v>52935693</v>
      </c>
      <c r="H406" s="945" t="s">
        <v>3039</v>
      </c>
      <c r="I406" s="940">
        <v>44000000</v>
      </c>
      <c r="J406" s="718" t="s">
        <v>2485</v>
      </c>
      <c r="K406" s="298">
        <v>2016</v>
      </c>
      <c r="L406" s="551">
        <v>42534</v>
      </c>
      <c r="M406" s="299">
        <v>42535</v>
      </c>
      <c r="N406" s="299">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12" t="s">
        <v>1095</v>
      </c>
      <c r="Y406" s="881">
        <f t="shared" si="82"/>
        <v>1</v>
      </c>
      <c r="Z406" s="42">
        <f t="shared" ca="1" si="83"/>
        <v>1</v>
      </c>
      <c r="AA406" s="43">
        <f t="shared" ca="1" si="84"/>
        <v>0</v>
      </c>
      <c r="AB406" s="202" t="str">
        <f t="shared" ca="1" si="85"/>
        <v/>
      </c>
      <c r="AC406" s="44" t="str">
        <f t="shared" si="87"/>
        <v>SI</v>
      </c>
      <c r="AD406" s="765" t="s">
        <v>2487</v>
      </c>
      <c r="AE406" s="173" t="s">
        <v>1257</v>
      </c>
      <c r="AF406" s="173" t="s">
        <v>2179</v>
      </c>
      <c r="AG406" s="173" t="s">
        <v>1178</v>
      </c>
      <c r="AH406" s="284" t="s">
        <v>559</v>
      </c>
      <c r="AI406" s="174"/>
      <c r="AJ406" s="308" t="s">
        <v>600</v>
      </c>
      <c r="AK406" s="181" t="str">
        <f t="shared" ca="1" si="86"/>
        <v>TERMINO</v>
      </c>
      <c r="AL406" s="181" t="s">
        <v>582</v>
      </c>
      <c r="AM406" s="176" t="s">
        <v>391</v>
      </c>
      <c r="AN406" s="875" t="str">
        <f>IFERROR(VLOOKUP(E406,'liquidaciones '!$B$2:$C$1048576,2,0),"NO")</f>
        <v>LIQUIDADO</v>
      </c>
      <c r="AO406" s="983" t="str">
        <f>IFERROR(VLOOKUP(E406,'liquidaciones '!$B$2:$I$1048576,8,0),"")</f>
        <v>JAVIER QUINTERO</v>
      </c>
      <c r="AP406" s="342"/>
      <c r="AQ406" s="177" t="s">
        <v>390</v>
      </c>
      <c r="AR406" s="177" t="s">
        <v>2609</v>
      </c>
      <c r="AS406" s="438"/>
      <c r="AT406" s="1015"/>
    </row>
    <row r="407" spans="3:46" ht="56.25" customHeight="1" x14ac:dyDescent="0.25">
      <c r="C407" s="442"/>
      <c r="D407" s="442"/>
      <c r="E407" s="895" t="s">
        <v>2488</v>
      </c>
      <c r="F407" s="283" t="s">
        <v>22</v>
      </c>
      <c r="G407" s="934">
        <v>830112518</v>
      </c>
      <c r="H407" s="945" t="s">
        <v>1160</v>
      </c>
      <c r="I407" s="940">
        <v>45008000</v>
      </c>
      <c r="J407" s="718" t="s">
        <v>2488</v>
      </c>
      <c r="K407" s="298">
        <v>2016</v>
      </c>
      <c r="L407" s="551">
        <v>42487</v>
      </c>
      <c r="M407" s="299">
        <v>42502</v>
      </c>
      <c r="N407" s="299">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8" t="s">
        <v>2489</v>
      </c>
      <c r="Y407" s="881">
        <f t="shared" si="82"/>
        <v>1</v>
      </c>
      <c r="Z407" s="42">
        <f t="shared" ca="1" si="83"/>
        <v>1</v>
      </c>
      <c r="AA407" s="43">
        <f t="shared" ca="1" si="84"/>
        <v>0</v>
      </c>
      <c r="AB407" s="202" t="str">
        <f t="shared" ca="1" si="85"/>
        <v/>
      </c>
      <c r="AC407" s="44" t="str">
        <f t="shared" si="87"/>
        <v>SI</v>
      </c>
      <c r="AD407" s="765"/>
      <c r="AE407" s="173" t="s">
        <v>1258</v>
      </c>
      <c r="AF407" s="173" t="s">
        <v>1175</v>
      </c>
      <c r="AG407" s="173" t="s">
        <v>1440</v>
      </c>
      <c r="AH407" s="284" t="s">
        <v>560</v>
      </c>
      <c r="AI407" s="174" t="s">
        <v>1510</v>
      </c>
      <c r="AJ407" s="308" t="s">
        <v>600</v>
      </c>
      <c r="AK407" s="181" t="str">
        <f t="shared" ca="1" si="86"/>
        <v>TERMINO</v>
      </c>
      <c r="AL407" s="181" t="s">
        <v>582</v>
      </c>
      <c r="AM407" s="176" t="s">
        <v>390</v>
      </c>
      <c r="AN407" s="875" t="str">
        <f>IFERROR(VLOOKUP(E407,'liquidaciones '!$B$2:$C$1048576,2,0),"NO")</f>
        <v>LIQUIDADO</v>
      </c>
      <c r="AO407" s="983" t="str">
        <f>IFERROR(VLOOKUP(E407,'liquidaciones '!$B$2:$I$1048576,8,0),"")</f>
        <v>GIOVANNI SUAREZ</v>
      </c>
      <c r="AP407" s="342"/>
      <c r="AQ407" s="177" t="s">
        <v>390</v>
      </c>
      <c r="AR407" s="177" t="s">
        <v>2924</v>
      </c>
      <c r="AS407" s="438"/>
      <c r="AT407" s="1015"/>
    </row>
    <row r="408" spans="3:46" ht="45" customHeight="1" x14ac:dyDescent="0.25">
      <c r="C408" s="442">
        <v>120</v>
      </c>
      <c r="D408" s="442"/>
      <c r="E408" s="895" t="s">
        <v>2490</v>
      </c>
      <c r="F408" s="283" t="s">
        <v>2491</v>
      </c>
      <c r="G408" s="934">
        <v>1136882557</v>
      </c>
      <c r="H408" s="945" t="s">
        <v>2492</v>
      </c>
      <c r="I408" s="940">
        <v>19600000</v>
      </c>
      <c r="J408" s="718" t="s">
        <v>2490</v>
      </c>
      <c r="K408" s="298">
        <v>2016</v>
      </c>
      <c r="L408" s="551">
        <v>42536</v>
      </c>
      <c r="M408" s="299">
        <v>42541</v>
      </c>
      <c r="N408" s="299">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12" t="s">
        <v>1095</v>
      </c>
      <c r="Y408" s="881">
        <f t="shared" si="82"/>
        <v>1</v>
      </c>
      <c r="Z408" s="42">
        <f t="shared" ca="1" si="83"/>
        <v>1</v>
      </c>
      <c r="AA408" s="43">
        <f t="shared" ca="1" si="84"/>
        <v>0</v>
      </c>
      <c r="AB408" s="202" t="str">
        <f t="shared" ca="1" si="85"/>
        <v/>
      </c>
      <c r="AC408" s="44" t="str">
        <f t="shared" si="87"/>
        <v>SI</v>
      </c>
      <c r="AD408" s="765" t="s">
        <v>1714</v>
      </c>
      <c r="AE408" s="173" t="s">
        <v>1257</v>
      </c>
      <c r="AF408" s="173" t="s">
        <v>2184</v>
      </c>
      <c r="AG408" s="173" t="s">
        <v>1178</v>
      </c>
      <c r="AH408" s="284" t="s">
        <v>559</v>
      </c>
      <c r="AI408" s="174"/>
      <c r="AJ408" s="308" t="s">
        <v>600</v>
      </c>
      <c r="AK408" s="181" t="str">
        <f t="shared" ca="1" si="86"/>
        <v>TERMINO</v>
      </c>
      <c r="AL408" s="313" t="s">
        <v>582</v>
      </c>
      <c r="AM408" s="176" t="s">
        <v>391</v>
      </c>
      <c r="AN408" s="875" t="str">
        <f>IFERROR(VLOOKUP(E408,'liquidaciones '!$B$2:$C$1048576,2,0),"NO")</f>
        <v>LIQUIDADO</v>
      </c>
      <c r="AO408" s="983" t="str">
        <f>IFERROR(VLOOKUP(E408,'liquidaciones '!$B$2:$I$1048576,8,0),"")</f>
        <v>MANUEL ROJAS</v>
      </c>
      <c r="AP408" s="342"/>
      <c r="AQ408" s="177" t="s">
        <v>390</v>
      </c>
      <c r="AR408" s="177" t="s">
        <v>1511</v>
      </c>
      <c r="AS408" s="438"/>
      <c r="AT408" s="1015"/>
    </row>
    <row r="409" spans="3:46" ht="45" x14ac:dyDescent="0.25">
      <c r="C409" s="442">
        <v>263</v>
      </c>
      <c r="D409" s="442" t="str">
        <f>K409&amp;C409</f>
        <v>2016263</v>
      </c>
      <c r="E409" s="895" t="s">
        <v>2493</v>
      </c>
      <c r="F409" s="283" t="s">
        <v>2494</v>
      </c>
      <c r="G409" s="934">
        <v>79646061</v>
      </c>
      <c r="H409" s="945" t="s">
        <v>3040</v>
      </c>
      <c r="I409" s="940">
        <v>44000000</v>
      </c>
      <c r="J409" s="718" t="s">
        <v>2499</v>
      </c>
      <c r="K409" s="298">
        <v>2016</v>
      </c>
      <c r="L409" s="551">
        <v>42538</v>
      </c>
      <c r="M409" s="299">
        <v>42543</v>
      </c>
      <c r="N409" s="299">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12" t="s">
        <v>1095</v>
      </c>
      <c r="Y409" s="881">
        <f t="shared" si="82"/>
        <v>1</v>
      </c>
      <c r="Z409" s="42">
        <f t="shared" ca="1" si="83"/>
        <v>1</v>
      </c>
      <c r="AA409" s="43">
        <f t="shared" ca="1" si="84"/>
        <v>0</v>
      </c>
      <c r="AB409" s="202" t="str">
        <f t="shared" ca="1" si="85"/>
        <v/>
      </c>
      <c r="AC409" s="44" t="str">
        <f t="shared" si="87"/>
        <v>SI</v>
      </c>
      <c r="AD409" s="765" t="s">
        <v>1714</v>
      </c>
      <c r="AE409" s="173" t="s">
        <v>1257</v>
      </c>
      <c r="AF409" s="173" t="s">
        <v>2495</v>
      </c>
      <c r="AG409" s="173"/>
      <c r="AH409" s="284" t="s">
        <v>562</v>
      </c>
      <c r="AI409" s="308"/>
      <c r="AJ409" s="308" t="s">
        <v>600</v>
      </c>
      <c r="AK409" s="181" t="str">
        <f t="shared" ca="1" si="86"/>
        <v>TERMINO</v>
      </c>
      <c r="AL409" s="313" t="s">
        <v>582</v>
      </c>
      <c r="AM409" s="176" t="s">
        <v>391</v>
      </c>
      <c r="AN409" s="875" t="str">
        <f>IFERROR(VLOOKUP(E409,'liquidaciones '!$B$2:$C$1048576,2,0),"NO")</f>
        <v>LIQUIDADO</v>
      </c>
      <c r="AO409" s="983" t="str">
        <f>IFERROR(VLOOKUP(E409,'liquidaciones '!$B$2:$I$1048576,8,0),"")</f>
        <v>JAVIER QUINTERO</v>
      </c>
      <c r="AP409" s="342"/>
      <c r="AQ409" s="177" t="str">
        <f ca="1">IF((TODAY()-T409&lt;900),"SI","NO")</f>
        <v>SI</v>
      </c>
      <c r="AR409" s="177" t="s">
        <v>2609</v>
      </c>
      <c r="AS409" s="438"/>
      <c r="AT409" s="1015"/>
    </row>
    <row r="410" spans="3:46" ht="45" x14ac:dyDescent="0.25">
      <c r="C410" s="442">
        <v>265</v>
      </c>
      <c r="D410" s="442" t="str">
        <f>K410&amp;C410</f>
        <v>2016265</v>
      </c>
      <c r="E410" s="895" t="s">
        <v>2496</v>
      </c>
      <c r="F410" s="283" t="s">
        <v>2654</v>
      </c>
      <c r="G410" s="934">
        <v>52499785</v>
      </c>
      <c r="H410" s="945" t="s">
        <v>2497</v>
      </c>
      <c r="I410" s="940">
        <v>44000000</v>
      </c>
      <c r="J410" s="718" t="s">
        <v>2496</v>
      </c>
      <c r="K410" s="298">
        <v>2016</v>
      </c>
      <c r="L410" s="551">
        <v>42538</v>
      </c>
      <c r="M410" s="299">
        <v>42542</v>
      </c>
      <c r="N410" s="299">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12" t="s">
        <v>1095</v>
      </c>
      <c r="Y410" s="881">
        <f t="shared" si="82"/>
        <v>1</v>
      </c>
      <c r="Z410" s="42">
        <f t="shared" ca="1" si="83"/>
        <v>1</v>
      </c>
      <c r="AA410" s="43">
        <f t="shared" ca="1" si="84"/>
        <v>0</v>
      </c>
      <c r="AB410" s="202" t="str">
        <f t="shared" ca="1" si="85"/>
        <v/>
      </c>
      <c r="AC410" s="44" t="str">
        <f t="shared" si="87"/>
        <v>SI</v>
      </c>
      <c r="AD410" s="765" t="s">
        <v>1714</v>
      </c>
      <c r="AE410" s="173" t="s">
        <v>1257</v>
      </c>
      <c r="AF410" s="173" t="s">
        <v>2498</v>
      </c>
      <c r="AG410" s="173"/>
      <c r="AH410" s="284"/>
      <c r="AI410" s="308"/>
      <c r="AJ410" s="308" t="s">
        <v>600</v>
      </c>
      <c r="AK410" s="181" t="str">
        <f t="shared" ca="1" si="86"/>
        <v>TERMINO</v>
      </c>
      <c r="AL410" s="313" t="s">
        <v>582</v>
      </c>
      <c r="AM410" s="176" t="s">
        <v>391</v>
      </c>
      <c r="AN410" s="875" t="str">
        <f>IFERROR(VLOOKUP(E410,'liquidaciones '!$B$2:$C$1048576,2,0),"NO")</f>
        <v>LIQUIDADO</v>
      </c>
      <c r="AO410" s="983" t="str">
        <f>IFERROR(VLOOKUP(E410,'liquidaciones '!$B$2:$I$1048576,8,0),"")</f>
        <v>ANDREA CASAS</v>
      </c>
      <c r="AP410" s="342"/>
      <c r="AQ410" s="177" t="str">
        <f ca="1">IF((TODAY()-T410&lt;900),"SI","NO")</f>
        <v>SI</v>
      </c>
      <c r="AR410" s="177" t="s">
        <v>981</v>
      </c>
      <c r="AS410" s="438"/>
      <c r="AT410" s="1015"/>
    </row>
    <row r="411" spans="3:46" ht="33.75" x14ac:dyDescent="0.25">
      <c r="C411" s="442">
        <v>127</v>
      </c>
      <c r="D411" s="442"/>
      <c r="E411" s="895" t="s">
        <v>2500</v>
      </c>
      <c r="F411" s="283" t="s">
        <v>2731</v>
      </c>
      <c r="G411" s="934">
        <v>32853319</v>
      </c>
      <c r="H411" s="945" t="s">
        <v>3041</v>
      </c>
      <c r="I411" s="940">
        <v>44000000</v>
      </c>
      <c r="J411" s="718" t="s">
        <v>2500</v>
      </c>
      <c r="K411" s="298">
        <v>2016</v>
      </c>
      <c r="L411" s="551">
        <v>42538</v>
      </c>
      <c r="M411" s="299">
        <v>42542</v>
      </c>
      <c r="N411" s="299">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12" t="s">
        <v>1095</v>
      </c>
      <c r="Y411" s="881">
        <f t="shared" si="82"/>
        <v>1</v>
      </c>
      <c r="Z411" s="42">
        <f t="shared" ca="1" si="83"/>
        <v>1</v>
      </c>
      <c r="AA411" s="43">
        <f t="shared" ca="1" si="84"/>
        <v>0</v>
      </c>
      <c r="AB411" s="202" t="str">
        <f t="shared" ca="1" si="85"/>
        <v/>
      </c>
      <c r="AC411" s="44" t="str">
        <f t="shared" si="87"/>
        <v>SI</v>
      </c>
      <c r="AD411" s="765" t="s">
        <v>1714</v>
      </c>
      <c r="AE411" s="173" t="s">
        <v>1257</v>
      </c>
      <c r="AF411" s="173" t="s">
        <v>2501</v>
      </c>
      <c r="AG411" s="173" t="s">
        <v>2508</v>
      </c>
      <c r="AH411" s="284" t="s">
        <v>565</v>
      </c>
      <c r="AI411" s="308"/>
      <c r="AJ411" s="308" t="s">
        <v>600</v>
      </c>
      <c r="AK411" s="181" t="str">
        <f t="shared" ca="1" si="86"/>
        <v>TERMINO</v>
      </c>
      <c r="AL411" s="313" t="s">
        <v>582</v>
      </c>
      <c r="AM411" s="176" t="s">
        <v>391</v>
      </c>
      <c r="AN411" s="875" t="str">
        <f>IFERROR(VLOOKUP(E411,'liquidaciones '!$B$2:$C$1048576,2,0),"NO")</f>
        <v>LIQUIDADO</v>
      </c>
      <c r="AO411" s="983" t="str">
        <f>IFERROR(VLOOKUP(E411,'liquidaciones '!$B$2:$I$1048576,8,0),"")</f>
        <v>EDWARD MORENO</v>
      </c>
      <c r="AP411" s="342"/>
      <c r="AQ411" s="177" t="s">
        <v>390</v>
      </c>
      <c r="AR411" s="177" t="s">
        <v>1511</v>
      </c>
      <c r="AS411" s="438"/>
      <c r="AT411" s="1015"/>
    </row>
    <row r="412" spans="3:46" ht="33.75" x14ac:dyDescent="0.25">
      <c r="C412" s="442">
        <v>264</v>
      </c>
      <c r="D412" s="442"/>
      <c r="E412" s="895" t="s">
        <v>2502</v>
      </c>
      <c r="F412" s="283" t="s">
        <v>2503</v>
      </c>
      <c r="G412" s="934">
        <v>63548489</v>
      </c>
      <c r="H412" s="945" t="s">
        <v>3042</v>
      </c>
      <c r="I412" s="940">
        <v>44000000</v>
      </c>
      <c r="J412" s="718" t="s">
        <v>2502</v>
      </c>
      <c r="K412" s="298">
        <v>2016</v>
      </c>
      <c r="L412" s="551">
        <v>42542</v>
      </c>
      <c r="M412" s="299">
        <v>42545</v>
      </c>
      <c r="N412" s="299">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12" t="s">
        <v>1095</v>
      </c>
      <c r="Y412" s="881">
        <f t="shared" si="82"/>
        <v>1</v>
      </c>
      <c r="Z412" s="42">
        <f t="shared" ca="1" si="83"/>
        <v>1</v>
      </c>
      <c r="AA412" s="43">
        <f t="shared" ca="1" si="84"/>
        <v>0</v>
      </c>
      <c r="AB412" s="202" t="str">
        <f t="shared" ca="1" si="85"/>
        <v/>
      </c>
      <c r="AC412" s="44" t="str">
        <f t="shared" si="87"/>
        <v>SI</v>
      </c>
      <c r="AD412" s="765" t="s">
        <v>1714</v>
      </c>
      <c r="AE412" s="173" t="s">
        <v>1257</v>
      </c>
      <c r="AF412" s="173" t="s">
        <v>2504</v>
      </c>
      <c r="AG412" s="173" t="s">
        <v>1431</v>
      </c>
      <c r="AH412" s="284" t="s">
        <v>564</v>
      </c>
      <c r="AI412" s="308"/>
      <c r="AJ412" s="308" t="s">
        <v>600</v>
      </c>
      <c r="AK412" s="181" t="str">
        <f t="shared" ca="1" si="86"/>
        <v>TERMINO</v>
      </c>
      <c r="AL412" s="313" t="s">
        <v>582</v>
      </c>
      <c r="AM412" s="176" t="s">
        <v>391</v>
      </c>
      <c r="AN412" s="875" t="str">
        <f>IFERROR(VLOOKUP(E412,'liquidaciones '!$B$2:$C$1048576,2,0),"NO")</f>
        <v>LIQUIDADO</v>
      </c>
      <c r="AO412" s="983" t="str">
        <f>IFERROR(VLOOKUP(E412,'liquidaciones '!$B$2:$I$1048576,8,0),"")</f>
        <v>EDWARD MORENO</v>
      </c>
      <c r="AP412" s="342"/>
      <c r="AQ412" s="177" t="s">
        <v>390</v>
      </c>
      <c r="AR412" s="177" t="s">
        <v>981</v>
      </c>
      <c r="AS412" s="438"/>
      <c r="AT412" s="1015"/>
    </row>
    <row r="413" spans="3:46" ht="28.5" customHeight="1" x14ac:dyDescent="0.25">
      <c r="C413" s="442"/>
      <c r="D413" s="442"/>
      <c r="E413" s="309" t="s">
        <v>2505</v>
      </c>
      <c r="F413" s="283" t="s">
        <v>203</v>
      </c>
      <c r="G413" s="934">
        <v>860049921</v>
      </c>
      <c r="H413" s="945" t="s">
        <v>3043</v>
      </c>
      <c r="I413" s="940">
        <v>5086020</v>
      </c>
      <c r="J413" s="718" t="s">
        <v>2505</v>
      </c>
      <c r="K413" s="298">
        <v>2016</v>
      </c>
      <c r="L413" s="551">
        <v>42535</v>
      </c>
      <c r="M413" s="299">
        <v>42570</v>
      </c>
      <c r="N413" s="299">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12" t="s">
        <v>1869</v>
      </c>
      <c r="Y413" s="881">
        <f t="shared" si="82"/>
        <v>1</v>
      </c>
      <c r="Z413" s="42">
        <f t="shared" ca="1" si="83"/>
        <v>1</v>
      </c>
      <c r="AA413" s="43">
        <f t="shared" ca="1" si="84"/>
        <v>0</v>
      </c>
      <c r="AB413" s="202" t="str">
        <f t="shared" ca="1" si="85"/>
        <v/>
      </c>
      <c r="AC413" s="44" t="str">
        <f t="shared" si="87"/>
        <v>SI</v>
      </c>
      <c r="AD413" s="765" t="s">
        <v>1713</v>
      </c>
      <c r="AE413" s="173" t="s">
        <v>1257</v>
      </c>
      <c r="AF413" s="304" t="s">
        <v>1351</v>
      </c>
      <c r="AG413" s="173" t="s">
        <v>1432</v>
      </c>
      <c r="AH413" s="284" t="s">
        <v>563</v>
      </c>
      <c r="AI413" s="308"/>
      <c r="AJ413" s="308" t="s">
        <v>600</v>
      </c>
      <c r="AK413" s="181" t="str">
        <f t="shared" ca="1" si="86"/>
        <v>TERMINO</v>
      </c>
      <c r="AL413" s="181" t="s">
        <v>582</v>
      </c>
      <c r="AM413" s="176" t="s">
        <v>390</v>
      </c>
      <c r="AN413" s="875" t="str">
        <f>IFERROR(VLOOKUP(E413,'liquidaciones '!$B$2:$C$1048576,2,0),"NO")</f>
        <v>DEVUELTO</v>
      </c>
      <c r="AO413" s="983" t="str">
        <f>IFERROR(VLOOKUP(E413,'liquidaciones '!$B$2:$I$1048576,8,0),"")</f>
        <v>JULIETH ANGARITA</v>
      </c>
      <c r="AP413" s="342"/>
      <c r="AQ413" s="177" t="s">
        <v>390</v>
      </c>
      <c r="AR413" s="177" t="s">
        <v>2610</v>
      </c>
      <c r="AS413" s="438"/>
      <c r="AT413" s="1015"/>
    </row>
    <row r="414" spans="3:46" ht="67.5" x14ac:dyDescent="0.25">
      <c r="C414" s="442">
        <v>262</v>
      </c>
      <c r="D414" s="442"/>
      <c r="E414" s="309" t="s">
        <v>2506</v>
      </c>
      <c r="F414" s="283" t="s">
        <v>2507</v>
      </c>
      <c r="G414" s="934">
        <v>79951750</v>
      </c>
      <c r="H414" s="945" t="s">
        <v>2954</v>
      </c>
      <c r="I414" s="940">
        <v>36000000</v>
      </c>
      <c r="J414" s="718" t="s">
        <v>2506</v>
      </c>
      <c r="K414" s="298">
        <v>2016</v>
      </c>
      <c r="L414" s="551">
        <v>42541</v>
      </c>
      <c r="M414" s="299">
        <v>42545</v>
      </c>
      <c r="N414" s="299">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12" t="s">
        <v>1095</v>
      </c>
      <c r="Y414" s="881">
        <f t="shared" si="82"/>
        <v>1</v>
      </c>
      <c r="Z414" s="42">
        <f t="shared" ca="1" si="83"/>
        <v>1</v>
      </c>
      <c r="AA414" s="43">
        <f t="shared" ca="1" si="84"/>
        <v>0</v>
      </c>
      <c r="AB414" s="202" t="str">
        <f t="shared" ca="1" si="85"/>
        <v/>
      </c>
      <c r="AC414" s="44" t="str">
        <f t="shared" si="87"/>
        <v>SI</v>
      </c>
      <c r="AD414" s="765" t="s">
        <v>1714</v>
      </c>
      <c r="AE414" s="173" t="s">
        <v>1257</v>
      </c>
      <c r="AF414" s="173" t="s">
        <v>2600</v>
      </c>
      <c r="AG414" s="173" t="s">
        <v>1178</v>
      </c>
      <c r="AH414" s="284" t="s">
        <v>559</v>
      </c>
      <c r="AI414" s="308"/>
      <c r="AJ414" s="308" t="s">
        <v>600</v>
      </c>
      <c r="AK414" s="181" t="str">
        <f t="shared" ca="1" si="86"/>
        <v>TERMINO</v>
      </c>
      <c r="AL414" s="181" t="s">
        <v>582</v>
      </c>
      <c r="AM414" s="176" t="s">
        <v>391</v>
      </c>
      <c r="AN414" s="875" t="str">
        <f>IFERROR(VLOOKUP(E414,'liquidaciones '!$B$2:$C$1048576,2,0),"NO")</f>
        <v>LIQUIDADO</v>
      </c>
      <c r="AO414" s="983" t="str">
        <f>IFERROR(VLOOKUP(E414,'liquidaciones '!$B$2:$I$1048576,8,0),"")</f>
        <v>JAVIER QUINTERO</v>
      </c>
      <c r="AP414" s="342"/>
      <c r="AQ414" s="177" t="s">
        <v>390</v>
      </c>
      <c r="AR414" s="177" t="s">
        <v>2609</v>
      </c>
      <c r="AS414" s="438"/>
      <c r="AT414" s="1015"/>
    </row>
    <row r="415" spans="3:46" ht="69" customHeight="1" x14ac:dyDescent="0.25">
      <c r="C415" s="442">
        <v>215</v>
      </c>
      <c r="D415" s="442"/>
      <c r="E415" s="895" t="s">
        <v>2509</v>
      </c>
      <c r="F415" s="283" t="s">
        <v>1017</v>
      </c>
      <c r="G415" s="934" t="s">
        <v>2884</v>
      </c>
      <c r="H415" s="945" t="s">
        <v>3044</v>
      </c>
      <c r="I415" s="940">
        <v>8110000</v>
      </c>
      <c r="J415" s="718" t="s">
        <v>2519</v>
      </c>
      <c r="K415" s="298">
        <v>2016</v>
      </c>
      <c r="L415" s="551">
        <v>42541</v>
      </c>
      <c r="M415" s="299">
        <v>42551</v>
      </c>
      <c r="N415" s="299">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8" t="s">
        <v>1233</v>
      </c>
      <c r="Y415" s="881">
        <f t="shared" si="82"/>
        <v>0.97130702836004934</v>
      </c>
      <c r="Z415" s="42">
        <f t="shared" ca="1" si="83"/>
        <v>1</v>
      </c>
      <c r="AA415" s="43">
        <f t="shared" ca="1" si="84"/>
        <v>2.869297163995066E-2</v>
      </c>
      <c r="AB415" s="202" t="str">
        <f t="shared" ca="1" si="85"/>
        <v/>
      </c>
      <c r="AC415" s="44" t="str">
        <f t="shared" si="87"/>
        <v>NO</v>
      </c>
      <c r="AD415" s="765" t="s">
        <v>2520</v>
      </c>
      <c r="AE415" s="173" t="s">
        <v>1257</v>
      </c>
      <c r="AF415" s="304" t="s">
        <v>1145</v>
      </c>
      <c r="AG415" s="173" t="s">
        <v>1443</v>
      </c>
      <c r="AH415" s="284" t="s">
        <v>560</v>
      </c>
      <c r="AI415" s="174" t="s">
        <v>1381</v>
      </c>
      <c r="AJ415" s="308" t="s">
        <v>600</v>
      </c>
      <c r="AK415" s="181" t="str">
        <f t="shared" ca="1" si="86"/>
        <v>TERMINO</v>
      </c>
      <c r="AL415" s="313" t="s">
        <v>576</v>
      </c>
      <c r="AM415" s="176" t="s">
        <v>390</v>
      </c>
      <c r="AN415" s="875" t="str">
        <f>IFERROR(VLOOKUP(E415,'liquidaciones '!$B$2:$C$1048576,2,0),"NO")</f>
        <v>DEVUELTO</v>
      </c>
      <c r="AO415" s="983" t="str">
        <f>IFERROR(VLOOKUP(E415,'liquidaciones '!$B$2:$I$1048576,8,0),"")</f>
        <v>MANUEL ROJAS</v>
      </c>
      <c r="AP415" s="342"/>
      <c r="AQ415" s="177" t="s">
        <v>390</v>
      </c>
      <c r="AR415" s="177" t="s">
        <v>2609</v>
      </c>
      <c r="AS415" s="438"/>
      <c r="AT415" s="1015"/>
    </row>
    <row r="416" spans="3:46" ht="45" x14ac:dyDescent="0.25">
      <c r="C416" s="442">
        <v>261</v>
      </c>
      <c r="D416" s="442"/>
      <c r="E416" s="309" t="s">
        <v>2510</v>
      </c>
      <c r="F416" s="283" t="s">
        <v>1968</v>
      </c>
      <c r="G416" s="934">
        <v>51647190</v>
      </c>
      <c r="H416" s="945" t="s">
        <v>2511</v>
      </c>
      <c r="I416" s="940">
        <v>44000000</v>
      </c>
      <c r="J416" s="718" t="s">
        <v>2510</v>
      </c>
      <c r="K416" s="298">
        <v>2016</v>
      </c>
      <c r="L416" s="551">
        <v>42544</v>
      </c>
      <c r="M416" s="299">
        <v>42548</v>
      </c>
      <c r="N416" s="299">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12" t="s">
        <v>1970</v>
      </c>
      <c r="Y416" s="881">
        <f t="shared" si="82"/>
        <v>1</v>
      </c>
      <c r="Z416" s="42">
        <f t="shared" ca="1" si="83"/>
        <v>1</v>
      </c>
      <c r="AA416" s="43">
        <f t="shared" ca="1" si="84"/>
        <v>0</v>
      </c>
      <c r="AB416" s="202" t="str">
        <f t="shared" ca="1" si="85"/>
        <v/>
      </c>
      <c r="AC416" s="44" t="str">
        <f t="shared" si="87"/>
        <v>SI</v>
      </c>
      <c r="AD416" s="765" t="s">
        <v>1714</v>
      </c>
      <c r="AE416" s="173" t="s">
        <v>1257</v>
      </c>
      <c r="AF416" s="284" t="s">
        <v>1971</v>
      </c>
      <c r="AG416" s="173" t="s">
        <v>1430</v>
      </c>
      <c r="AH416" s="284" t="s">
        <v>563</v>
      </c>
      <c r="AI416" s="308"/>
      <c r="AJ416" s="308" t="s">
        <v>600</v>
      </c>
      <c r="AK416" s="181" t="str">
        <f t="shared" ca="1" si="86"/>
        <v>TERMINO</v>
      </c>
      <c r="AL416" s="313" t="s">
        <v>582</v>
      </c>
      <c r="AM416" s="176" t="s">
        <v>391</v>
      </c>
      <c r="AN416" s="875" t="str">
        <f>IFERROR(VLOOKUP(E416,'liquidaciones '!$B$2:$C$1048576,2,0),"NO")</f>
        <v>LIQUIDADO</v>
      </c>
      <c r="AO416" s="983" t="str">
        <f>IFERROR(VLOOKUP(E416,'liquidaciones '!$B$2:$I$1048576,8,0),"")</f>
        <v>EDWARD MORENO</v>
      </c>
      <c r="AP416" s="342"/>
      <c r="AQ416" s="177" t="s">
        <v>390</v>
      </c>
      <c r="AR416" s="177" t="s">
        <v>1511</v>
      </c>
      <c r="AS416" s="438"/>
      <c r="AT416" s="1015"/>
    </row>
    <row r="417" spans="3:46" ht="22.5" x14ac:dyDescent="0.25">
      <c r="C417" s="442">
        <v>196</v>
      </c>
      <c r="D417" s="442"/>
      <c r="E417" s="309" t="s">
        <v>2514</v>
      </c>
      <c r="F417" s="283" t="s">
        <v>2515</v>
      </c>
      <c r="G417" s="934" t="s">
        <v>2516</v>
      </c>
      <c r="H417" s="945" t="s">
        <v>2518</v>
      </c>
      <c r="I417" s="940">
        <v>12637000</v>
      </c>
      <c r="J417" s="732"/>
      <c r="K417" s="298">
        <v>2016</v>
      </c>
      <c r="L417" s="551">
        <v>42545</v>
      </c>
      <c r="M417" s="299"/>
      <c r="N417" s="299"/>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12" t="s">
        <v>2517</v>
      </c>
      <c r="Y417" s="881">
        <f t="shared" si="82"/>
        <v>0.99996075017804864</v>
      </c>
      <c r="Z417" s="42" t="e">
        <f t="shared" ca="1" si="83"/>
        <v>#DIV/0!</v>
      </c>
      <c r="AA417" s="43" t="e">
        <f t="shared" ca="1" si="84"/>
        <v>#DIV/0!</v>
      </c>
      <c r="AB417" s="202" t="e">
        <f t="shared" ca="1" si="85"/>
        <v>#DIV/0!</v>
      </c>
      <c r="AC417" s="44" t="str">
        <f t="shared" si="87"/>
        <v>SI</v>
      </c>
      <c r="AD417" s="765"/>
      <c r="AE417" s="173" t="s">
        <v>1257</v>
      </c>
      <c r="AF417" s="173" t="s">
        <v>2406</v>
      </c>
      <c r="AG417" s="173"/>
      <c r="AH417" s="284" t="s">
        <v>560</v>
      </c>
      <c r="AI417" s="308" t="s">
        <v>1320</v>
      </c>
      <c r="AJ417" s="308" t="s">
        <v>600</v>
      </c>
      <c r="AK417" s="181" t="str">
        <f t="shared" ca="1" si="86"/>
        <v>TERMINO</v>
      </c>
      <c r="AL417" s="313"/>
      <c r="AM417" s="176"/>
      <c r="AN417" s="875" t="str">
        <f>IFERROR(VLOOKUP(E417,'liquidaciones '!$B$2:$C$1048576,2,0),"NO")</f>
        <v>DEVUELTO</v>
      </c>
      <c r="AO417" s="983" t="str">
        <f>IFERROR(VLOOKUP(E417,'liquidaciones '!$B$2:$I$1048576,8,0),"")</f>
        <v>JULIETH ANGARITA</v>
      </c>
      <c r="AP417" s="342"/>
      <c r="AQ417" s="177" t="s">
        <v>390</v>
      </c>
      <c r="AR417" s="177"/>
      <c r="AS417" s="438"/>
      <c r="AT417" s="1015"/>
    </row>
    <row r="418" spans="3:46" ht="45" x14ac:dyDescent="0.25">
      <c r="C418" s="442">
        <v>218</v>
      </c>
      <c r="D418" s="442"/>
      <c r="E418" s="309" t="s">
        <v>2521</v>
      </c>
      <c r="F418" s="283" t="s">
        <v>2522</v>
      </c>
      <c r="G418" s="934">
        <v>900048718</v>
      </c>
      <c r="H418" s="945" t="s">
        <v>3045</v>
      </c>
      <c r="I418" s="940">
        <v>23000000</v>
      </c>
      <c r="J418" s="718" t="s">
        <v>2523</v>
      </c>
      <c r="K418" s="298">
        <v>2016</v>
      </c>
      <c r="L418" s="551">
        <v>42542</v>
      </c>
      <c r="M418" s="299">
        <v>42549</v>
      </c>
      <c r="N418" s="299">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12" t="s">
        <v>2524</v>
      </c>
      <c r="Y418" s="881">
        <f t="shared" si="82"/>
        <v>0.99336804347826091</v>
      </c>
      <c r="Z418" s="42">
        <f t="shared" ca="1" si="83"/>
        <v>1</v>
      </c>
      <c r="AA418" s="43">
        <f t="shared" ca="1" si="84"/>
        <v>6.6319565217390908E-3</v>
      </c>
      <c r="AB418" s="202" t="str">
        <f t="shared" ca="1" si="85"/>
        <v/>
      </c>
      <c r="AC418" s="44" t="str">
        <f t="shared" si="87"/>
        <v>NO</v>
      </c>
      <c r="AD418" s="765" t="s">
        <v>1720</v>
      </c>
      <c r="AE418" s="173" t="s">
        <v>1257</v>
      </c>
      <c r="AF418" s="284" t="s">
        <v>1287</v>
      </c>
      <c r="AG418" s="173"/>
      <c r="AH418" s="284"/>
      <c r="AI418" s="308" t="s">
        <v>1381</v>
      </c>
      <c r="AJ418" s="308" t="s">
        <v>600</v>
      </c>
      <c r="AK418" s="181" t="str">
        <f t="shared" ca="1" si="86"/>
        <v>TERMINO</v>
      </c>
      <c r="AL418" s="313" t="s">
        <v>574</v>
      </c>
      <c r="AM418" s="176" t="s">
        <v>390</v>
      </c>
      <c r="AN418" s="875" t="str">
        <f>IFERROR(VLOOKUP(E418,'liquidaciones '!$B$2:$C$1048576,2,0),"NO")</f>
        <v>LIQUIDADO</v>
      </c>
      <c r="AO418" s="983" t="str">
        <f>IFERROR(VLOOKUP(E418,'liquidaciones '!$B$2:$I$1048576,8,0),"")</f>
        <v>DORA PINILLA</v>
      </c>
      <c r="AP418" s="342"/>
      <c r="AQ418" s="177" t="s">
        <v>390</v>
      </c>
      <c r="AR418" s="177" t="s">
        <v>2612</v>
      </c>
      <c r="AS418" s="438"/>
      <c r="AT418" s="1015"/>
    </row>
    <row r="419" spans="3:46" ht="33.75" x14ac:dyDescent="0.25">
      <c r="C419" s="442">
        <v>146</v>
      </c>
      <c r="D419" s="442"/>
      <c r="E419" s="309" t="s">
        <v>2525</v>
      </c>
      <c r="F419" s="283" t="s">
        <v>1909</v>
      </c>
      <c r="G419" s="934">
        <v>860019063</v>
      </c>
      <c r="H419" s="945" t="s">
        <v>3046</v>
      </c>
      <c r="I419" s="940">
        <v>15000000</v>
      </c>
      <c r="J419" s="718" t="s">
        <v>2525</v>
      </c>
      <c r="K419" s="298">
        <v>2016</v>
      </c>
      <c r="L419" s="551">
        <v>42534</v>
      </c>
      <c r="M419" s="299">
        <v>42550</v>
      </c>
      <c r="N419" s="299">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12" t="s">
        <v>1912</v>
      </c>
      <c r="Y419" s="881">
        <f t="shared" si="82"/>
        <v>0.99849926666666666</v>
      </c>
      <c r="Z419" s="42">
        <f t="shared" ca="1" si="83"/>
        <v>1</v>
      </c>
      <c r="AA419" s="43">
        <f t="shared" ca="1" si="84"/>
        <v>1.5007333333333372E-3</v>
      </c>
      <c r="AB419" s="202" t="str">
        <f t="shared" ca="1" si="85"/>
        <v/>
      </c>
      <c r="AC419" s="44" t="str">
        <f t="shared" si="87"/>
        <v>NO</v>
      </c>
      <c r="AD419" s="765" t="s">
        <v>1713</v>
      </c>
      <c r="AE419" s="173" t="s">
        <v>1257</v>
      </c>
      <c r="AF419" s="173" t="s">
        <v>2526</v>
      </c>
      <c r="AG419" s="173" t="s">
        <v>1443</v>
      </c>
      <c r="AH419" s="284" t="s">
        <v>560</v>
      </c>
      <c r="AI419" s="174" t="s">
        <v>1320</v>
      </c>
      <c r="AJ419" s="308" t="s">
        <v>600</v>
      </c>
      <c r="AK419" s="181" t="str">
        <f t="shared" ca="1" si="86"/>
        <v>TERMINO</v>
      </c>
      <c r="AL419" s="313" t="s">
        <v>582</v>
      </c>
      <c r="AM419" s="176" t="s">
        <v>390</v>
      </c>
      <c r="AN419" s="875" t="str">
        <f>IFERROR(VLOOKUP(E419,'liquidaciones '!$B$2:$C$1048576,2,0),"NO")</f>
        <v>EN TRÁMITE</v>
      </c>
      <c r="AO419" s="983" t="str">
        <f>IFERROR(VLOOKUP(E419,'liquidaciones '!$B$2:$I$1048576,8,0),"")</f>
        <v>MANUEL ROJAS</v>
      </c>
      <c r="AP419" s="342"/>
      <c r="AQ419" s="177" t="s">
        <v>390</v>
      </c>
      <c r="AR419" s="177" t="s">
        <v>2609</v>
      </c>
      <c r="AS419" s="438"/>
      <c r="AT419" s="1015"/>
    </row>
    <row r="420" spans="3:46" ht="45" x14ac:dyDescent="0.25">
      <c r="C420" s="442">
        <v>231</v>
      </c>
      <c r="D420" s="442"/>
      <c r="E420" s="309" t="s">
        <v>2528</v>
      </c>
      <c r="F420" s="893" t="s">
        <v>41</v>
      </c>
      <c r="G420" s="934">
        <v>830034865</v>
      </c>
      <c r="H420" s="945" t="s">
        <v>3047</v>
      </c>
      <c r="I420" s="940">
        <v>53964000</v>
      </c>
      <c r="J420" s="718" t="s">
        <v>2554</v>
      </c>
      <c r="K420" s="298">
        <v>2016</v>
      </c>
      <c r="L420" s="551">
        <v>42543</v>
      </c>
      <c r="M420" s="299">
        <v>42556</v>
      </c>
      <c r="N420" s="299">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8" t="s">
        <v>2529</v>
      </c>
      <c r="Y420" s="881">
        <f t="shared" si="82"/>
        <v>0.95181509895485883</v>
      </c>
      <c r="Z420" s="42">
        <f t="shared" ca="1" si="83"/>
        <v>1</v>
      </c>
      <c r="AA420" s="43">
        <f t="shared" ca="1" si="84"/>
        <v>4.8184901045141171E-2</v>
      </c>
      <c r="AB420" s="202" t="str">
        <f t="shared" ca="1" si="85"/>
        <v/>
      </c>
      <c r="AC420" s="44" t="str">
        <f t="shared" si="87"/>
        <v>NO</v>
      </c>
      <c r="AD420" s="765" t="s">
        <v>1713</v>
      </c>
      <c r="AE420" s="173" t="s">
        <v>1257</v>
      </c>
      <c r="AF420" s="304" t="s">
        <v>1176</v>
      </c>
      <c r="AG420" s="173" t="s">
        <v>1436</v>
      </c>
      <c r="AH420" s="284" t="s">
        <v>560</v>
      </c>
      <c r="AI420" s="174" t="s">
        <v>1390</v>
      </c>
      <c r="AJ420" s="308" t="s">
        <v>600</v>
      </c>
      <c r="AK420" s="181" t="str">
        <f t="shared" ca="1" si="86"/>
        <v>TERMINO</v>
      </c>
      <c r="AL420" s="173" t="s">
        <v>577</v>
      </c>
      <c r="AM420" s="176" t="s">
        <v>390</v>
      </c>
      <c r="AN420" s="875" t="str">
        <f>IFERROR(VLOOKUP(E420,'liquidaciones '!$B$2:$C$1048576,2,0),"NO")</f>
        <v>NO</v>
      </c>
      <c r="AO420" s="983" t="str">
        <f>IFERROR(VLOOKUP(E420,'liquidaciones '!$B$2:$I$1048576,8,0),"")</f>
        <v>MANUEL ROJAS</v>
      </c>
      <c r="AP420" s="342"/>
      <c r="AQ420" s="177" t="s">
        <v>390</v>
      </c>
      <c r="AR420" s="177" t="s">
        <v>981</v>
      </c>
      <c r="AS420" s="438"/>
      <c r="AT420" s="1015"/>
    </row>
    <row r="421" spans="3:46" ht="45" x14ac:dyDescent="0.25">
      <c r="C421" s="442">
        <v>223</v>
      </c>
      <c r="D421" s="442" t="str">
        <f>K421&amp;C421</f>
        <v>2016223</v>
      </c>
      <c r="E421" s="883" t="s">
        <v>2530</v>
      </c>
      <c r="F421" s="882" t="s">
        <v>2531</v>
      </c>
      <c r="G421" s="934">
        <v>4831</v>
      </c>
      <c r="H421" s="945" t="s">
        <v>3048</v>
      </c>
      <c r="I421" s="941">
        <v>23707000</v>
      </c>
      <c r="J421" s="718" t="s">
        <v>2536</v>
      </c>
      <c r="K421" s="298">
        <v>2016</v>
      </c>
      <c r="L421" s="551">
        <v>42523</v>
      </c>
      <c r="M421" s="885">
        <v>42556</v>
      </c>
      <c r="N421" s="884">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12" t="s">
        <v>1644</v>
      </c>
      <c r="Y421" s="881">
        <f t="shared" si="82"/>
        <v>0.75480786265659927</v>
      </c>
      <c r="Z421" s="42">
        <f t="shared" ca="1" si="83"/>
        <v>1</v>
      </c>
      <c r="AA421" s="43">
        <f t="shared" ca="1" si="84"/>
        <v>0.24519213734340073</v>
      </c>
      <c r="AB421" s="202" t="str">
        <f t="shared" ca="1" si="85"/>
        <v/>
      </c>
      <c r="AC421" s="44" t="str">
        <f t="shared" si="87"/>
        <v>NO</v>
      </c>
      <c r="AD421" s="765" t="s">
        <v>1713</v>
      </c>
      <c r="AE421" s="173" t="s">
        <v>1257</v>
      </c>
      <c r="AF421" s="173" t="s">
        <v>1127</v>
      </c>
      <c r="AG421" s="173" t="s">
        <v>1443</v>
      </c>
      <c r="AH421" s="284" t="s">
        <v>560</v>
      </c>
      <c r="AI421" s="174" t="s">
        <v>1320</v>
      </c>
      <c r="AJ421" s="308" t="s">
        <v>600</v>
      </c>
      <c r="AK421" s="181" t="str">
        <f t="shared" ca="1" si="86"/>
        <v>TERMINO</v>
      </c>
      <c r="AL421" s="181" t="s">
        <v>576</v>
      </c>
      <c r="AM421" s="176" t="s">
        <v>390</v>
      </c>
      <c r="AN421" s="875" t="str">
        <f>IFERROR(VLOOKUP(E421,'liquidaciones '!$B$2:$C$1048576,2,0),"NO")</f>
        <v>NO</v>
      </c>
      <c r="AO421" s="983" t="str">
        <f>IFERROR(VLOOKUP(E421,'liquidaciones '!$B$2:$I$1048576,8,0),"")</f>
        <v/>
      </c>
      <c r="AP421" s="342"/>
      <c r="AQ421" s="177" t="s">
        <v>390</v>
      </c>
      <c r="AR421" s="177" t="s">
        <v>2982</v>
      </c>
      <c r="AS421" s="438"/>
      <c r="AT421" s="1015"/>
    </row>
    <row r="422" spans="3:46" ht="33.75" x14ac:dyDescent="0.25">
      <c r="C422" s="442">
        <v>84</v>
      </c>
      <c r="D422" s="442" t="str">
        <f>K422&amp;C422</f>
        <v>201684</v>
      </c>
      <c r="E422" s="766" t="s">
        <v>2532</v>
      </c>
      <c r="F422" s="882" t="s">
        <v>2047</v>
      </c>
      <c r="G422" s="934">
        <v>35493364</v>
      </c>
      <c r="H422" s="945" t="s">
        <v>2533</v>
      </c>
      <c r="I422" s="940">
        <v>38500000</v>
      </c>
      <c r="J422" s="718" t="s">
        <v>2532</v>
      </c>
      <c r="K422" s="298">
        <v>2016</v>
      </c>
      <c r="L422" s="551">
        <v>42550</v>
      </c>
      <c r="M422" s="885">
        <v>42556</v>
      </c>
      <c r="N422" s="885">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12" t="s">
        <v>2535</v>
      </c>
      <c r="Y422" s="881">
        <f t="shared" si="82"/>
        <v>1</v>
      </c>
      <c r="Z422" s="42">
        <f t="shared" ca="1" si="83"/>
        <v>1</v>
      </c>
      <c r="AA422" s="43">
        <f t="shared" ca="1" si="84"/>
        <v>0</v>
      </c>
      <c r="AB422" s="202" t="str">
        <f t="shared" ca="1" si="85"/>
        <v/>
      </c>
      <c r="AC422" s="44" t="str">
        <f t="shared" si="87"/>
        <v>SI</v>
      </c>
      <c r="AD422" s="765" t="s">
        <v>1714</v>
      </c>
      <c r="AE422" s="173" t="s">
        <v>1257</v>
      </c>
      <c r="AF422" s="173" t="s">
        <v>2534</v>
      </c>
      <c r="AG422" s="173"/>
      <c r="AH422" s="284" t="s">
        <v>560</v>
      </c>
      <c r="AI422" s="308"/>
      <c r="AJ422" s="308" t="s">
        <v>600</v>
      </c>
      <c r="AK422" s="181" t="str">
        <f t="shared" ca="1" si="86"/>
        <v>TERMINO</v>
      </c>
      <c r="AL422" s="181" t="s">
        <v>576</v>
      </c>
      <c r="AM422" s="176" t="s">
        <v>391</v>
      </c>
      <c r="AN422" s="875" t="str">
        <f>IFERROR(VLOOKUP(E422,'liquidaciones '!$B$2:$C$1048576,2,0),"NO")</f>
        <v>LIQUIDADO</v>
      </c>
      <c r="AO422" s="983" t="str">
        <f>IFERROR(VLOOKUP(E422,'liquidaciones '!$B$2:$I$1048576,8,0),"")</f>
        <v>JAVIER QUINTERO</v>
      </c>
      <c r="AP422" s="342"/>
      <c r="AQ422" s="177" t="s">
        <v>390</v>
      </c>
      <c r="AR422" s="177" t="s">
        <v>2609</v>
      </c>
      <c r="AS422" s="438"/>
      <c r="AT422" s="1015"/>
    </row>
    <row r="423" spans="3:46" ht="69.75" customHeight="1" x14ac:dyDescent="0.25">
      <c r="C423" s="442">
        <v>97</v>
      </c>
      <c r="D423" s="442"/>
      <c r="E423" s="766" t="s">
        <v>2537</v>
      </c>
      <c r="F423" s="893" t="s">
        <v>2538</v>
      </c>
      <c r="G423" s="934" t="s">
        <v>2539</v>
      </c>
      <c r="H423" s="945" t="s">
        <v>2540</v>
      </c>
      <c r="I423" s="940">
        <v>3712000</v>
      </c>
      <c r="J423" s="718" t="s">
        <v>2541</v>
      </c>
      <c r="K423" s="298">
        <v>2016</v>
      </c>
      <c r="L423" s="551">
        <v>42542</v>
      </c>
      <c r="M423" s="299">
        <v>42562</v>
      </c>
      <c r="N423" s="299">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8" t="s">
        <v>2545</v>
      </c>
      <c r="Y423" s="881">
        <f t="shared" si="82"/>
        <v>1</v>
      </c>
      <c r="Z423" s="42">
        <f t="shared" ca="1" si="83"/>
        <v>1</v>
      </c>
      <c r="AA423" s="43">
        <f t="shared" ca="1" si="84"/>
        <v>0</v>
      </c>
      <c r="AB423" s="202" t="str">
        <f t="shared" ca="1" si="85"/>
        <v/>
      </c>
      <c r="AC423" s="44" t="str">
        <f t="shared" si="87"/>
        <v>SI</v>
      </c>
      <c r="AD423" s="765" t="s">
        <v>1713</v>
      </c>
      <c r="AE423" s="173" t="s">
        <v>1257</v>
      </c>
      <c r="AF423" s="173" t="s">
        <v>2546</v>
      </c>
      <c r="AG423" s="886"/>
      <c r="AH423" s="284"/>
      <c r="AI423" s="308"/>
      <c r="AJ423" s="308" t="s">
        <v>600</v>
      </c>
      <c r="AK423" s="181" t="str">
        <f t="shared" ca="1" si="86"/>
        <v>TERMINO</v>
      </c>
      <c r="AL423" s="181" t="s">
        <v>576</v>
      </c>
      <c r="AM423" s="176" t="s">
        <v>391</v>
      </c>
      <c r="AN423" s="875" t="str">
        <f>IFERROR(VLOOKUP(E423,'liquidaciones '!$B$2:$C$1048576,2,0),"NO")</f>
        <v>LIQUIDADO</v>
      </c>
      <c r="AO423" s="983" t="str">
        <f>IFERROR(VLOOKUP(E423,'liquidaciones '!$B$2:$I$1048576,8,0),"")</f>
        <v>DORA PINILLA</v>
      </c>
      <c r="AP423" s="342"/>
      <c r="AQ423" s="177" t="s">
        <v>390</v>
      </c>
      <c r="AR423" s="177" t="s">
        <v>2613</v>
      </c>
      <c r="AS423" s="438"/>
      <c r="AT423" s="1015"/>
    </row>
    <row r="424" spans="3:46" ht="33.75" x14ac:dyDescent="0.25">
      <c r="C424" s="442"/>
      <c r="D424" s="442"/>
      <c r="E424" s="766" t="s">
        <v>2542</v>
      </c>
      <c r="F424" s="283" t="s">
        <v>2543</v>
      </c>
      <c r="G424" s="934">
        <v>53097050</v>
      </c>
      <c r="H424" s="945" t="s">
        <v>2544</v>
      </c>
      <c r="I424" s="940">
        <v>38500000</v>
      </c>
      <c r="J424" s="718" t="s">
        <v>2542</v>
      </c>
      <c r="K424" s="298">
        <v>2016</v>
      </c>
      <c r="L424" s="551">
        <v>42551</v>
      </c>
      <c r="M424" s="299">
        <v>42562</v>
      </c>
      <c r="N424" s="299">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12" t="s">
        <v>1095</v>
      </c>
      <c r="Y424" s="881">
        <f t="shared" si="82"/>
        <v>1</v>
      </c>
      <c r="Z424" s="42">
        <f t="shared" ca="1" si="83"/>
        <v>1</v>
      </c>
      <c r="AA424" s="43">
        <f t="shared" ca="1" si="84"/>
        <v>0</v>
      </c>
      <c r="AB424" s="202" t="str">
        <f t="shared" ca="1" si="85"/>
        <v/>
      </c>
      <c r="AC424" s="44" t="str">
        <f t="shared" si="87"/>
        <v>SI</v>
      </c>
      <c r="AD424" s="765" t="s">
        <v>1714</v>
      </c>
      <c r="AE424" s="173" t="s">
        <v>1257</v>
      </c>
      <c r="AF424" s="173" t="s">
        <v>2600</v>
      </c>
      <c r="AG424" s="173" t="s">
        <v>1178</v>
      </c>
      <c r="AH424" s="284" t="s">
        <v>559</v>
      </c>
      <c r="AI424" s="308"/>
      <c r="AJ424" s="308" t="s">
        <v>600</v>
      </c>
      <c r="AK424" s="181" t="str">
        <f t="shared" ca="1" si="86"/>
        <v>TERMINO</v>
      </c>
      <c r="AL424" s="313" t="s">
        <v>582</v>
      </c>
      <c r="AM424" s="176" t="s">
        <v>391</v>
      </c>
      <c r="AN424" s="875" t="str">
        <f>IFERROR(VLOOKUP(E424,'liquidaciones '!$B$2:$C$1048576,2,0),"NO")</f>
        <v>LIQUIDADO</v>
      </c>
      <c r="AO424" s="983" t="str">
        <f>IFERROR(VLOOKUP(E424,'liquidaciones '!$B$2:$I$1048576,8,0),"")</f>
        <v>JAVIER QUINTERO</v>
      </c>
      <c r="AP424" s="342"/>
      <c r="AQ424" s="177" t="s">
        <v>390</v>
      </c>
      <c r="AR424" s="177" t="s">
        <v>1511</v>
      </c>
      <c r="AS424" s="438"/>
      <c r="AT424" s="1015"/>
    </row>
    <row r="425" spans="3:46" ht="78.75" x14ac:dyDescent="0.25">
      <c r="C425" s="442">
        <v>198</v>
      </c>
      <c r="D425" s="442" t="str">
        <f>K425&amp;C425</f>
        <v>2016198</v>
      </c>
      <c r="E425" s="766" t="s">
        <v>2547</v>
      </c>
      <c r="F425" s="283" t="s">
        <v>2548</v>
      </c>
      <c r="G425" s="934">
        <v>900986082</v>
      </c>
      <c r="H425" s="945" t="s">
        <v>3049</v>
      </c>
      <c r="I425" s="940">
        <v>485820000</v>
      </c>
      <c r="J425" s="718" t="s">
        <v>2549</v>
      </c>
      <c r="K425" s="298">
        <v>2016</v>
      </c>
      <c r="L425" s="551">
        <v>42558</v>
      </c>
      <c r="M425" s="299">
        <v>42583</v>
      </c>
      <c r="N425" s="299">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81">
        <f t="shared" si="82"/>
        <v>0.9990340337514122</v>
      </c>
      <c r="Z425" s="42">
        <f t="shared" ca="1" si="83"/>
        <v>1</v>
      </c>
      <c r="AA425" s="43">
        <f t="shared" ca="1" si="84"/>
        <v>9.6596624858780178E-4</v>
      </c>
      <c r="AB425" s="202" t="str">
        <f t="shared" ca="1" si="85"/>
        <v/>
      </c>
      <c r="AC425" s="44" t="str">
        <f t="shared" si="87"/>
        <v>SI</v>
      </c>
      <c r="AD425" s="765" t="s">
        <v>1713</v>
      </c>
      <c r="AE425" s="173" t="s">
        <v>1257</v>
      </c>
      <c r="AF425" s="284" t="s">
        <v>1128</v>
      </c>
      <c r="AG425" s="173"/>
      <c r="AH425" s="284" t="s">
        <v>560</v>
      </c>
      <c r="AI425" s="308"/>
      <c r="AJ425" s="308" t="s">
        <v>600</v>
      </c>
      <c r="AK425" s="181" t="str">
        <f t="shared" ca="1" si="86"/>
        <v>TERMINO</v>
      </c>
      <c r="AL425" s="313" t="s">
        <v>575</v>
      </c>
      <c r="AM425" s="176" t="s">
        <v>390</v>
      </c>
      <c r="AN425" s="875" t="str">
        <f>IFERROR(VLOOKUP(E425,'liquidaciones '!$B$2:$C$1048576,2,0),"NO")</f>
        <v>NO</v>
      </c>
      <c r="AO425" s="983" t="str">
        <f>IFERROR(VLOOKUP(E425,'liquidaciones '!$B$2:$I$1048576,8,0),"")</f>
        <v>MANUEL ROJAS</v>
      </c>
      <c r="AP425" s="342"/>
      <c r="AQ425" s="177" t="s">
        <v>390</v>
      </c>
      <c r="AR425" s="438" t="s">
        <v>3074</v>
      </c>
      <c r="AS425" s="108"/>
      <c r="AT425" s="1015"/>
    </row>
    <row r="426" spans="3:46" ht="45" x14ac:dyDescent="0.25">
      <c r="C426" s="442">
        <v>124</v>
      </c>
      <c r="D426" s="442" t="str">
        <f>K426&amp;C426</f>
        <v>2016124</v>
      </c>
      <c r="E426" s="766" t="s">
        <v>2550</v>
      </c>
      <c r="F426" s="283" t="s">
        <v>2551</v>
      </c>
      <c r="G426" s="934">
        <v>80766038</v>
      </c>
      <c r="H426" s="945" t="s">
        <v>2552</v>
      </c>
      <c r="I426" s="940">
        <v>38500000</v>
      </c>
      <c r="J426" s="718" t="s">
        <v>2550</v>
      </c>
      <c r="K426" s="298">
        <v>2016</v>
      </c>
      <c r="L426" s="551">
        <v>42558</v>
      </c>
      <c r="M426" s="299">
        <v>42563</v>
      </c>
      <c r="N426" s="299">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12" t="s">
        <v>1095</v>
      </c>
      <c r="Y426" s="881">
        <f t="shared" si="82"/>
        <v>1</v>
      </c>
      <c r="Z426" s="42">
        <f t="shared" ca="1" si="83"/>
        <v>1</v>
      </c>
      <c r="AA426" s="43">
        <f t="shared" ca="1" si="84"/>
        <v>0</v>
      </c>
      <c r="AB426" s="202" t="str">
        <f t="shared" ca="1" si="85"/>
        <v/>
      </c>
      <c r="AC426" s="44" t="str">
        <f t="shared" si="87"/>
        <v>SI</v>
      </c>
      <c r="AD426" s="765" t="s">
        <v>1714</v>
      </c>
      <c r="AE426" s="173" t="s">
        <v>1258</v>
      </c>
      <c r="AF426" s="173" t="s">
        <v>2177</v>
      </c>
      <c r="AG426" s="173" t="s">
        <v>1178</v>
      </c>
      <c r="AH426" s="284" t="s">
        <v>559</v>
      </c>
      <c r="AI426" s="308"/>
      <c r="AJ426" s="308" t="s">
        <v>600</v>
      </c>
      <c r="AK426" s="181" t="str">
        <f t="shared" ca="1" si="86"/>
        <v>TERMINO</v>
      </c>
      <c r="AL426" s="181" t="s">
        <v>582</v>
      </c>
      <c r="AM426" s="176" t="s">
        <v>391</v>
      </c>
      <c r="AN426" s="875" t="str">
        <f>IFERROR(VLOOKUP(E426,'liquidaciones '!$B$2:$C$1048576,2,0),"NO")</f>
        <v>LIQUIDADO</v>
      </c>
      <c r="AO426" s="983" t="str">
        <f>IFERROR(VLOOKUP(E426,'liquidaciones '!$B$2:$I$1048576,8,0),"")</f>
        <v>JAVIER QUINTERO</v>
      </c>
      <c r="AP426" s="342"/>
      <c r="AQ426" s="177" t="s">
        <v>390</v>
      </c>
      <c r="AR426" s="177" t="s">
        <v>2609</v>
      </c>
      <c r="AS426" s="438"/>
      <c r="AT426" s="1015"/>
    </row>
    <row r="427" spans="3:46" ht="22.5" x14ac:dyDescent="0.25">
      <c r="C427" s="442">
        <v>87</v>
      </c>
      <c r="D427" s="442"/>
      <c r="E427" s="766" t="s">
        <v>2556</v>
      </c>
      <c r="F427" s="283" t="s">
        <v>2027</v>
      </c>
      <c r="G427" s="934">
        <v>800198591</v>
      </c>
      <c r="H427" s="945" t="s">
        <v>2557</v>
      </c>
      <c r="I427" s="940">
        <v>219700000</v>
      </c>
      <c r="J427" s="718" t="s">
        <v>2556</v>
      </c>
      <c r="K427" s="298">
        <v>2016</v>
      </c>
      <c r="L427" s="551">
        <v>42551</v>
      </c>
      <c r="M427" s="299">
        <v>42566</v>
      </c>
      <c r="N427" s="299">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12" t="s">
        <v>2211</v>
      </c>
      <c r="Y427" s="881">
        <f t="shared" si="82"/>
        <v>1</v>
      </c>
      <c r="Z427" s="42">
        <f t="shared" ca="1" si="83"/>
        <v>1</v>
      </c>
      <c r="AA427" s="43">
        <f t="shared" ca="1" si="84"/>
        <v>0</v>
      </c>
      <c r="AB427" s="202" t="str">
        <f t="shared" ca="1" si="85"/>
        <v/>
      </c>
      <c r="AC427" s="44" t="str">
        <f t="shared" si="87"/>
        <v>SI</v>
      </c>
      <c r="AD427" s="765" t="s">
        <v>1713</v>
      </c>
      <c r="AE427" s="173" t="s">
        <v>1258</v>
      </c>
      <c r="AF427" s="173" t="s">
        <v>1175</v>
      </c>
      <c r="AG427" s="173" t="s">
        <v>1440</v>
      </c>
      <c r="AH427" s="284" t="s">
        <v>560</v>
      </c>
      <c r="AI427" s="308" t="s">
        <v>1510</v>
      </c>
      <c r="AJ427" s="308" t="s">
        <v>600</v>
      </c>
      <c r="AK427" s="181" t="str">
        <f t="shared" ca="1" si="86"/>
        <v>TERMINO</v>
      </c>
      <c r="AL427" s="313" t="s">
        <v>582</v>
      </c>
      <c r="AM427" s="176" t="s">
        <v>390</v>
      </c>
      <c r="AN427" s="875" t="str">
        <f>IFERROR(VLOOKUP(E427,'liquidaciones '!$B$2:$C$1048576,2,0),"NO")</f>
        <v>NO</v>
      </c>
      <c r="AO427" s="983" t="str">
        <f>IFERROR(VLOOKUP(E427,'liquidaciones '!$B$2:$I$1048576,8,0),"")</f>
        <v/>
      </c>
      <c r="AP427" s="342"/>
      <c r="AQ427" s="177" t="s">
        <v>390</v>
      </c>
      <c r="AR427" s="177" t="s">
        <v>2924</v>
      </c>
      <c r="AS427" s="438"/>
      <c r="AT427" s="1015"/>
    </row>
    <row r="428" spans="3:46" ht="30" x14ac:dyDescent="0.25">
      <c r="C428" s="442">
        <v>133</v>
      </c>
      <c r="D428" s="442"/>
      <c r="E428" s="766" t="s">
        <v>2558</v>
      </c>
      <c r="F428" s="283" t="s">
        <v>2559</v>
      </c>
      <c r="G428" s="934">
        <v>805006014</v>
      </c>
      <c r="H428" s="945" t="s">
        <v>3050</v>
      </c>
      <c r="I428" s="940">
        <v>1769832</v>
      </c>
      <c r="J428" s="718" t="s">
        <v>2560</v>
      </c>
      <c r="K428" s="298">
        <v>2016</v>
      </c>
      <c r="L428" s="551">
        <v>42564</v>
      </c>
      <c r="M428" s="299">
        <v>42573</v>
      </c>
      <c r="N428" s="299">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12" t="s">
        <v>1548</v>
      </c>
      <c r="Y428" s="881">
        <f t="shared" si="82"/>
        <v>0.98203275791148537</v>
      </c>
      <c r="Z428" s="42">
        <f t="shared" ca="1" si="83"/>
        <v>1</v>
      </c>
      <c r="AA428" s="43">
        <f t="shared" ca="1" si="84"/>
        <v>1.7967242088514634E-2</v>
      </c>
      <c r="AB428" s="202" t="str">
        <f t="shared" ca="1" si="85"/>
        <v/>
      </c>
      <c r="AC428" s="44" t="str">
        <f t="shared" si="87"/>
        <v>NO</v>
      </c>
      <c r="AD428" s="765" t="s">
        <v>1717</v>
      </c>
      <c r="AE428" s="173" t="s">
        <v>1257</v>
      </c>
      <c r="AF428" s="173" t="s">
        <v>1134</v>
      </c>
      <c r="AG428" s="173" t="s">
        <v>1443</v>
      </c>
      <c r="AH428" s="284" t="s">
        <v>560</v>
      </c>
      <c r="AI428" s="308"/>
      <c r="AJ428" s="308" t="s">
        <v>600</v>
      </c>
      <c r="AK428" s="181" t="str">
        <f t="shared" ca="1" si="86"/>
        <v>TERMINO</v>
      </c>
      <c r="AL428" s="181" t="s">
        <v>576</v>
      </c>
      <c r="AM428" s="176" t="s">
        <v>390</v>
      </c>
      <c r="AN428" s="875" t="str">
        <f>IFERROR(VLOOKUP(E428,'liquidaciones '!$B$2:$C$1048576,2,0),"NO")</f>
        <v>EN TRÁMITE</v>
      </c>
      <c r="AO428" s="983" t="str">
        <f>IFERROR(VLOOKUP(E428,'liquidaciones '!$B$2:$I$1048576,8,0),"")</f>
        <v>MANUEL ROJAS</v>
      </c>
      <c r="AP428" s="342"/>
      <c r="AQ428" s="177" t="s">
        <v>390</v>
      </c>
      <c r="AR428" s="177" t="s">
        <v>2996</v>
      </c>
      <c r="AS428" s="1021"/>
      <c r="AT428" s="1015"/>
    </row>
    <row r="429" spans="3:46" ht="87" customHeight="1" x14ac:dyDescent="0.25">
      <c r="C429" s="442">
        <v>142</v>
      </c>
      <c r="D429" s="442" t="str">
        <f>K429&amp;C429</f>
        <v>2016142</v>
      </c>
      <c r="E429" s="766" t="s">
        <v>2561</v>
      </c>
      <c r="F429" s="283" t="s">
        <v>2562</v>
      </c>
      <c r="G429" s="934" t="s">
        <v>2563</v>
      </c>
      <c r="H429" s="945" t="s">
        <v>3051</v>
      </c>
      <c r="I429" s="940">
        <v>12650000</v>
      </c>
      <c r="J429" s="718" t="s">
        <v>2565</v>
      </c>
      <c r="K429" s="298">
        <v>2016</v>
      </c>
      <c r="L429" s="551">
        <v>42558</v>
      </c>
      <c r="M429" s="299">
        <v>42577</v>
      </c>
      <c r="N429" s="299">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13662000</v>
      </c>
      <c r="W429" s="93">
        <f t="shared" si="77"/>
        <v>1288000</v>
      </c>
      <c r="X429" s="889" t="s">
        <v>2566</v>
      </c>
      <c r="Y429" s="881">
        <f t="shared" si="82"/>
        <v>0.91384615384615386</v>
      </c>
      <c r="Z429" s="42">
        <f t="shared" ca="1" si="83"/>
        <v>1</v>
      </c>
      <c r="AA429" s="43">
        <f t="shared" ca="1" si="84"/>
        <v>8.6153846153846136E-2</v>
      </c>
      <c r="AB429" s="202" t="str">
        <f t="shared" ca="1" si="85"/>
        <v/>
      </c>
      <c r="AC429" s="44" t="str">
        <f t="shared" si="87"/>
        <v>NO</v>
      </c>
      <c r="AD429" s="765" t="s">
        <v>1720</v>
      </c>
      <c r="AE429" s="173" t="s">
        <v>1257</v>
      </c>
      <c r="AF429" s="284" t="s">
        <v>2564</v>
      </c>
      <c r="AG429" s="173"/>
      <c r="AH429" s="284"/>
      <c r="AI429" s="308" t="s">
        <v>1381</v>
      </c>
      <c r="AJ429" s="308" t="s">
        <v>600</v>
      </c>
      <c r="AK429" s="181" t="str">
        <f t="shared" ca="1" si="86"/>
        <v>TERMINO</v>
      </c>
      <c r="AL429" s="313" t="s">
        <v>574</v>
      </c>
      <c r="AM429" s="176" t="s">
        <v>390</v>
      </c>
      <c r="AN429" s="875" t="str">
        <f>IFERROR(VLOOKUP(E429,'liquidaciones '!$B$2:$C$1048576,2,0),"NO")</f>
        <v>NO</v>
      </c>
      <c r="AO429" s="983" t="str">
        <f>IFERROR(VLOOKUP(E429,'liquidaciones '!$B$2:$I$1048576,8,0),"")</f>
        <v/>
      </c>
      <c r="AP429" s="342"/>
      <c r="AQ429" s="177" t="s">
        <v>390</v>
      </c>
      <c r="AR429" s="438" t="s">
        <v>3539</v>
      </c>
      <c r="AS429" s="438"/>
      <c r="AT429" s="1015"/>
    </row>
    <row r="430" spans="3:46" ht="33.75" customHeight="1" x14ac:dyDescent="0.25">
      <c r="C430" s="442">
        <v>211</v>
      </c>
      <c r="D430" s="442" t="str">
        <f>K430&amp;C430</f>
        <v>2016211</v>
      </c>
      <c r="E430" s="766" t="s">
        <v>2567</v>
      </c>
      <c r="F430" s="283" t="s">
        <v>2568</v>
      </c>
      <c r="G430" s="934" t="s">
        <v>2569</v>
      </c>
      <c r="H430" s="945" t="s">
        <v>2570</v>
      </c>
      <c r="I430" s="940">
        <v>12928000</v>
      </c>
      <c r="J430" s="718" t="s">
        <v>2571</v>
      </c>
      <c r="K430" s="298">
        <v>2016</v>
      </c>
      <c r="L430" s="551">
        <v>42559</v>
      </c>
      <c r="M430" s="299">
        <v>42578</v>
      </c>
      <c r="N430" s="299">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5702500</v>
      </c>
      <c r="W430" s="93">
        <f t="shared" si="77"/>
        <v>7225500</v>
      </c>
      <c r="X430" s="318" t="s">
        <v>1188</v>
      </c>
      <c r="Y430" s="881">
        <f t="shared" si="82"/>
        <v>0.44109684405940597</v>
      </c>
      <c r="Z430" s="42">
        <f t="shared" ca="1" si="83"/>
        <v>1</v>
      </c>
      <c r="AA430" s="43">
        <f t="shared" ca="1" si="84"/>
        <v>0.55890315594059403</v>
      </c>
      <c r="AB430" s="202" t="str">
        <f t="shared" ca="1" si="85"/>
        <v/>
      </c>
      <c r="AC430" s="44" t="str">
        <f t="shared" si="87"/>
        <v>NO</v>
      </c>
      <c r="AD430" s="765"/>
      <c r="AE430" s="173" t="s">
        <v>1257</v>
      </c>
      <c r="AF430" s="284" t="s">
        <v>1137</v>
      </c>
      <c r="AG430" s="173" t="s">
        <v>1443</v>
      </c>
      <c r="AH430" s="284" t="s">
        <v>560</v>
      </c>
      <c r="AI430" s="174" t="s">
        <v>1381</v>
      </c>
      <c r="AJ430" s="308" t="s">
        <v>600</v>
      </c>
      <c r="AK430" s="181" t="str">
        <f t="shared" ca="1" si="86"/>
        <v>TERMINO</v>
      </c>
      <c r="AL430" s="181" t="s">
        <v>576</v>
      </c>
      <c r="AM430" s="176" t="s">
        <v>390</v>
      </c>
      <c r="AN430" s="875" t="str">
        <f>IFERROR(VLOOKUP(E430,'liquidaciones '!$B$2:$C$1048576,2,0),"NO")</f>
        <v>NO</v>
      </c>
      <c r="AO430" s="983" t="str">
        <f>IFERROR(VLOOKUP(E430,'liquidaciones '!$B$2:$I$1048576,8,0),"")</f>
        <v/>
      </c>
      <c r="AP430" s="342"/>
      <c r="AQ430" s="177" t="s">
        <v>390</v>
      </c>
      <c r="AR430" s="438"/>
      <c r="AS430" s="108"/>
      <c r="AT430" s="1015"/>
    </row>
    <row r="431" spans="3:46" ht="22.5" x14ac:dyDescent="0.25">
      <c r="C431" s="442">
        <v>151</v>
      </c>
      <c r="D431" s="442"/>
      <c r="E431" s="766" t="s">
        <v>2572</v>
      </c>
      <c r="F431" s="283" t="s">
        <v>144</v>
      </c>
      <c r="G431" s="934">
        <v>900450570</v>
      </c>
      <c r="H431" s="945" t="s">
        <v>2573</v>
      </c>
      <c r="I431" s="940">
        <v>230623200</v>
      </c>
      <c r="J431" s="718" t="s">
        <v>2572</v>
      </c>
      <c r="K431" s="298">
        <v>2016</v>
      </c>
      <c r="L431" s="551">
        <v>42577</v>
      </c>
      <c r="M431" s="299">
        <v>42583</v>
      </c>
      <c r="N431" s="299">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12" t="s">
        <v>1620</v>
      </c>
      <c r="Y431" s="881">
        <f t="shared" si="82"/>
        <v>1</v>
      </c>
      <c r="Z431" s="42">
        <f t="shared" ca="1" si="83"/>
        <v>1</v>
      </c>
      <c r="AA431" s="43">
        <f t="shared" ca="1" si="84"/>
        <v>0</v>
      </c>
      <c r="AB431" s="202" t="str">
        <f t="shared" ca="1" si="85"/>
        <v/>
      </c>
      <c r="AC431" s="44" t="str">
        <f t="shared" si="87"/>
        <v>SI</v>
      </c>
      <c r="AD431" s="765" t="s">
        <v>1723</v>
      </c>
      <c r="AE431" s="173" t="s">
        <v>1257</v>
      </c>
      <c r="AF431" s="173" t="s">
        <v>1147</v>
      </c>
      <c r="AG431" s="173" t="s">
        <v>1443</v>
      </c>
      <c r="AH431" s="284" t="s">
        <v>560</v>
      </c>
      <c r="AI431" s="174" t="s">
        <v>1320</v>
      </c>
      <c r="AJ431" s="308" t="s">
        <v>600</v>
      </c>
      <c r="AK431" s="181" t="str">
        <f t="shared" ca="1" si="86"/>
        <v>TERMINO</v>
      </c>
      <c r="AL431" s="313" t="s">
        <v>582</v>
      </c>
      <c r="AM431" s="176" t="s">
        <v>390</v>
      </c>
      <c r="AN431" s="875" t="str">
        <f>IFERROR(VLOOKUP(E431,'liquidaciones '!$B$2:$C$1048576,2,0),"NO")</f>
        <v>NO</v>
      </c>
      <c r="AO431" s="983" t="str">
        <f>IFERROR(VLOOKUP(E431,'liquidaciones '!$B$2:$I$1048576,8,0),"")</f>
        <v>MANUEL ROJAS</v>
      </c>
      <c r="AP431" s="342"/>
      <c r="AQ431" s="177" t="s">
        <v>390</v>
      </c>
      <c r="AR431" s="438" t="s">
        <v>3540</v>
      </c>
      <c r="AS431" s="438"/>
      <c r="AT431" s="1015"/>
    </row>
    <row r="432" spans="3:46" ht="66.75" customHeight="1" x14ac:dyDescent="0.25">
      <c r="C432" s="442">
        <v>130</v>
      </c>
      <c r="D432" s="442"/>
      <c r="E432" s="766" t="s">
        <v>2574</v>
      </c>
      <c r="F432" s="283" t="s">
        <v>203</v>
      </c>
      <c r="G432" s="934">
        <v>860049921</v>
      </c>
      <c r="H432" s="945" t="s">
        <v>2575</v>
      </c>
      <c r="I432" s="940">
        <v>9280000</v>
      </c>
      <c r="J432" s="718" t="s">
        <v>2576</v>
      </c>
      <c r="K432" s="298">
        <v>2016</v>
      </c>
      <c r="L432" s="551">
        <v>42559</v>
      </c>
      <c r="M432" s="299">
        <v>42580</v>
      </c>
      <c r="N432" s="299">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8" t="s">
        <v>2577</v>
      </c>
      <c r="Y432" s="881">
        <f t="shared" si="82"/>
        <v>1</v>
      </c>
      <c r="Z432" s="42">
        <f t="shared" ca="1" si="83"/>
        <v>1</v>
      </c>
      <c r="AA432" s="43">
        <f t="shared" ca="1" si="84"/>
        <v>0</v>
      </c>
      <c r="AB432" s="202" t="str">
        <f t="shared" ca="1" si="85"/>
        <v/>
      </c>
      <c r="AC432" s="44" t="str">
        <f t="shared" si="87"/>
        <v>SI</v>
      </c>
      <c r="AD432" s="765" t="s">
        <v>2578</v>
      </c>
      <c r="AE432" s="173" t="s">
        <v>1257</v>
      </c>
      <c r="AF432" s="284" t="s">
        <v>1977</v>
      </c>
      <c r="AG432" s="173"/>
      <c r="AH432" s="284" t="s">
        <v>563</v>
      </c>
      <c r="AI432" s="308" t="s">
        <v>1978</v>
      </c>
      <c r="AJ432" s="308" t="s">
        <v>600</v>
      </c>
      <c r="AK432" s="181" t="str">
        <f t="shared" ca="1" si="86"/>
        <v>TERMINO</v>
      </c>
      <c r="AL432" s="313" t="s">
        <v>582</v>
      </c>
      <c r="AM432" s="176" t="s">
        <v>390</v>
      </c>
      <c r="AN432" s="875" t="str">
        <f>IFERROR(VLOOKUP(E432,'liquidaciones '!$B$2:$C$1048576,2,0),"NO")</f>
        <v>LIQUIDADO</v>
      </c>
      <c r="AO432" s="983" t="str">
        <f>IFERROR(VLOOKUP(E432,'liquidaciones '!$B$2:$I$1048576,8,0),"")</f>
        <v>CLAUDIA VANEGAS</v>
      </c>
      <c r="AP432" s="342"/>
      <c r="AQ432" s="177" t="s">
        <v>390</v>
      </c>
      <c r="AR432" s="177" t="s">
        <v>2610</v>
      </c>
      <c r="AS432" s="1022"/>
      <c r="AT432" s="1015"/>
    </row>
    <row r="433" spans="3:46" ht="56.25" x14ac:dyDescent="0.25">
      <c r="C433" s="442">
        <v>221</v>
      </c>
      <c r="D433" s="442" t="str">
        <f t="shared" ref="D433:D449" si="88">K433&amp;C433</f>
        <v>2016221</v>
      </c>
      <c r="E433" s="766" t="s">
        <v>2579</v>
      </c>
      <c r="F433" s="283" t="s">
        <v>233</v>
      </c>
      <c r="G433" s="934">
        <v>860536079</v>
      </c>
      <c r="H433" s="945" t="s">
        <v>2580</v>
      </c>
      <c r="I433" s="940">
        <v>2605500</v>
      </c>
      <c r="J433" s="718" t="s">
        <v>2581</v>
      </c>
      <c r="K433" s="298">
        <v>2016</v>
      </c>
      <c r="L433" s="551">
        <v>42570</v>
      </c>
      <c r="M433" s="299">
        <v>42583</v>
      </c>
      <c r="N433" s="299">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7" t="s">
        <v>2582</v>
      </c>
      <c r="Y433" s="881">
        <f t="shared" si="82"/>
        <v>0.53771176357704853</v>
      </c>
      <c r="Z433" s="42">
        <f t="shared" ca="1" si="83"/>
        <v>1</v>
      </c>
      <c r="AA433" s="43">
        <f t="shared" ca="1" si="84"/>
        <v>0.46228823642295147</v>
      </c>
      <c r="AB433" s="202" t="str">
        <f t="shared" ca="1" si="85"/>
        <v/>
      </c>
      <c r="AC433" s="44" t="str">
        <f t="shared" si="87"/>
        <v>NO</v>
      </c>
      <c r="AD433" s="765" t="s">
        <v>1713</v>
      </c>
      <c r="AE433" s="173" t="s">
        <v>1257</v>
      </c>
      <c r="AF433" s="284" t="s">
        <v>1169</v>
      </c>
      <c r="AG433" s="173" t="s">
        <v>1443</v>
      </c>
      <c r="AH433" s="284" t="s">
        <v>560</v>
      </c>
      <c r="AI433" s="174" t="s">
        <v>1388</v>
      </c>
      <c r="AJ433" s="308" t="s">
        <v>600</v>
      </c>
      <c r="AK433" s="181" t="str">
        <f t="shared" ca="1" si="86"/>
        <v>TERMINO</v>
      </c>
      <c r="AL433" s="181" t="s">
        <v>576</v>
      </c>
      <c r="AM433" s="176" t="s">
        <v>390</v>
      </c>
      <c r="AN433" s="875" t="str">
        <f>IFERROR(VLOOKUP(E433,'liquidaciones '!$B$2:$C$1048576,2,0),"NO")</f>
        <v>EN TRÁMITE</v>
      </c>
      <c r="AO433" s="983" t="str">
        <f>IFERROR(VLOOKUP(E433,'liquidaciones '!$B$2:$I$1048576,8,0),"")</f>
        <v>MANUEL ROJAS</v>
      </c>
      <c r="AP433" s="342"/>
      <c r="AQ433" s="177" t="s">
        <v>390</v>
      </c>
      <c r="AR433" s="177" t="s">
        <v>2612</v>
      </c>
      <c r="AS433" s="438"/>
      <c r="AT433" s="1015"/>
    </row>
    <row r="434" spans="3:46" ht="45" x14ac:dyDescent="0.25">
      <c r="C434" s="442">
        <v>147</v>
      </c>
      <c r="D434" s="442" t="str">
        <f t="shared" si="88"/>
        <v>2016147</v>
      </c>
      <c r="E434" s="766" t="s">
        <v>2583</v>
      </c>
      <c r="F434" s="283" t="s">
        <v>1997</v>
      </c>
      <c r="G434" s="934">
        <v>860053195</v>
      </c>
      <c r="H434" s="945" t="s">
        <v>2584</v>
      </c>
      <c r="I434" s="940">
        <v>53583000</v>
      </c>
      <c r="J434" s="718" t="s">
        <v>2585</v>
      </c>
      <c r="K434" s="298">
        <v>2016</v>
      </c>
      <c r="L434" s="551">
        <v>42556</v>
      </c>
      <c r="M434" s="299">
        <v>42579</v>
      </c>
      <c r="N434" s="299">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12" t="s">
        <v>1970</v>
      </c>
      <c r="Y434" s="881">
        <f t="shared" si="82"/>
        <v>0.98283349196573544</v>
      </c>
      <c r="Z434" s="42">
        <f t="shared" ca="1" si="83"/>
        <v>1</v>
      </c>
      <c r="AA434" s="43">
        <f t="shared" ca="1" si="84"/>
        <v>1.716650803426456E-2</v>
      </c>
      <c r="AB434" s="202" t="str">
        <f t="shared" ca="1" si="85"/>
        <v/>
      </c>
      <c r="AC434" s="44" t="str">
        <f t="shared" ref="AC434:AC465" si="89">IF(Y434&lt;=99.9%,"NO","SI")</f>
        <v>NO</v>
      </c>
      <c r="AD434" s="765" t="s">
        <v>1716</v>
      </c>
      <c r="AE434" s="173" t="s">
        <v>1257</v>
      </c>
      <c r="AF434" s="284" t="s">
        <v>1136</v>
      </c>
      <c r="AG434" s="173"/>
      <c r="AH434" s="284" t="s">
        <v>562</v>
      </c>
      <c r="AI434" s="308" t="s">
        <v>1385</v>
      </c>
      <c r="AJ434" s="308" t="s">
        <v>600</v>
      </c>
      <c r="AK434" s="181" t="str">
        <f t="shared" ca="1" si="86"/>
        <v>TERMINO</v>
      </c>
      <c r="AL434" s="181" t="s">
        <v>576</v>
      </c>
      <c r="AM434" s="176" t="s">
        <v>390</v>
      </c>
      <c r="AN434" s="875" t="str">
        <f>IFERROR(VLOOKUP(E434,'liquidaciones '!$B$2:$C$1048576,2,0),"NO")</f>
        <v>DEVUELTO</v>
      </c>
      <c r="AO434" s="983" t="str">
        <f>IFERROR(VLOOKUP(E434,'liquidaciones '!$B$2:$I$1048576,8,0),"")</f>
        <v>MANUEL ROJAS</v>
      </c>
      <c r="AP434" s="342"/>
      <c r="AQ434" s="177" t="s">
        <v>390</v>
      </c>
      <c r="AR434" s="177" t="s">
        <v>2609</v>
      </c>
      <c r="AS434" s="1021"/>
      <c r="AT434" s="1015"/>
    </row>
    <row r="435" spans="3:46" ht="78.75" x14ac:dyDescent="0.25">
      <c r="C435" s="442">
        <v>218</v>
      </c>
      <c r="D435" s="442" t="str">
        <f t="shared" si="88"/>
        <v>2016218</v>
      </c>
      <c r="E435" s="766" t="s">
        <v>2586</v>
      </c>
      <c r="F435" s="882" t="s">
        <v>2587</v>
      </c>
      <c r="G435" s="934">
        <v>900987382</v>
      </c>
      <c r="H435" s="945" t="s">
        <v>3052</v>
      </c>
      <c r="I435" s="940">
        <v>221382000</v>
      </c>
      <c r="J435" s="718" t="s">
        <v>2589</v>
      </c>
      <c r="K435" s="298">
        <v>2016</v>
      </c>
      <c r="L435" s="551">
        <v>42564</v>
      </c>
      <c r="M435" s="885">
        <v>42587</v>
      </c>
      <c r="N435" s="885">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4">
        <f t="shared" si="80"/>
        <v>42952</v>
      </c>
      <c r="U435" s="62">
        <f t="shared" si="81"/>
        <v>241382000</v>
      </c>
      <c r="V435" s="172">
        <f>VLOOKUP(E435,Modificaciones!$B$7:$AU$435,46,0)</f>
        <v>232662768</v>
      </c>
      <c r="W435" s="93">
        <f t="shared" si="77"/>
        <v>8719232</v>
      </c>
      <c r="X435" s="93" t="s">
        <v>2588</v>
      </c>
      <c r="Y435" s="881">
        <f t="shared" si="82"/>
        <v>0.96387786993230651</v>
      </c>
      <c r="Z435" s="42">
        <f t="shared" ca="1" si="83"/>
        <v>1</v>
      </c>
      <c r="AA435" s="43">
        <f t="shared" ca="1" si="84"/>
        <v>3.6122130067693492E-2</v>
      </c>
      <c r="AB435" s="202" t="str">
        <f t="shared" ca="1" si="85"/>
        <v/>
      </c>
      <c r="AC435" s="44" t="str">
        <f t="shared" si="89"/>
        <v>NO</v>
      </c>
      <c r="AD435" s="765" t="s">
        <v>1720</v>
      </c>
      <c r="AE435" s="173" t="s">
        <v>1257</v>
      </c>
      <c r="AF435" s="284" t="s">
        <v>2564</v>
      </c>
      <c r="AG435" s="173"/>
      <c r="AH435" s="284"/>
      <c r="AI435" s="308" t="s">
        <v>1381</v>
      </c>
      <c r="AJ435" s="308" t="s">
        <v>600</v>
      </c>
      <c r="AK435" s="181" t="str">
        <f t="shared" ca="1" si="86"/>
        <v>TERMINO</v>
      </c>
      <c r="AL435" s="313" t="s">
        <v>574</v>
      </c>
      <c r="AM435" s="176" t="s">
        <v>390</v>
      </c>
      <c r="AN435" s="875" t="str">
        <f>IFERROR(VLOOKUP(E435,'liquidaciones '!$B$2:$C$1048576,2,0),"NO")</f>
        <v>EN TRÁMITE</v>
      </c>
      <c r="AO435" s="983">
        <f>IFERROR(VLOOKUP(E435,'liquidaciones '!$B$2:$I$1048576,8,0),"")</f>
        <v>0</v>
      </c>
      <c r="AP435" s="342"/>
      <c r="AQ435" s="177" t="s">
        <v>390</v>
      </c>
      <c r="AR435" s="438" t="s">
        <v>3537</v>
      </c>
      <c r="AS435" s="438"/>
      <c r="AT435" s="1015"/>
    </row>
    <row r="436" spans="3:46" ht="62.25" customHeight="1" x14ac:dyDescent="0.25">
      <c r="C436" s="442">
        <v>214</v>
      </c>
      <c r="D436" s="442" t="str">
        <f t="shared" si="88"/>
        <v>2016214</v>
      </c>
      <c r="E436" s="883" t="s">
        <v>2590</v>
      </c>
      <c r="F436" s="882" t="s">
        <v>38</v>
      </c>
      <c r="G436" s="934">
        <v>830053669</v>
      </c>
      <c r="H436" s="945" t="s">
        <v>2591</v>
      </c>
      <c r="I436" s="940">
        <v>26540000</v>
      </c>
      <c r="J436" s="718" t="s">
        <v>2598</v>
      </c>
      <c r="K436" s="298">
        <v>2016</v>
      </c>
      <c r="L436" s="551">
        <v>42580</v>
      </c>
      <c r="M436" s="885">
        <v>42583</v>
      </c>
      <c r="N436" s="885">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4">
        <f t="shared" si="80"/>
        <v>43040</v>
      </c>
      <c r="U436" s="62">
        <f t="shared" si="81"/>
        <v>35640000</v>
      </c>
      <c r="V436" s="172">
        <f>VLOOKUP(E436,Modificaciones!$B$7:$AU$436,46,0)</f>
        <v>34624047</v>
      </c>
      <c r="W436" s="93">
        <f t="shared" si="77"/>
        <v>1015953</v>
      </c>
      <c r="X436" s="312" t="s">
        <v>1966</v>
      </c>
      <c r="Y436" s="881">
        <f t="shared" si="82"/>
        <v>0.97149402356902359</v>
      </c>
      <c r="Z436" s="42">
        <f t="shared" ca="1" si="83"/>
        <v>1</v>
      </c>
      <c r="AA436" s="43">
        <f t="shared" ca="1" si="84"/>
        <v>2.850597643097641E-2</v>
      </c>
      <c r="AB436" s="202" t="str">
        <f t="shared" ca="1" si="85"/>
        <v/>
      </c>
      <c r="AC436" s="44" t="str">
        <f t="shared" si="89"/>
        <v>NO</v>
      </c>
      <c r="AD436" s="765" t="s">
        <v>1713</v>
      </c>
      <c r="AE436" s="173" t="s">
        <v>1257</v>
      </c>
      <c r="AF436" s="284" t="s">
        <v>1141</v>
      </c>
      <c r="AG436" s="173" t="s">
        <v>1443</v>
      </c>
      <c r="AH436" s="284" t="s">
        <v>560</v>
      </c>
      <c r="AI436" s="174" t="s">
        <v>1380</v>
      </c>
      <c r="AJ436" s="308" t="s">
        <v>600</v>
      </c>
      <c r="AK436" s="181" t="str">
        <f t="shared" ca="1" si="86"/>
        <v>TERMINO</v>
      </c>
      <c r="AL436" s="313" t="s">
        <v>575</v>
      </c>
      <c r="AM436" s="176" t="s">
        <v>390</v>
      </c>
      <c r="AN436" s="875" t="str">
        <f>IFERROR(VLOOKUP(E436,'liquidaciones '!$B$2:$C$1048576,2,0),"NO")</f>
        <v>NO</v>
      </c>
      <c r="AO436" s="983" t="str">
        <f>IFERROR(VLOOKUP(E436,'liquidaciones '!$B$2:$I$1048576,8,0),"")</f>
        <v/>
      </c>
      <c r="AP436" s="342"/>
      <c r="AQ436" s="177" t="s">
        <v>390</v>
      </c>
      <c r="AR436" s="438" t="s">
        <v>3074</v>
      </c>
      <c r="AS436" s="438"/>
      <c r="AT436" s="1015"/>
    </row>
    <row r="437" spans="3:46" ht="50.25" customHeight="1" x14ac:dyDescent="0.25">
      <c r="C437" s="442">
        <v>230</v>
      </c>
      <c r="D437" s="442" t="str">
        <f t="shared" si="88"/>
        <v>2016230</v>
      </c>
      <c r="E437" s="883" t="s">
        <v>3421</v>
      </c>
      <c r="F437" s="882" t="s">
        <v>2221</v>
      </c>
      <c r="G437" s="934">
        <v>890900267</v>
      </c>
      <c r="H437" s="945" t="s">
        <v>2223</v>
      </c>
      <c r="I437" s="940">
        <v>6180000</v>
      </c>
      <c r="J437" s="718" t="s">
        <v>2592</v>
      </c>
      <c r="K437" s="298">
        <v>2016</v>
      </c>
      <c r="L437" s="551">
        <v>42570</v>
      </c>
      <c r="M437" s="885">
        <v>42590</v>
      </c>
      <c r="N437" s="885">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4">
        <f t="shared" si="80"/>
        <v>42682</v>
      </c>
      <c r="U437" s="62">
        <f t="shared" si="81"/>
        <v>6180000</v>
      </c>
      <c r="V437" s="172">
        <f>VLOOKUP(E437,Modificaciones!$B$7:$AU$437,46,0)</f>
        <v>4195395</v>
      </c>
      <c r="W437" s="93">
        <f t="shared" si="77"/>
        <v>1984605</v>
      </c>
      <c r="X437" s="312" t="s">
        <v>2224</v>
      </c>
      <c r="Y437" s="881">
        <f t="shared" si="82"/>
        <v>0.67886650485436895</v>
      </c>
      <c r="Z437" s="42">
        <f t="shared" ca="1" si="83"/>
        <v>1</v>
      </c>
      <c r="AA437" s="43">
        <f t="shared" ca="1" si="84"/>
        <v>0.32113349514563105</v>
      </c>
      <c r="AB437" s="202" t="str">
        <f t="shared" ca="1" si="85"/>
        <v/>
      </c>
      <c r="AC437" s="44" t="str">
        <f t="shared" si="89"/>
        <v>NO</v>
      </c>
      <c r="AD437" s="765" t="s">
        <v>1715</v>
      </c>
      <c r="AE437" s="173" t="s">
        <v>1257</v>
      </c>
      <c r="AF437" s="284" t="s">
        <v>1303</v>
      </c>
      <c r="AG437" s="173" t="s">
        <v>1436</v>
      </c>
      <c r="AH437" s="284" t="s">
        <v>560</v>
      </c>
      <c r="AI437" s="308" t="s">
        <v>1390</v>
      </c>
      <c r="AJ437" s="308" t="s">
        <v>600</v>
      </c>
      <c r="AK437" s="181" t="str">
        <f t="shared" ca="1" si="86"/>
        <v>TERMINO</v>
      </c>
      <c r="AL437" s="313" t="s">
        <v>576</v>
      </c>
      <c r="AM437" s="176" t="s">
        <v>391</v>
      </c>
      <c r="AN437" s="875" t="str">
        <f>IFERROR(VLOOKUP(E437,'liquidaciones '!$B$2:$C$1048576,2,0),"NO")</f>
        <v>EN TRÁMITE</v>
      </c>
      <c r="AO437" s="983" t="str">
        <f>IFERROR(VLOOKUP(E437,'liquidaciones '!$B$2:$I$1048576,8,0),"")</f>
        <v>JULIETH ANGARITA</v>
      </c>
      <c r="AP437" s="342"/>
      <c r="AQ437" s="177" t="s">
        <v>390</v>
      </c>
      <c r="AR437" s="177" t="s">
        <v>2610</v>
      </c>
      <c r="AS437" s="1022"/>
      <c r="AT437" s="1015"/>
    </row>
    <row r="438" spans="3:46" ht="56.25" x14ac:dyDescent="0.25">
      <c r="C438" s="442">
        <v>224</v>
      </c>
      <c r="D438" s="442" t="str">
        <f t="shared" si="88"/>
        <v>2016224</v>
      </c>
      <c r="E438" s="883" t="s">
        <v>2593</v>
      </c>
      <c r="F438" s="882" t="s">
        <v>2594</v>
      </c>
      <c r="G438" s="934" t="s">
        <v>2595</v>
      </c>
      <c r="H438" s="945" t="s">
        <v>3053</v>
      </c>
      <c r="I438" s="940">
        <v>4429000</v>
      </c>
      <c r="J438" s="718" t="s">
        <v>2599</v>
      </c>
      <c r="K438" s="298">
        <v>2016</v>
      </c>
      <c r="L438" s="551">
        <v>42578</v>
      </c>
      <c r="M438" s="885">
        <v>42608</v>
      </c>
      <c r="N438" s="885">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4">
        <f t="shared" si="80"/>
        <v>42700</v>
      </c>
      <c r="U438" s="62">
        <f t="shared" si="81"/>
        <v>4429000</v>
      </c>
      <c r="V438" s="172">
        <f>VLOOKUP(E438,Modificaciones!$B$7:$AU$438,46,0)</f>
        <v>2661244</v>
      </c>
      <c r="W438" s="93">
        <f t="shared" si="77"/>
        <v>1767756</v>
      </c>
      <c r="X438" s="312" t="s">
        <v>2596</v>
      </c>
      <c r="Y438" s="881">
        <f t="shared" si="82"/>
        <v>0.60086791600812828</v>
      </c>
      <c r="Z438" s="42">
        <f t="shared" ca="1" si="83"/>
        <v>1</v>
      </c>
      <c r="AA438" s="43">
        <f t="shared" ca="1" si="84"/>
        <v>0.39913208399187172</v>
      </c>
      <c r="AB438" s="202" t="str">
        <f t="shared" ca="1" si="85"/>
        <v/>
      </c>
      <c r="AC438" s="44" t="str">
        <f t="shared" si="89"/>
        <v>NO</v>
      </c>
      <c r="AD438" s="765" t="s">
        <v>1713</v>
      </c>
      <c r="AE438" s="173" t="s">
        <v>1257</v>
      </c>
      <c r="AF438" s="173" t="s">
        <v>1301</v>
      </c>
      <c r="AG438" s="173" t="s">
        <v>1443</v>
      </c>
      <c r="AH438" s="284" t="s">
        <v>560</v>
      </c>
      <c r="AI438" s="174" t="s">
        <v>1381</v>
      </c>
      <c r="AJ438" s="308" t="s">
        <v>600</v>
      </c>
      <c r="AK438" s="181" t="str">
        <f t="shared" ca="1" si="86"/>
        <v>TERMINO</v>
      </c>
      <c r="AL438" s="313" t="s">
        <v>576</v>
      </c>
      <c r="AM438" s="176" t="s">
        <v>390</v>
      </c>
      <c r="AN438" s="875" t="str">
        <f>IFERROR(VLOOKUP(E438,'liquidaciones '!$B$2:$C$1048576,2,0),"NO")</f>
        <v>DEVUELTO</v>
      </c>
      <c r="AO438" s="983" t="str">
        <f>IFERROR(VLOOKUP(E438,'liquidaciones '!$B$2:$I$1048576,8,0),"")</f>
        <v>JULIETH ANGARITA</v>
      </c>
      <c r="AP438" s="342"/>
      <c r="AQ438" s="177" t="s">
        <v>390</v>
      </c>
      <c r="AR438" s="177" t="s">
        <v>2609</v>
      </c>
      <c r="AS438" s="438"/>
      <c r="AT438" s="1015"/>
    </row>
    <row r="439" spans="3:46" ht="30" x14ac:dyDescent="0.25">
      <c r="C439" s="443">
        <v>229</v>
      </c>
      <c r="D439" s="442" t="str">
        <f t="shared" si="88"/>
        <v>2016229</v>
      </c>
      <c r="E439" s="883" t="s">
        <v>2601</v>
      </c>
      <c r="F439" s="882" t="s">
        <v>2602</v>
      </c>
      <c r="G439" s="934" t="s">
        <v>2603</v>
      </c>
      <c r="H439" s="945" t="s">
        <v>3054</v>
      </c>
      <c r="I439" s="940">
        <v>20806000</v>
      </c>
      <c r="J439" s="718" t="s">
        <v>2604</v>
      </c>
      <c r="K439" s="298">
        <v>2016</v>
      </c>
      <c r="L439" s="551">
        <v>42585</v>
      </c>
      <c r="M439" s="885">
        <v>42598</v>
      </c>
      <c r="N439" s="885">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4">
        <f t="shared" si="80"/>
        <v>42720</v>
      </c>
      <c r="U439" s="62">
        <f t="shared" si="81"/>
        <v>20806000</v>
      </c>
      <c r="V439" s="172">
        <f>VLOOKUP(E439,Modificaciones!$B$7:$AU$439,46,0)</f>
        <v>17478705</v>
      </c>
      <c r="W439" s="93">
        <f t="shared" si="77"/>
        <v>3327295</v>
      </c>
      <c r="X439" s="312" t="s">
        <v>2201</v>
      </c>
      <c r="Y439" s="881">
        <f t="shared" si="82"/>
        <v>0.84008002499279055</v>
      </c>
      <c r="Z439" s="42">
        <f t="shared" ca="1" si="83"/>
        <v>1</v>
      </c>
      <c r="AA439" s="43">
        <f t="shared" ca="1" si="84"/>
        <v>0.15991997500720945</v>
      </c>
      <c r="AB439" s="202" t="str">
        <f t="shared" ca="1" si="85"/>
        <v/>
      </c>
      <c r="AC439" s="44" t="str">
        <f t="shared" si="89"/>
        <v>NO</v>
      </c>
      <c r="AD439" s="765" t="s">
        <v>1715</v>
      </c>
      <c r="AE439" s="173" t="s">
        <v>1257</v>
      </c>
      <c r="AF439" s="284" t="s">
        <v>1305</v>
      </c>
      <c r="AG439" s="173" t="s">
        <v>1436</v>
      </c>
      <c r="AH439" s="284" t="s">
        <v>560</v>
      </c>
      <c r="AI439" s="308" t="s">
        <v>1389</v>
      </c>
      <c r="AJ439" s="308" t="s">
        <v>600</v>
      </c>
      <c r="AK439" s="181" t="str">
        <f t="shared" ca="1" si="86"/>
        <v>TERMINO</v>
      </c>
      <c r="AL439" s="313" t="s">
        <v>576</v>
      </c>
      <c r="AM439" s="176" t="s">
        <v>390</v>
      </c>
      <c r="AN439" s="875" t="str">
        <f>IFERROR(VLOOKUP(E439,'liquidaciones '!$B$2:$C$1048576,2,0),"NO")</f>
        <v>EN TRÁMITE</v>
      </c>
      <c r="AO439" s="983" t="str">
        <f>IFERROR(VLOOKUP(E439,'liquidaciones '!$B$2:$I$1048576,8,0),"")</f>
        <v>MANUEL ROJAS</v>
      </c>
      <c r="AP439" s="342"/>
      <c r="AQ439" s="177" t="s">
        <v>390</v>
      </c>
      <c r="AR439" s="177" t="s">
        <v>2611</v>
      </c>
      <c r="AS439" s="438"/>
      <c r="AT439" s="1015"/>
    </row>
    <row r="440" spans="3:46" ht="33.75" x14ac:dyDescent="0.25">
      <c r="C440" s="442">
        <v>220</v>
      </c>
      <c r="D440" s="442" t="str">
        <f t="shared" si="88"/>
        <v>2016220</v>
      </c>
      <c r="E440" s="883" t="s">
        <v>2605</v>
      </c>
      <c r="F440" s="882" t="s">
        <v>2606</v>
      </c>
      <c r="G440" s="934" t="s">
        <v>2607</v>
      </c>
      <c r="H440" s="945" t="s">
        <v>3055</v>
      </c>
      <c r="I440" s="940">
        <v>6973000</v>
      </c>
      <c r="J440" s="718" t="s">
        <v>2608</v>
      </c>
      <c r="K440" s="298">
        <v>2016</v>
      </c>
      <c r="L440" s="551">
        <v>42587</v>
      </c>
      <c r="M440" s="885">
        <v>42598</v>
      </c>
      <c r="N440" s="885">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4">
        <f t="shared" si="80"/>
        <v>42932</v>
      </c>
      <c r="U440" s="62">
        <f t="shared" si="81"/>
        <v>6973000</v>
      </c>
      <c r="V440" s="172">
        <f>VLOOKUP(E440,Modificaciones!$B$7:$AU$440,46,0)</f>
        <v>6973000</v>
      </c>
      <c r="W440" s="93">
        <f t="shared" si="77"/>
        <v>0</v>
      </c>
      <c r="X440" s="312" t="s">
        <v>1635</v>
      </c>
      <c r="Y440" s="881">
        <f t="shared" si="82"/>
        <v>1</v>
      </c>
      <c r="Z440" s="42">
        <f t="shared" ca="1" si="83"/>
        <v>1</v>
      </c>
      <c r="AA440" s="43">
        <f t="shared" ca="1" si="84"/>
        <v>0</v>
      </c>
      <c r="AB440" s="202" t="str">
        <f t="shared" ca="1" si="85"/>
        <v/>
      </c>
      <c r="AC440" s="44" t="str">
        <f t="shared" si="89"/>
        <v>SI</v>
      </c>
      <c r="AD440" s="765" t="s">
        <v>1713</v>
      </c>
      <c r="AE440" s="173" t="s">
        <v>1257</v>
      </c>
      <c r="AF440" s="284" t="s">
        <v>1512</v>
      </c>
      <c r="AG440" s="173" t="s">
        <v>1443</v>
      </c>
      <c r="AH440" s="284" t="s">
        <v>560</v>
      </c>
      <c r="AI440" s="308" t="s">
        <v>1381</v>
      </c>
      <c r="AJ440" s="308" t="s">
        <v>600</v>
      </c>
      <c r="AK440" s="181" t="str">
        <f t="shared" ca="1" si="86"/>
        <v>TERMINO</v>
      </c>
      <c r="AL440" s="313" t="s">
        <v>576</v>
      </c>
      <c r="AM440" s="176" t="s">
        <v>390</v>
      </c>
      <c r="AN440" s="875" t="str">
        <f>IFERROR(VLOOKUP(E440,'liquidaciones '!$B$2:$C$1048576,2,0),"NO")</f>
        <v>NO</v>
      </c>
      <c r="AO440" s="983" t="str">
        <f>IFERROR(VLOOKUP(E440,'liquidaciones '!$B$2:$I$1048576,8,0),"")</f>
        <v/>
      </c>
      <c r="AP440" s="342"/>
      <c r="AQ440" s="177" t="s">
        <v>390</v>
      </c>
      <c r="AR440" s="177" t="s">
        <v>981</v>
      </c>
      <c r="AS440" s="438"/>
      <c r="AT440" s="1015"/>
    </row>
    <row r="441" spans="3:46" ht="101.25" customHeight="1" x14ac:dyDescent="0.25">
      <c r="C441" s="443">
        <v>134</v>
      </c>
      <c r="D441" s="442" t="str">
        <f t="shared" si="88"/>
        <v>2016134</v>
      </c>
      <c r="E441" s="883" t="s">
        <v>2614</v>
      </c>
      <c r="F441" s="882" t="s">
        <v>90</v>
      </c>
      <c r="G441" s="934" t="s">
        <v>2615</v>
      </c>
      <c r="H441" s="945" t="s">
        <v>3056</v>
      </c>
      <c r="I441" s="940">
        <v>1132400</v>
      </c>
      <c r="J441" s="718" t="s">
        <v>2616</v>
      </c>
      <c r="K441" s="298">
        <v>2016</v>
      </c>
      <c r="L441" s="551">
        <v>42591</v>
      </c>
      <c r="M441" s="885">
        <v>42604</v>
      </c>
      <c r="N441" s="885">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4">
        <f t="shared" si="80"/>
        <v>42969</v>
      </c>
      <c r="U441" s="62">
        <f t="shared" si="81"/>
        <v>1132400</v>
      </c>
      <c r="V441" s="172">
        <f>VLOOKUP(E441,Modificaciones!$B$7:$AU$441,46,0)</f>
        <v>1132400</v>
      </c>
      <c r="W441" s="93">
        <f t="shared" si="77"/>
        <v>0</v>
      </c>
      <c r="X441" s="318" t="s">
        <v>1232</v>
      </c>
      <c r="Y441" s="881">
        <f t="shared" si="82"/>
        <v>1</v>
      </c>
      <c r="Z441" s="42">
        <f t="shared" ca="1" si="83"/>
        <v>1</v>
      </c>
      <c r="AA441" s="43">
        <f t="shared" ca="1" si="84"/>
        <v>0</v>
      </c>
      <c r="AB441" s="202" t="str">
        <f t="shared" ca="1" si="85"/>
        <v/>
      </c>
      <c r="AC441" s="44" t="str">
        <f t="shared" si="89"/>
        <v>SI</v>
      </c>
      <c r="AD441" s="765"/>
      <c r="AE441" s="173" t="s">
        <v>1258</v>
      </c>
      <c r="AF441" s="304" t="s">
        <v>1143</v>
      </c>
      <c r="AG441" s="173" t="s">
        <v>1431</v>
      </c>
      <c r="AH441" s="284" t="s">
        <v>564</v>
      </c>
      <c r="AI441" s="174"/>
      <c r="AJ441" s="308" t="s">
        <v>600</v>
      </c>
      <c r="AK441" s="181" t="str">
        <f t="shared" ca="1" si="86"/>
        <v>TERMINO</v>
      </c>
      <c r="AL441" s="181" t="s">
        <v>576</v>
      </c>
      <c r="AM441" s="176" t="s">
        <v>390</v>
      </c>
      <c r="AN441" s="875" t="str">
        <f>IFERROR(VLOOKUP(E441,'liquidaciones '!$B$2:$C$1048576,2,0),"NO")</f>
        <v>LIQUIDADO</v>
      </c>
      <c r="AO441" s="983">
        <f>IFERROR(VLOOKUP(E441,'liquidaciones '!$B$2:$I$1048576,8,0),"")</f>
        <v>0</v>
      </c>
      <c r="AP441" s="342"/>
      <c r="AQ441" s="177" t="s">
        <v>390</v>
      </c>
      <c r="AR441" s="177" t="s">
        <v>2924</v>
      </c>
      <c r="AS441" s="438"/>
      <c r="AT441" s="1015"/>
    </row>
    <row r="442" spans="3:46" ht="25.5" customHeight="1" x14ac:dyDescent="0.25">
      <c r="C442" s="443">
        <v>90</v>
      </c>
      <c r="D442" s="442" t="str">
        <f t="shared" si="88"/>
        <v>201690</v>
      </c>
      <c r="E442" s="883" t="s">
        <v>2617</v>
      </c>
      <c r="F442" s="882" t="s">
        <v>2618</v>
      </c>
      <c r="G442" s="934" t="s">
        <v>2619</v>
      </c>
      <c r="H442" s="945" t="s">
        <v>2620</v>
      </c>
      <c r="I442" s="940">
        <v>12000000</v>
      </c>
      <c r="J442" s="718" t="s">
        <v>2622</v>
      </c>
      <c r="K442" s="298">
        <v>2016</v>
      </c>
      <c r="L442" s="551">
        <v>42578</v>
      </c>
      <c r="M442" s="885">
        <v>42612</v>
      </c>
      <c r="N442" s="885">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4">
        <f t="shared" si="80"/>
        <v>42977</v>
      </c>
      <c r="U442" s="62">
        <f t="shared" si="81"/>
        <v>12000000</v>
      </c>
      <c r="V442" s="172">
        <f>VLOOKUP(E442,Modificaciones!$B$7:$AU$442,46,0)</f>
        <v>12000000</v>
      </c>
      <c r="W442" s="93">
        <f t="shared" ref="W442:W505" si="90">U442-V442</f>
        <v>0</v>
      </c>
      <c r="X442" s="312" t="s">
        <v>2621</v>
      </c>
      <c r="Y442" s="881">
        <f t="shared" si="82"/>
        <v>1</v>
      </c>
      <c r="Z442" s="42">
        <f t="shared" ca="1" si="83"/>
        <v>1</v>
      </c>
      <c r="AA442" s="43">
        <f t="shared" ca="1" si="84"/>
        <v>0</v>
      </c>
      <c r="AB442" s="202" t="str">
        <f t="shared" ca="1" si="85"/>
        <v/>
      </c>
      <c r="AC442" s="44" t="str">
        <f t="shared" si="89"/>
        <v>SI</v>
      </c>
      <c r="AD442" s="765"/>
      <c r="AE442" s="173" t="s">
        <v>1258</v>
      </c>
      <c r="AF442" s="284" t="s">
        <v>1370</v>
      </c>
      <c r="AG442" s="173" t="s">
        <v>1440</v>
      </c>
      <c r="AH442" s="284" t="s">
        <v>560</v>
      </c>
      <c r="AI442" s="308" t="s">
        <v>1510</v>
      </c>
      <c r="AJ442" s="308" t="s">
        <v>600</v>
      </c>
      <c r="AK442" s="181" t="str">
        <f t="shared" ca="1" si="86"/>
        <v>TERMINO</v>
      </c>
      <c r="AL442" s="313" t="s">
        <v>576</v>
      </c>
      <c r="AM442" s="176" t="s">
        <v>390</v>
      </c>
      <c r="AN442" s="875" t="str">
        <f>IFERROR(VLOOKUP(E442,'liquidaciones '!$B$2:$C$1048576,2,0),"NO")</f>
        <v>NO</v>
      </c>
      <c r="AO442" s="983" t="str">
        <f>IFERROR(VLOOKUP(E442,'liquidaciones '!$B$2:$I$1048576,8,0),"")</f>
        <v/>
      </c>
      <c r="AP442" s="342"/>
      <c r="AQ442" s="177" t="s">
        <v>390</v>
      </c>
      <c r="AR442" s="438" t="s">
        <v>3541</v>
      </c>
      <c r="AS442" s="438"/>
      <c r="AT442" s="1015"/>
    </row>
    <row r="443" spans="3:46" ht="39" customHeight="1" x14ac:dyDescent="0.25">
      <c r="C443" s="442">
        <v>145</v>
      </c>
      <c r="D443" s="442" t="str">
        <f t="shared" si="88"/>
        <v>2016145</v>
      </c>
      <c r="E443" s="883" t="s">
        <v>2636</v>
      </c>
      <c r="F443" s="882" t="s">
        <v>2637</v>
      </c>
      <c r="G443" s="934">
        <v>900699012</v>
      </c>
      <c r="H443" s="945" t="s">
        <v>2638</v>
      </c>
      <c r="I443" s="940">
        <v>4999000</v>
      </c>
      <c r="J443" s="718" t="s">
        <v>2639</v>
      </c>
      <c r="K443" s="298">
        <v>2016</v>
      </c>
      <c r="L443" s="551">
        <v>42604</v>
      </c>
      <c r="M443" s="885">
        <v>42622</v>
      </c>
      <c r="N443" s="885">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4">
        <f t="shared" si="80"/>
        <v>42803</v>
      </c>
      <c r="U443" s="62">
        <f t="shared" si="81"/>
        <v>4999000</v>
      </c>
      <c r="V443" s="172">
        <f>VLOOKUP(E443,Modificaciones!$B$7:$AU$443,46,0)</f>
        <v>3270000</v>
      </c>
      <c r="W443" s="93">
        <f t="shared" si="90"/>
        <v>1729000</v>
      </c>
      <c r="X443" s="316" t="s">
        <v>1616</v>
      </c>
      <c r="Y443" s="881">
        <f t="shared" si="82"/>
        <v>0.65413082616523299</v>
      </c>
      <c r="Z443" s="42">
        <f t="shared" ca="1" si="83"/>
        <v>1</v>
      </c>
      <c r="AA443" s="43">
        <f t="shared" ca="1" si="84"/>
        <v>0.34586917383476701</v>
      </c>
      <c r="AB443" s="202" t="str">
        <f t="shared" ca="1" si="85"/>
        <v/>
      </c>
      <c r="AC443" s="44" t="str">
        <f t="shared" si="89"/>
        <v>NO</v>
      </c>
      <c r="AD443" s="765" t="s">
        <v>1713</v>
      </c>
      <c r="AE443" s="173" t="s">
        <v>1257</v>
      </c>
      <c r="AF443" s="304" t="s">
        <v>1172</v>
      </c>
      <c r="AG443" s="173" t="s">
        <v>1443</v>
      </c>
      <c r="AH443" s="284" t="s">
        <v>560</v>
      </c>
      <c r="AI443" s="174" t="s">
        <v>1381</v>
      </c>
      <c r="AJ443" s="308" t="s">
        <v>600</v>
      </c>
      <c r="AK443" s="181" t="str">
        <f t="shared" ca="1" si="86"/>
        <v>TERMINO</v>
      </c>
      <c r="AL443" s="181" t="s">
        <v>576</v>
      </c>
      <c r="AM443" s="176" t="s">
        <v>390</v>
      </c>
      <c r="AN443" s="875" t="str">
        <f>IFERROR(VLOOKUP(E443,'liquidaciones '!$B$2:$C$1048576,2,0),"NO")</f>
        <v>EN TRÁMITE</v>
      </c>
      <c r="AO443" s="983" t="str">
        <f>IFERROR(VLOOKUP(E443,'liquidaciones '!$B$2:$I$1048576,8,0),"")</f>
        <v>MANUEL ROJAS</v>
      </c>
      <c r="AP443" s="342"/>
      <c r="AQ443" s="177" t="s">
        <v>390</v>
      </c>
      <c r="AR443" s="438" t="s">
        <v>2982</v>
      </c>
      <c r="AS443" s="438"/>
      <c r="AT443" s="1015"/>
    </row>
    <row r="444" spans="3:46" ht="23.25" customHeight="1" x14ac:dyDescent="0.25">
      <c r="C444" s="442">
        <v>141</v>
      </c>
      <c r="D444" s="442" t="str">
        <f t="shared" si="88"/>
        <v>2016141</v>
      </c>
      <c r="E444" s="883" t="s">
        <v>2640</v>
      </c>
      <c r="F444" s="882" t="s">
        <v>33</v>
      </c>
      <c r="G444" s="934">
        <v>860509265</v>
      </c>
      <c r="H444" s="945" t="s">
        <v>2641</v>
      </c>
      <c r="I444" s="940">
        <v>825000</v>
      </c>
      <c r="J444" s="718" t="s">
        <v>2640</v>
      </c>
      <c r="K444" s="298">
        <v>2016</v>
      </c>
      <c r="L444" s="551">
        <v>42619</v>
      </c>
      <c r="M444" s="885">
        <v>42646</v>
      </c>
      <c r="N444" s="885">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4">
        <f t="shared" si="80"/>
        <v>43011</v>
      </c>
      <c r="U444" s="62">
        <f t="shared" si="81"/>
        <v>825000</v>
      </c>
      <c r="V444" s="172">
        <f>VLOOKUP(E444,Modificaciones!$B$7:$AU$444,46,0)</f>
        <v>825000</v>
      </c>
      <c r="W444" s="93">
        <f t="shared" si="90"/>
        <v>0</v>
      </c>
      <c r="X444" s="312" t="s">
        <v>2097</v>
      </c>
      <c r="Y444" s="881">
        <f t="shared" si="82"/>
        <v>1</v>
      </c>
      <c r="Z444" s="42">
        <f t="shared" ca="1" si="83"/>
        <v>1</v>
      </c>
      <c r="AA444" s="43">
        <f t="shared" ca="1" si="84"/>
        <v>0</v>
      </c>
      <c r="AB444" s="202" t="str">
        <f t="shared" ca="1" si="85"/>
        <v/>
      </c>
      <c r="AC444" s="44" t="str">
        <f t="shared" si="89"/>
        <v>SI</v>
      </c>
      <c r="AD444" s="765" t="str">
        <f>VLOOKUP(C444,[2]Hoja4!$A$2:$E$116,5,0)</f>
        <v>SUSCRIPCION</v>
      </c>
      <c r="AE444" s="173" t="s">
        <v>1257</v>
      </c>
      <c r="AF444" s="304" t="s">
        <v>1470</v>
      </c>
      <c r="AG444" s="173" t="s">
        <v>1431</v>
      </c>
      <c r="AH444" s="284" t="s">
        <v>564</v>
      </c>
      <c r="AI444" s="308"/>
      <c r="AJ444" s="308" t="s">
        <v>600</v>
      </c>
      <c r="AK444" s="181" t="str">
        <f t="shared" ca="1" si="86"/>
        <v>TERMINO</v>
      </c>
      <c r="AL444" s="181" t="s">
        <v>582</v>
      </c>
      <c r="AM444" s="176" t="s">
        <v>390</v>
      </c>
      <c r="AN444" s="875" t="str">
        <f>IFERROR(VLOOKUP(E444,'liquidaciones '!$B$2:$C$1048576,2,0),"NO")</f>
        <v>NO</v>
      </c>
      <c r="AO444" s="983" t="str">
        <f>IFERROR(VLOOKUP(E444,'liquidaciones '!$B$2:$I$1048576,8,0),"")</f>
        <v/>
      </c>
      <c r="AP444" s="342"/>
      <c r="AQ444" s="177" t="s">
        <v>390</v>
      </c>
      <c r="AR444" s="438" t="s">
        <v>2982</v>
      </c>
      <c r="AS444" s="438"/>
      <c r="AT444" s="1015"/>
    </row>
    <row r="445" spans="3:46" ht="57" customHeight="1" x14ac:dyDescent="0.25">
      <c r="C445" s="442"/>
      <c r="D445" s="442" t="str">
        <f t="shared" si="88"/>
        <v>2016</v>
      </c>
      <c r="E445" s="883" t="s">
        <v>2642</v>
      </c>
      <c r="F445" s="882" t="s">
        <v>2643</v>
      </c>
      <c r="G445" s="934">
        <v>85473477</v>
      </c>
      <c r="H445" s="945" t="s">
        <v>2644</v>
      </c>
      <c r="I445" s="940">
        <v>9000000</v>
      </c>
      <c r="J445" s="718" t="s">
        <v>2642</v>
      </c>
      <c r="K445" s="298">
        <v>2016</v>
      </c>
      <c r="L445" s="551">
        <v>42622</v>
      </c>
      <c r="M445" s="885">
        <v>42625</v>
      </c>
      <c r="N445" s="885">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4">
        <f t="shared" si="80"/>
        <v>42778</v>
      </c>
      <c r="U445" s="62">
        <f t="shared" si="81"/>
        <v>9000000</v>
      </c>
      <c r="V445" s="172">
        <f>VLOOKUP(E445,Modificaciones!$B$7:$AU$445,46,0)</f>
        <v>9000000</v>
      </c>
      <c r="W445" s="93">
        <f t="shared" si="90"/>
        <v>0</v>
      </c>
      <c r="X445" s="93" t="s">
        <v>2621</v>
      </c>
      <c r="Y445" s="881">
        <f t="shared" si="82"/>
        <v>1</v>
      </c>
      <c r="Z445" s="42">
        <f t="shared" ca="1" si="83"/>
        <v>1</v>
      </c>
      <c r="AA445" s="43">
        <f t="shared" ca="1" si="84"/>
        <v>0</v>
      </c>
      <c r="AB445" s="202" t="str">
        <f t="shared" ca="1" si="85"/>
        <v/>
      </c>
      <c r="AC445" s="44" t="str">
        <f t="shared" si="89"/>
        <v>SI</v>
      </c>
      <c r="AD445" s="765" t="s">
        <v>1714</v>
      </c>
      <c r="AE445" s="173" t="s">
        <v>1257</v>
      </c>
      <c r="AF445" s="284" t="s">
        <v>2645</v>
      </c>
      <c r="AG445" s="173" t="s">
        <v>1178</v>
      </c>
      <c r="AH445" s="284" t="s">
        <v>559</v>
      </c>
      <c r="AI445" s="308"/>
      <c r="AJ445" s="308" t="s">
        <v>600</v>
      </c>
      <c r="AK445" s="181" t="str">
        <f t="shared" ca="1" si="86"/>
        <v>TERMINO</v>
      </c>
      <c r="AL445" s="181" t="s">
        <v>582</v>
      </c>
      <c r="AM445" s="176" t="s">
        <v>391</v>
      </c>
      <c r="AN445" s="875" t="str">
        <f>IFERROR(VLOOKUP(E445,'liquidaciones '!$B$2:$C$1048576,2,0),"NO")</f>
        <v>LIQUIDADO</v>
      </c>
      <c r="AO445" s="983" t="str">
        <f>IFERROR(VLOOKUP(E445,'liquidaciones '!$B$2:$I$1048576,8,0),"")</f>
        <v>JAVIER QUINTERO</v>
      </c>
      <c r="AP445" s="342"/>
      <c r="AQ445" s="177" t="s">
        <v>390</v>
      </c>
      <c r="AR445" s="177" t="s">
        <v>2609</v>
      </c>
      <c r="AS445" s="438"/>
      <c r="AT445" s="1015"/>
    </row>
    <row r="446" spans="3:46" ht="48" customHeight="1" x14ac:dyDescent="0.25">
      <c r="C446" s="442"/>
      <c r="D446" s="442" t="str">
        <f t="shared" si="88"/>
        <v>2016</v>
      </c>
      <c r="E446" s="895" t="s">
        <v>2646</v>
      </c>
      <c r="F446" s="882" t="s">
        <v>2647</v>
      </c>
      <c r="G446" s="934">
        <v>1090442018</v>
      </c>
      <c r="H446" s="945" t="s">
        <v>2648</v>
      </c>
      <c r="I446" s="940">
        <v>7500000</v>
      </c>
      <c r="J446" s="718" t="s">
        <v>2646</v>
      </c>
      <c r="K446" s="298">
        <v>2016</v>
      </c>
      <c r="L446" s="551">
        <v>42622</v>
      </c>
      <c r="M446" s="885">
        <v>42625</v>
      </c>
      <c r="N446" s="885">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4">
        <f t="shared" si="80"/>
        <v>42778</v>
      </c>
      <c r="U446" s="62">
        <f t="shared" si="81"/>
        <v>7500000</v>
      </c>
      <c r="V446" s="172">
        <f>VLOOKUP(E446,Modificaciones!$B$7:$AU$446,46,0)</f>
        <v>7500000</v>
      </c>
      <c r="W446" s="93">
        <f t="shared" si="90"/>
        <v>0</v>
      </c>
      <c r="X446" s="312" t="s">
        <v>2621</v>
      </c>
      <c r="Y446" s="881">
        <f t="shared" si="82"/>
        <v>1</v>
      </c>
      <c r="Z446" s="42">
        <f t="shared" ca="1" si="83"/>
        <v>1</v>
      </c>
      <c r="AA446" s="43">
        <f t="shared" ca="1" si="84"/>
        <v>0</v>
      </c>
      <c r="AB446" s="202" t="str">
        <f t="shared" ca="1" si="85"/>
        <v/>
      </c>
      <c r="AC446" s="44" t="str">
        <f t="shared" si="89"/>
        <v>SI</v>
      </c>
      <c r="AD446" s="765" t="s">
        <v>1714</v>
      </c>
      <c r="AE446" s="173" t="s">
        <v>1257</v>
      </c>
      <c r="AF446" s="284" t="s">
        <v>2649</v>
      </c>
      <c r="AG446" s="173" t="s">
        <v>1178</v>
      </c>
      <c r="AH446" s="284" t="s">
        <v>559</v>
      </c>
      <c r="AI446" s="308"/>
      <c r="AJ446" s="308" t="s">
        <v>600</v>
      </c>
      <c r="AK446" s="181" t="str">
        <f t="shared" ca="1" si="86"/>
        <v>TERMINO</v>
      </c>
      <c r="AL446" s="181" t="s">
        <v>582</v>
      </c>
      <c r="AM446" s="176" t="s">
        <v>391</v>
      </c>
      <c r="AN446" s="875" t="str">
        <f>IFERROR(VLOOKUP(E446,'liquidaciones '!$B$2:$C$1048576,2,0),"NO")</f>
        <v>LIQUIDADO</v>
      </c>
      <c r="AO446" s="983" t="str">
        <f>IFERROR(VLOOKUP(E446,'liquidaciones '!$B$2:$I$1048576,8,0),"")</f>
        <v>JAVIER QUINTERO</v>
      </c>
      <c r="AP446" s="342"/>
      <c r="AQ446" s="177" t="s">
        <v>390</v>
      </c>
      <c r="AR446" s="177" t="s">
        <v>2610</v>
      </c>
      <c r="AS446" s="438"/>
      <c r="AT446" s="1015"/>
    </row>
    <row r="447" spans="3:46" ht="22.5" x14ac:dyDescent="0.25">
      <c r="C447" s="442">
        <v>86</v>
      </c>
      <c r="D447" s="442" t="str">
        <f t="shared" si="88"/>
        <v>201686</v>
      </c>
      <c r="E447" s="883" t="s">
        <v>2650</v>
      </c>
      <c r="F447" s="882" t="s">
        <v>2100</v>
      </c>
      <c r="G447" s="934">
        <v>830099766</v>
      </c>
      <c r="H447" s="945" t="s">
        <v>2651</v>
      </c>
      <c r="I447" s="940">
        <v>50871139</v>
      </c>
      <c r="J447" s="718" t="s">
        <v>2653</v>
      </c>
      <c r="K447" s="298">
        <v>2016</v>
      </c>
      <c r="L447" s="551">
        <v>42621</v>
      </c>
      <c r="M447" s="885">
        <v>42632</v>
      </c>
      <c r="N447" s="885">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4">
        <f t="shared" si="80"/>
        <v>42874</v>
      </c>
      <c r="U447" s="62">
        <f t="shared" si="81"/>
        <v>50871139</v>
      </c>
      <c r="V447" s="172">
        <f>VLOOKUP(E447,Modificaciones!$B$7:$AU$447,46,0)</f>
        <v>39661129</v>
      </c>
      <c r="W447" s="93">
        <f t="shared" si="90"/>
        <v>11210010</v>
      </c>
      <c r="X447" s="447" t="s">
        <v>2652</v>
      </c>
      <c r="Y447" s="881">
        <f t="shared" si="82"/>
        <v>0.7796390994901844</v>
      </c>
      <c r="Z447" s="42">
        <f t="shared" ca="1" si="83"/>
        <v>1</v>
      </c>
      <c r="AA447" s="43">
        <f t="shared" ca="1" si="84"/>
        <v>0.2203609005098156</v>
      </c>
      <c r="AB447" s="202" t="str">
        <f t="shared" ca="1" si="85"/>
        <v/>
      </c>
      <c r="AC447" s="44" t="str">
        <f t="shared" si="89"/>
        <v>NO</v>
      </c>
      <c r="AD447" s="765" t="s">
        <v>1713</v>
      </c>
      <c r="AE447" s="173" t="s">
        <v>1258</v>
      </c>
      <c r="AF447" s="284" t="s">
        <v>2103</v>
      </c>
      <c r="AG447" s="173" t="s">
        <v>1440</v>
      </c>
      <c r="AH447" s="284" t="s">
        <v>560</v>
      </c>
      <c r="AI447" s="308" t="s">
        <v>1510</v>
      </c>
      <c r="AJ447" s="308" t="s">
        <v>600</v>
      </c>
      <c r="AK447" s="181" t="str">
        <f t="shared" ca="1" si="86"/>
        <v>TERMINO</v>
      </c>
      <c r="AL447" s="313" t="s">
        <v>582</v>
      </c>
      <c r="AM447" s="176" t="s">
        <v>390</v>
      </c>
      <c r="AN447" s="875" t="str">
        <f>IFERROR(VLOOKUP(E447,'liquidaciones '!$B$2:$C$1048576,2,0),"NO")</f>
        <v>NO</v>
      </c>
      <c r="AO447" s="983" t="str">
        <f>IFERROR(VLOOKUP(E447,'liquidaciones '!$B$2:$I$1048576,8,0),"")</f>
        <v>GIOVANNI SUAREZ</v>
      </c>
      <c r="AP447" s="342"/>
      <c r="AQ447" s="177" t="s">
        <v>390</v>
      </c>
      <c r="AR447" s="177" t="s">
        <v>2924</v>
      </c>
      <c r="AS447" s="438"/>
      <c r="AT447" s="1015"/>
    </row>
    <row r="448" spans="3:46" ht="22.5" x14ac:dyDescent="0.25">
      <c r="C448" s="442">
        <v>139</v>
      </c>
      <c r="D448" s="442" t="str">
        <f t="shared" si="88"/>
        <v>2016139</v>
      </c>
      <c r="E448" s="883" t="s">
        <v>2655</v>
      </c>
      <c r="F448" s="882" t="s">
        <v>2656</v>
      </c>
      <c r="G448" s="934">
        <v>860007590</v>
      </c>
      <c r="H448" s="945" t="s">
        <v>2657</v>
      </c>
      <c r="I448" s="940">
        <v>974160</v>
      </c>
      <c r="J448" s="718" t="s">
        <v>2655</v>
      </c>
      <c r="K448" s="298">
        <v>2016</v>
      </c>
      <c r="L448" s="551">
        <v>42636</v>
      </c>
      <c r="M448" s="885">
        <v>42643</v>
      </c>
      <c r="N448" s="885">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4">
        <f t="shared" ref="T448:T511" si="91">MAX(N448,S448)</f>
        <v>43008</v>
      </c>
      <c r="U448" s="62">
        <f t="shared" si="81"/>
        <v>974160</v>
      </c>
      <c r="V448" s="172">
        <f>VLOOKUP(E448,Modificaciones!$B$7:$AU$448,46,0)</f>
        <v>974160</v>
      </c>
      <c r="W448" s="93">
        <f t="shared" si="90"/>
        <v>0</v>
      </c>
      <c r="X448" s="312" t="s">
        <v>2097</v>
      </c>
      <c r="Y448" s="881">
        <f t="shared" si="82"/>
        <v>1</v>
      </c>
      <c r="Z448" s="42">
        <f t="shared" ca="1" si="83"/>
        <v>1</v>
      </c>
      <c r="AA448" s="43">
        <f t="shared" ca="1" si="84"/>
        <v>0</v>
      </c>
      <c r="AB448" s="202" t="str">
        <f t="shared" ca="1" si="85"/>
        <v/>
      </c>
      <c r="AC448" s="44" t="str">
        <f t="shared" si="89"/>
        <v>SI</v>
      </c>
      <c r="AD448" s="765" t="str">
        <f>VLOOKUP(C448,[2]Hoja4!$A$2:$E$116,5,0)</f>
        <v>SUSCRIPCION</v>
      </c>
      <c r="AE448" s="173" t="s">
        <v>1257</v>
      </c>
      <c r="AF448" s="284" t="s">
        <v>1126</v>
      </c>
      <c r="AG448" s="173" t="s">
        <v>1431</v>
      </c>
      <c r="AH448" s="284" t="s">
        <v>564</v>
      </c>
      <c r="AI448" s="308"/>
      <c r="AJ448" s="308" t="s">
        <v>600</v>
      </c>
      <c r="AK448" s="181" t="str">
        <f t="shared" ca="1" si="86"/>
        <v>TERMINO</v>
      </c>
      <c r="AL448" s="313" t="s">
        <v>582</v>
      </c>
      <c r="AM448" s="176" t="s">
        <v>390</v>
      </c>
      <c r="AN448" s="875" t="str">
        <f>IFERROR(VLOOKUP(E448,'liquidaciones '!$B$2:$C$1048576,2,0),"NO")</f>
        <v>DEVUELTO</v>
      </c>
      <c r="AO448" s="983">
        <f>IFERROR(VLOOKUP(E448,'liquidaciones '!$B$2:$I$1048576,8,0),"")</f>
        <v>0</v>
      </c>
      <c r="AP448" s="342"/>
      <c r="AQ448" s="177" t="s">
        <v>390</v>
      </c>
      <c r="AR448" s="438" t="s">
        <v>3074</v>
      </c>
      <c r="AS448" s="438"/>
      <c r="AT448" s="1015"/>
    </row>
    <row r="449" spans="3:46" ht="33.75" x14ac:dyDescent="0.25">
      <c r="C449" s="442">
        <v>208</v>
      </c>
      <c r="D449" s="442" t="str">
        <f t="shared" si="88"/>
        <v>2016208</v>
      </c>
      <c r="E449" s="895" t="s">
        <v>2658</v>
      </c>
      <c r="F449" s="882" t="s">
        <v>2659</v>
      </c>
      <c r="G449" s="934">
        <v>830113914</v>
      </c>
      <c r="H449" s="945" t="s">
        <v>2660</v>
      </c>
      <c r="I449" s="940">
        <v>71482000</v>
      </c>
      <c r="J449" s="718" t="s">
        <v>2661</v>
      </c>
      <c r="K449" s="298">
        <v>2016</v>
      </c>
      <c r="L449" s="551">
        <v>42629</v>
      </c>
      <c r="M449" s="885">
        <v>42646</v>
      </c>
      <c r="N449" s="885">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4">
        <f t="shared" si="91"/>
        <v>42981</v>
      </c>
      <c r="U449" s="62">
        <f t="shared" si="81"/>
        <v>71482000</v>
      </c>
      <c r="V449" s="172">
        <f>VLOOKUP(E449,Modificaciones!$B$7:$AU$449,46,0)</f>
        <v>71481959</v>
      </c>
      <c r="W449" s="93">
        <f t="shared" si="90"/>
        <v>41</v>
      </c>
      <c r="X449" s="312" t="s">
        <v>2009</v>
      </c>
      <c r="Y449" s="881">
        <f t="shared" si="82"/>
        <v>0.99999942642903106</v>
      </c>
      <c r="Z449" s="42">
        <f t="shared" ca="1" si="83"/>
        <v>1</v>
      </c>
      <c r="AA449" s="43">
        <f t="shared" ca="1" si="84"/>
        <v>5.7357096894250503E-7</v>
      </c>
      <c r="AB449" s="202" t="str">
        <f t="shared" ca="1" si="85"/>
        <v/>
      </c>
      <c r="AC449" s="44" t="str">
        <f t="shared" si="89"/>
        <v>SI</v>
      </c>
      <c r="AD449" s="765" t="s">
        <v>1716</v>
      </c>
      <c r="AE449" s="173" t="s">
        <v>1257</v>
      </c>
      <c r="AF449" s="173" t="s">
        <v>1131</v>
      </c>
      <c r="AG449" s="173" t="s">
        <v>1443</v>
      </c>
      <c r="AH449" s="284" t="s">
        <v>560</v>
      </c>
      <c r="AI449" s="179" t="s">
        <v>1380</v>
      </c>
      <c r="AJ449" s="308" t="s">
        <v>600</v>
      </c>
      <c r="AK449" s="181" t="str">
        <f t="shared" ca="1" si="86"/>
        <v>TERMINO</v>
      </c>
      <c r="AL449" s="313" t="s">
        <v>575</v>
      </c>
      <c r="AM449" s="176" t="s">
        <v>390</v>
      </c>
      <c r="AN449" s="875" t="str">
        <f>IFERROR(VLOOKUP(E449,'liquidaciones '!$B$2:$C$1048576,2,0),"NO")</f>
        <v>DEVUELTO</v>
      </c>
      <c r="AO449" s="983">
        <f>IFERROR(VLOOKUP(E449,'liquidaciones '!$B$2:$I$1048576,8,0),"")</f>
        <v>0</v>
      </c>
      <c r="AP449" s="342"/>
      <c r="AQ449" s="177" t="s">
        <v>390</v>
      </c>
      <c r="AR449" s="177" t="s">
        <v>2982</v>
      </c>
      <c r="AS449" s="438"/>
      <c r="AT449" s="1015"/>
    </row>
    <row r="450" spans="3:46" ht="33.75" x14ac:dyDescent="0.25">
      <c r="C450" s="442"/>
      <c r="D450" s="442"/>
      <c r="E450" s="883" t="s">
        <v>2663</v>
      </c>
      <c r="F450" s="882" t="s">
        <v>2664</v>
      </c>
      <c r="G450" s="934">
        <v>74185457</v>
      </c>
      <c r="H450" s="945" t="s">
        <v>3057</v>
      </c>
      <c r="I450" s="940">
        <v>22000000</v>
      </c>
      <c r="J450" s="718" t="s">
        <v>2663</v>
      </c>
      <c r="K450" s="298">
        <v>2016</v>
      </c>
      <c r="L450" s="551">
        <v>42640</v>
      </c>
      <c r="M450" s="885">
        <v>42642</v>
      </c>
      <c r="N450" s="885">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4">
        <f t="shared" si="91"/>
        <v>42764</v>
      </c>
      <c r="U450" s="62">
        <f t="shared" si="81"/>
        <v>22000000</v>
      </c>
      <c r="V450" s="172">
        <f>VLOOKUP(E450,Modificaciones!$B$7:$AU$450,46,0)</f>
        <v>11366666</v>
      </c>
      <c r="W450" s="93">
        <f t="shared" si="90"/>
        <v>10633334</v>
      </c>
      <c r="X450" s="312" t="s">
        <v>2621</v>
      </c>
      <c r="Y450" s="881">
        <f t="shared" si="82"/>
        <v>0.51666663636363641</v>
      </c>
      <c r="Z450" s="42">
        <f t="shared" ca="1" si="83"/>
        <v>1</v>
      </c>
      <c r="AA450" s="43">
        <f t="shared" ca="1" si="84"/>
        <v>0.48333336363636359</v>
      </c>
      <c r="AB450" s="202" t="str">
        <f t="shared" ca="1" si="85"/>
        <v/>
      </c>
      <c r="AC450" s="44" t="str">
        <f t="shared" si="89"/>
        <v>NO</v>
      </c>
      <c r="AD450" s="765" t="s">
        <v>1714</v>
      </c>
      <c r="AE450" s="173" t="s">
        <v>1258</v>
      </c>
      <c r="AF450" s="173" t="s">
        <v>2177</v>
      </c>
      <c r="AG450" s="173" t="s">
        <v>1178</v>
      </c>
      <c r="AH450" s="284" t="s">
        <v>559</v>
      </c>
      <c r="AI450" s="308"/>
      <c r="AJ450" s="308" t="s">
        <v>600</v>
      </c>
      <c r="AK450" s="181" t="str">
        <f t="shared" ca="1" si="86"/>
        <v>TERMINO</v>
      </c>
      <c r="AL450" s="181" t="s">
        <v>582</v>
      </c>
      <c r="AM450" s="176" t="s">
        <v>391</v>
      </c>
      <c r="AN450" s="875" t="str">
        <f>IFERROR(VLOOKUP(E450,'liquidaciones '!$B$2:$C$1048576,2,0),"NO")</f>
        <v>DEVUELTO</v>
      </c>
      <c r="AO450" s="983" t="str">
        <f>IFERROR(VLOOKUP(E450,'liquidaciones '!$B$2:$I$1048576,8,0),"")</f>
        <v>JULIETH ANGARITA</v>
      </c>
      <c r="AP450" s="342"/>
      <c r="AQ450" s="177" t="s">
        <v>390</v>
      </c>
      <c r="AR450" s="438" t="s">
        <v>1511</v>
      </c>
      <c r="AS450" s="438"/>
      <c r="AT450" s="1015"/>
    </row>
    <row r="451" spans="3:46" ht="78.75" x14ac:dyDescent="0.25">
      <c r="C451" s="442">
        <v>84</v>
      </c>
      <c r="D451" s="442" t="str">
        <f>K451&amp;C451</f>
        <v>201684</v>
      </c>
      <c r="E451" s="883" t="s">
        <v>2665</v>
      </c>
      <c r="F451" s="882" t="s">
        <v>2130</v>
      </c>
      <c r="G451" s="934">
        <v>830083523</v>
      </c>
      <c r="H451" s="945" t="s">
        <v>2666</v>
      </c>
      <c r="I451" s="940">
        <v>8000000</v>
      </c>
      <c r="J451" s="718" t="s">
        <v>2665</v>
      </c>
      <c r="K451" s="298">
        <v>2016</v>
      </c>
      <c r="L451" s="551">
        <v>42636</v>
      </c>
      <c r="M451" s="885">
        <v>42648</v>
      </c>
      <c r="N451" s="885">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4">
        <f t="shared" si="91"/>
        <v>42891</v>
      </c>
      <c r="U451" s="62">
        <f t="shared" si="81"/>
        <v>8000000</v>
      </c>
      <c r="V451" s="172">
        <f>VLOOKUP(E451,Modificaciones!$B$7:$AU$451,46,0)</f>
        <v>8000000</v>
      </c>
      <c r="W451" s="93">
        <f t="shared" si="90"/>
        <v>0</v>
      </c>
      <c r="X451" s="447" t="s">
        <v>2667</v>
      </c>
      <c r="Y451" s="881">
        <f t="shared" si="82"/>
        <v>1</v>
      </c>
      <c r="Z451" s="42">
        <f t="shared" ca="1" si="83"/>
        <v>1</v>
      </c>
      <c r="AA451" s="43">
        <f t="shared" ca="1" si="84"/>
        <v>0</v>
      </c>
      <c r="AB451" s="202" t="str">
        <f t="shared" ca="1" si="85"/>
        <v/>
      </c>
      <c r="AC451" s="44" t="str">
        <f t="shared" si="89"/>
        <v>SI</v>
      </c>
      <c r="AD451" s="765"/>
      <c r="AE451" s="173" t="s">
        <v>1258</v>
      </c>
      <c r="AF451" s="284" t="s">
        <v>2114</v>
      </c>
      <c r="AG451" s="173" t="s">
        <v>1440</v>
      </c>
      <c r="AH451" s="284" t="s">
        <v>560</v>
      </c>
      <c r="AI451" s="308" t="s">
        <v>1510</v>
      </c>
      <c r="AJ451" s="308" t="s">
        <v>600</v>
      </c>
      <c r="AK451" s="181" t="str">
        <f t="shared" ca="1" si="86"/>
        <v>TERMINO</v>
      </c>
      <c r="AL451" s="313" t="s">
        <v>582</v>
      </c>
      <c r="AM451" s="176" t="s">
        <v>390</v>
      </c>
      <c r="AN451" s="875" t="str">
        <f>IFERROR(VLOOKUP(E451,'liquidaciones '!$B$2:$C$1048576,2,0),"NO")</f>
        <v>NO</v>
      </c>
      <c r="AO451" s="983" t="str">
        <f>IFERROR(VLOOKUP(E451,'liquidaciones '!$B$2:$I$1048576,8,0),"")</f>
        <v>GIOVANNI SUAREZ</v>
      </c>
      <c r="AP451" s="342"/>
      <c r="AQ451" s="177" t="s">
        <v>390</v>
      </c>
      <c r="AR451" s="177" t="s">
        <v>2924</v>
      </c>
      <c r="AS451" s="438"/>
      <c r="AT451" s="1015"/>
    </row>
    <row r="452" spans="3:46" ht="33.75" customHeight="1" x14ac:dyDescent="0.25">
      <c r="C452" s="442">
        <v>199</v>
      </c>
      <c r="D452" s="442" t="str">
        <f>K452&amp;C452</f>
        <v>2016199</v>
      </c>
      <c r="E452" s="883" t="s">
        <v>2668</v>
      </c>
      <c r="F452" s="882" t="s">
        <v>2675</v>
      </c>
      <c r="G452" s="934" t="s">
        <v>2669</v>
      </c>
      <c r="H452" s="945" t="s">
        <v>2670</v>
      </c>
      <c r="I452" s="940">
        <v>669493245</v>
      </c>
      <c r="J452" s="718" t="s">
        <v>2671</v>
      </c>
      <c r="K452" s="298">
        <v>2016</v>
      </c>
      <c r="L452" s="551">
        <v>42632</v>
      </c>
      <c r="M452" s="885">
        <v>42647</v>
      </c>
      <c r="N452" s="885">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4">
        <f t="shared" si="91"/>
        <v>42931</v>
      </c>
      <c r="U452" s="62">
        <f t="shared" si="81"/>
        <v>788860290</v>
      </c>
      <c r="V452" s="172">
        <f>VLOOKUP(E452,Modificaciones!$B$7:$AU$452,46,0)</f>
        <v>721574980</v>
      </c>
      <c r="W452" s="93">
        <f t="shared" si="90"/>
        <v>67285310</v>
      </c>
      <c r="X452" s="312" t="s">
        <v>2672</v>
      </c>
      <c r="Y452" s="881">
        <f t="shared" si="82"/>
        <v>0.91470566987216462</v>
      </c>
      <c r="Z452" s="42">
        <f t="shared" ca="1" si="83"/>
        <v>1</v>
      </c>
      <c r="AA452" s="43">
        <f t="shared" ca="1" si="84"/>
        <v>8.5294330127835383E-2</v>
      </c>
      <c r="AB452" s="202" t="str">
        <f t="shared" ca="1" si="85"/>
        <v/>
      </c>
      <c r="AC452" s="44" t="str">
        <f t="shared" si="89"/>
        <v>NO</v>
      </c>
      <c r="AD452" s="765" t="s">
        <v>1713</v>
      </c>
      <c r="AE452" s="173" t="s">
        <v>1257</v>
      </c>
      <c r="AF452" s="284" t="s">
        <v>1281</v>
      </c>
      <c r="AG452" s="173" t="s">
        <v>1436</v>
      </c>
      <c r="AH452" s="284" t="s">
        <v>560</v>
      </c>
      <c r="AI452" s="308" t="s">
        <v>1387</v>
      </c>
      <c r="AJ452" s="308" t="s">
        <v>600</v>
      </c>
      <c r="AK452" s="181" t="str">
        <f t="shared" ca="1" si="86"/>
        <v>TERMINO</v>
      </c>
      <c r="AL452" s="313" t="s">
        <v>573</v>
      </c>
      <c r="AM452" s="176" t="s">
        <v>390</v>
      </c>
      <c r="AN452" s="875" t="str">
        <f>IFERROR(VLOOKUP(E452,'liquidaciones '!$B$2:$C$1048576,2,0),"NO")</f>
        <v>NO</v>
      </c>
      <c r="AO452" s="983" t="str">
        <f>IFERROR(VLOOKUP(E452,'liquidaciones '!$B$2:$I$1048576,8,0),"")</f>
        <v/>
      </c>
      <c r="AP452" s="342"/>
      <c r="AQ452" s="177" t="s">
        <v>390</v>
      </c>
      <c r="AR452" s="438" t="s">
        <v>1511</v>
      </c>
      <c r="AS452" s="438"/>
      <c r="AT452" s="1015"/>
    </row>
    <row r="453" spans="3:46" ht="33.75" x14ac:dyDescent="0.25">
      <c r="C453" s="442">
        <v>140</v>
      </c>
      <c r="D453" s="442" t="str">
        <f>K453&amp;C453</f>
        <v>2016140</v>
      </c>
      <c r="E453" s="883" t="s">
        <v>2673</v>
      </c>
      <c r="F453" s="882" t="s">
        <v>2151</v>
      </c>
      <c r="G453" s="934">
        <v>860536029</v>
      </c>
      <c r="H453" s="945" t="s">
        <v>2674</v>
      </c>
      <c r="I453" s="940">
        <v>930000</v>
      </c>
      <c r="J453" s="718" t="s">
        <v>2673</v>
      </c>
      <c r="K453" s="298">
        <v>2016</v>
      </c>
      <c r="L453" s="551">
        <v>42640</v>
      </c>
      <c r="M453" s="885">
        <v>42647</v>
      </c>
      <c r="N453" s="885">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4">
        <f t="shared" si="91"/>
        <v>43012</v>
      </c>
      <c r="U453" s="62">
        <f t="shared" si="81"/>
        <v>930000</v>
      </c>
      <c r="V453" s="172">
        <f>VLOOKUP(E453,Modificaciones!$B$7:$AU$453,46,0)</f>
        <v>930000</v>
      </c>
      <c r="W453" s="93">
        <f t="shared" si="90"/>
        <v>0</v>
      </c>
      <c r="X453" s="312" t="s">
        <v>2097</v>
      </c>
      <c r="Y453" s="881">
        <f t="shared" si="82"/>
        <v>1</v>
      </c>
      <c r="Z453" s="42">
        <f t="shared" ca="1" si="83"/>
        <v>1</v>
      </c>
      <c r="AA453" s="43">
        <f t="shared" ca="1" si="84"/>
        <v>0</v>
      </c>
      <c r="AB453" s="202" t="str">
        <f t="shared" ca="1" si="85"/>
        <v/>
      </c>
      <c r="AC453" s="44" t="str">
        <f t="shared" si="89"/>
        <v>SI</v>
      </c>
      <c r="AD453" s="765" t="str">
        <f>VLOOKUP(C453,[2]Hoja4!$A$2:$E$116,5,0)</f>
        <v>SUSCRIPCION</v>
      </c>
      <c r="AE453" s="173" t="s">
        <v>1257</v>
      </c>
      <c r="AF453" s="284" t="s">
        <v>1126</v>
      </c>
      <c r="AG453" s="173" t="s">
        <v>1431</v>
      </c>
      <c r="AH453" s="284" t="s">
        <v>564</v>
      </c>
      <c r="AI453" s="308"/>
      <c r="AJ453" s="308" t="s">
        <v>600</v>
      </c>
      <c r="AK453" s="181" t="str">
        <f t="shared" ca="1" si="86"/>
        <v>TERMINO</v>
      </c>
      <c r="AL453" s="313" t="s">
        <v>582</v>
      </c>
      <c r="AM453" s="176" t="s">
        <v>390</v>
      </c>
      <c r="AN453" s="875" t="str">
        <f>IFERROR(VLOOKUP(E453,'liquidaciones '!$B$2:$C$1048576,2,0),"NO")</f>
        <v>NO</v>
      </c>
      <c r="AO453" s="983" t="str">
        <f>IFERROR(VLOOKUP(E453,'liquidaciones '!$B$2:$I$1048576,8,0),"")</f>
        <v/>
      </c>
      <c r="AP453" s="342"/>
      <c r="AQ453" s="177" t="s">
        <v>390</v>
      </c>
      <c r="AR453" s="438" t="s">
        <v>1511</v>
      </c>
      <c r="AS453" s="438"/>
      <c r="AT453" s="1015"/>
    </row>
    <row r="454" spans="3:46" ht="48" customHeight="1" x14ac:dyDescent="0.25">
      <c r="C454" s="442"/>
      <c r="D454" s="442" t="str">
        <f>K454&amp;C454</f>
        <v>2016</v>
      </c>
      <c r="E454" s="883" t="s">
        <v>2682</v>
      </c>
      <c r="F454" s="882" t="s">
        <v>2685</v>
      </c>
      <c r="G454" s="934">
        <v>52505397</v>
      </c>
      <c r="H454" s="945" t="s">
        <v>2683</v>
      </c>
      <c r="I454" s="940">
        <v>4800000</v>
      </c>
      <c r="J454" s="718" t="s">
        <v>2682</v>
      </c>
      <c r="K454" s="298">
        <v>2016</v>
      </c>
      <c r="L454" s="551">
        <v>42639</v>
      </c>
      <c r="M454" s="885">
        <v>42646</v>
      </c>
      <c r="N454" s="885">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4">
        <f t="shared" si="91"/>
        <v>42769</v>
      </c>
      <c r="U454" s="62">
        <f t="shared" si="81"/>
        <v>4800000</v>
      </c>
      <c r="V454" s="172">
        <f>VLOOKUP(E454,Modificaciones!$B$7:$AU$454,46,0)</f>
        <v>4640000</v>
      </c>
      <c r="W454" s="93">
        <f t="shared" si="90"/>
        <v>160000</v>
      </c>
      <c r="X454" s="312" t="s">
        <v>2621</v>
      </c>
      <c r="Y454" s="881">
        <f t="shared" si="82"/>
        <v>0.96666666666666667</v>
      </c>
      <c r="Z454" s="42">
        <f t="shared" ca="1" si="83"/>
        <v>1</v>
      </c>
      <c r="AA454" s="43">
        <f t="shared" ca="1" si="84"/>
        <v>3.3333333333333326E-2</v>
      </c>
      <c r="AB454" s="202" t="str">
        <f t="shared" ca="1" si="85"/>
        <v/>
      </c>
      <c r="AC454" s="44" t="str">
        <f t="shared" si="89"/>
        <v>NO</v>
      </c>
      <c r="AD454" s="765" t="s">
        <v>1714</v>
      </c>
      <c r="AE454" s="173" t="s">
        <v>1257</v>
      </c>
      <c r="AF454" s="284" t="s">
        <v>2684</v>
      </c>
      <c r="AG454" s="173" t="s">
        <v>1178</v>
      </c>
      <c r="AH454" s="284" t="s">
        <v>559</v>
      </c>
      <c r="AI454" s="308"/>
      <c r="AJ454" s="308" t="s">
        <v>600</v>
      </c>
      <c r="AK454" s="181" t="str">
        <f t="shared" ca="1" si="86"/>
        <v>TERMINO</v>
      </c>
      <c r="AL454" s="181" t="s">
        <v>582</v>
      </c>
      <c r="AM454" s="176" t="s">
        <v>391</v>
      </c>
      <c r="AN454" s="875" t="str">
        <f>IFERROR(VLOOKUP(E454,'liquidaciones '!$B$2:$C$1048576,2,0),"NO")</f>
        <v>LIQUIDADO</v>
      </c>
      <c r="AO454" s="983" t="str">
        <f>IFERROR(VLOOKUP(E454,'liquidaciones '!$B$2:$I$1048576,8,0),"")</f>
        <v>MANUEL ROJAS</v>
      </c>
      <c r="AP454" s="342"/>
      <c r="AQ454" s="177" t="s">
        <v>390</v>
      </c>
      <c r="AR454" s="177" t="s">
        <v>2610</v>
      </c>
      <c r="AS454" s="438"/>
      <c r="AT454" s="1015"/>
    </row>
    <row r="455" spans="3:46" ht="33.75" x14ac:dyDescent="0.25">
      <c r="C455" s="442"/>
      <c r="D455" s="442"/>
      <c r="E455" s="893" t="s">
        <v>2686</v>
      </c>
      <c r="F455" s="882" t="s">
        <v>2687</v>
      </c>
      <c r="G455" s="935">
        <v>1030642892</v>
      </c>
      <c r="H455" s="946" t="s">
        <v>2688</v>
      </c>
      <c r="I455" s="940">
        <v>4800000</v>
      </c>
      <c r="J455" s="718" t="s">
        <v>2686</v>
      </c>
      <c r="K455" s="298">
        <v>2016</v>
      </c>
      <c r="L455" s="551">
        <v>42643</v>
      </c>
      <c r="M455" s="885">
        <v>42646</v>
      </c>
      <c r="N455" s="885">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4">
        <f t="shared" si="91"/>
        <v>42769</v>
      </c>
      <c r="U455" s="62">
        <f t="shared" ref="U455:U518" si="92">I455+P455</f>
        <v>4800000</v>
      </c>
      <c r="V455" s="172">
        <f>VLOOKUP(E455,Modificaciones!$B$7:$AU$455,46,0)</f>
        <v>4800000</v>
      </c>
      <c r="W455" s="93">
        <f t="shared" si="90"/>
        <v>0</v>
      </c>
      <c r="X455" s="312" t="s">
        <v>1095</v>
      </c>
      <c r="Y455" s="881">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5" t="s">
        <v>1714</v>
      </c>
      <c r="AE455" s="173" t="s">
        <v>1257</v>
      </c>
      <c r="AF455" s="284" t="s">
        <v>2689</v>
      </c>
      <c r="AG455" s="173"/>
      <c r="AH455" s="284" t="s">
        <v>562</v>
      </c>
      <c r="AI455" s="308"/>
      <c r="AJ455" s="308" t="s">
        <v>600</v>
      </c>
      <c r="AK455" s="181" t="str">
        <f t="shared" ref="AK455:AK518" ca="1" si="97">IF(T455&gt;=$F$3,"EN EJECUCIÓN","TERMINO")</f>
        <v>TERMINO</v>
      </c>
      <c r="AL455" s="181" t="s">
        <v>582</v>
      </c>
      <c r="AM455" s="176" t="s">
        <v>391</v>
      </c>
      <c r="AN455" s="875" t="str">
        <f>IFERROR(VLOOKUP(E455,'liquidaciones '!$B$2:$C$1048576,2,0),"NO")</f>
        <v>LIQUIDADO</v>
      </c>
      <c r="AO455" s="983" t="str">
        <f>IFERROR(VLOOKUP(E455,'liquidaciones '!$B$2:$I$1048576,8,0),"")</f>
        <v>EDWARD MORENO</v>
      </c>
      <c r="AP455" s="342"/>
      <c r="AQ455" s="177" t="s">
        <v>390</v>
      </c>
      <c r="AR455" s="177" t="s">
        <v>1511</v>
      </c>
      <c r="AS455" s="438"/>
      <c r="AT455" s="1015"/>
    </row>
    <row r="456" spans="3:46" ht="33.75" x14ac:dyDescent="0.25">
      <c r="C456" s="442">
        <v>222</v>
      </c>
      <c r="D456" s="442"/>
      <c r="E456" s="883" t="s">
        <v>2691</v>
      </c>
      <c r="F456" s="882" t="s">
        <v>2692</v>
      </c>
      <c r="G456" s="934" t="s">
        <v>2693</v>
      </c>
      <c r="H456" s="945" t="s">
        <v>2711</v>
      </c>
      <c r="I456" s="940">
        <v>5150000</v>
      </c>
      <c r="J456" s="718" t="s">
        <v>2694</v>
      </c>
      <c r="K456" s="298">
        <v>2016</v>
      </c>
      <c r="L456" s="551">
        <v>42634</v>
      </c>
      <c r="M456" s="885">
        <v>42649</v>
      </c>
      <c r="N456" s="885">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4">
        <f t="shared" si="91"/>
        <v>42831</v>
      </c>
      <c r="U456" s="62">
        <f t="shared" si="92"/>
        <v>5150000</v>
      </c>
      <c r="V456" s="172">
        <f>VLOOKUP(E456,Modificaciones!$B$7:$AU$456,46,0)</f>
        <v>0</v>
      </c>
      <c r="W456" s="93">
        <f t="shared" si="90"/>
        <v>5150000</v>
      </c>
      <c r="X456" s="312" t="s">
        <v>2161</v>
      </c>
      <c r="Y456" s="881">
        <f t="shared" si="93"/>
        <v>0</v>
      </c>
      <c r="Z456" s="42">
        <f t="shared" ca="1" si="94"/>
        <v>1</v>
      </c>
      <c r="AA456" s="43">
        <f t="shared" ca="1" si="95"/>
        <v>1</v>
      </c>
      <c r="AB456" s="202" t="str">
        <f t="shared" ca="1" si="96"/>
        <v/>
      </c>
      <c r="AC456" s="44" t="str">
        <f t="shared" si="89"/>
        <v>NO</v>
      </c>
      <c r="AD456" s="765" t="s">
        <v>1713</v>
      </c>
      <c r="AE456" s="173" t="s">
        <v>1257</v>
      </c>
      <c r="AF456" s="284" t="s">
        <v>1173</v>
      </c>
      <c r="AG456" s="173" t="s">
        <v>1443</v>
      </c>
      <c r="AH456" s="284" t="s">
        <v>560</v>
      </c>
      <c r="AI456" s="174" t="s">
        <v>1381</v>
      </c>
      <c r="AJ456" s="308" t="s">
        <v>600</v>
      </c>
      <c r="AK456" s="181" t="str">
        <f t="shared" ca="1" si="97"/>
        <v>TERMINO</v>
      </c>
      <c r="AL456" s="181" t="s">
        <v>576</v>
      </c>
      <c r="AM456" s="176" t="s">
        <v>390</v>
      </c>
      <c r="AN456" s="875" t="str">
        <f>IFERROR(VLOOKUP(E456,'liquidaciones '!$B$2:$C$1048576,2,0),"NO")</f>
        <v>NO</v>
      </c>
      <c r="AO456" s="983" t="str">
        <f>IFERROR(VLOOKUP(E456,'liquidaciones '!$B$2:$I$1048576,8,0),"")</f>
        <v>JULIETH ANGARITA</v>
      </c>
      <c r="AP456" s="342"/>
      <c r="AQ456" s="177" t="s">
        <v>390</v>
      </c>
      <c r="AR456" s="177" t="s">
        <v>2982</v>
      </c>
      <c r="AS456" s="438"/>
      <c r="AT456" s="1015"/>
    </row>
    <row r="457" spans="3:46" ht="22.5" x14ac:dyDescent="0.25">
      <c r="C457" s="442">
        <v>138</v>
      </c>
      <c r="D457" s="442" t="str">
        <f>K457&amp;C457</f>
        <v>2016138</v>
      </c>
      <c r="E457" s="883" t="s">
        <v>2695</v>
      </c>
      <c r="F457" s="882" t="s">
        <v>2226</v>
      </c>
      <c r="G457" s="934">
        <v>860009759</v>
      </c>
      <c r="H457" s="945" t="s">
        <v>2227</v>
      </c>
      <c r="I457" s="940">
        <v>817587</v>
      </c>
      <c r="J457" s="718" t="s">
        <v>2695</v>
      </c>
      <c r="K457" s="298">
        <v>2016</v>
      </c>
      <c r="L457" s="551">
        <v>42643</v>
      </c>
      <c r="M457" s="885">
        <v>42703</v>
      </c>
      <c r="N457" s="885">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4">
        <f t="shared" si="91"/>
        <v>43068</v>
      </c>
      <c r="U457" s="62">
        <f t="shared" si="92"/>
        <v>817587</v>
      </c>
      <c r="V457" s="172">
        <f>VLOOKUP(E457,Modificaciones!$B$7:$AU$458,46,0)</f>
        <v>817587</v>
      </c>
      <c r="W457" s="93">
        <f t="shared" si="90"/>
        <v>0</v>
      </c>
      <c r="X457" s="312" t="s">
        <v>2119</v>
      </c>
      <c r="Y457" s="881">
        <f t="shared" si="93"/>
        <v>1</v>
      </c>
      <c r="Z457" s="42">
        <f t="shared" ca="1" si="94"/>
        <v>1</v>
      </c>
      <c r="AA457" s="43">
        <f t="shared" ca="1" si="95"/>
        <v>0</v>
      </c>
      <c r="AB457" s="202" t="str">
        <f t="shared" ca="1" si="96"/>
        <v/>
      </c>
      <c r="AC457" s="44" t="str">
        <f t="shared" si="89"/>
        <v>SI</v>
      </c>
      <c r="AD457" s="765" t="s">
        <v>1717</v>
      </c>
      <c r="AE457" s="173" t="s">
        <v>1257</v>
      </c>
      <c r="AF457" s="284" t="s">
        <v>1126</v>
      </c>
      <c r="AG457" s="173" t="s">
        <v>1431</v>
      </c>
      <c r="AH457" s="284" t="s">
        <v>564</v>
      </c>
      <c r="AI457" s="308"/>
      <c r="AJ457" s="308" t="s">
        <v>600</v>
      </c>
      <c r="AK457" s="181" t="str">
        <f t="shared" ca="1" si="97"/>
        <v>TERMINO</v>
      </c>
      <c r="AL457" s="313" t="s">
        <v>582</v>
      </c>
      <c r="AM457" s="176" t="s">
        <v>390</v>
      </c>
      <c r="AN457" s="875" t="str">
        <f>IFERROR(VLOOKUP(E457,'liquidaciones '!$B$2:$C$1048576,2,0),"NO")</f>
        <v>NO</v>
      </c>
      <c r="AO457" s="983" t="str">
        <f>IFERROR(VLOOKUP(E457,'liquidaciones '!$B$2:$I$1048576,8,0),"")</f>
        <v/>
      </c>
      <c r="AP457" s="342"/>
      <c r="AQ457" s="177" t="s">
        <v>390</v>
      </c>
      <c r="AR457" s="177" t="s">
        <v>2982</v>
      </c>
      <c r="AS457" s="438"/>
      <c r="AT457" s="1015"/>
    </row>
    <row r="458" spans="3:46" ht="45" x14ac:dyDescent="0.25">
      <c r="C458" s="442"/>
      <c r="D458" s="442" t="str">
        <f>K458&amp;C458</f>
        <v>2016</v>
      </c>
      <c r="E458" s="883" t="s">
        <v>2698</v>
      </c>
      <c r="F458" s="882" t="s">
        <v>2701</v>
      </c>
      <c r="G458" s="934">
        <v>51908487</v>
      </c>
      <c r="H458" s="945" t="s">
        <v>2699</v>
      </c>
      <c r="I458" s="940">
        <v>22000000</v>
      </c>
      <c r="J458" s="718" t="s">
        <v>2698</v>
      </c>
      <c r="K458" s="298">
        <v>2016</v>
      </c>
      <c r="L458" s="551">
        <v>42643</v>
      </c>
      <c r="M458" s="885">
        <v>42646</v>
      </c>
      <c r="N458" s="885">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4">
        <f t="shared" si="91"/>
        <v>42769</v>
      </c>
      <c r="U458" s="62">
        <f t="shared" si="92"/>
        <v>22000000</v>
      </c>
      <c r="V458" s="172">
        <f>VLOOKUP(E458,Modificaciones!$B$7:$AU$458,46,0)</f>
        <v>22000000</v>
      </c>
      <c r="W458" s="93">
        <f t="shared" si="90"/>
        <v>0</v>
      </c>
      <c r="X458" s="312" t="s">
        <v>1095</v>
      </c>
      <c r="Y458" s="881">
        <f t="shared" si="93"/>
        <v>1</v>
      </c>
      <c r="Z458" s="42">
        <f t="shared" ca="1" si="94"/>
        <v>1</v>
      </c>
      <c r="AA458" s="43">
        <f t="shared" ca="1" si="95"/>
        <v>0</v>
      </c>
      <c r="AB458" s="202" t="str">
        <f t="shared" ca="1" si="96"/>
        <v/>
      </c>
      <c r="AC458" s="44" t="str">
        <f t="shared" si="89"/>
        <v>SI</v>
      </c>
      <c r="AD458" s="765" t="s">
        <v>2487</v>
      </c>
      <c r="AE458" s="173" t="s">
        <v>1257</v>
      </c>
      <c r="AF458" s="173" t="s">
        <v>2179</v>
      </c>
      <c r="AG458" s="173" t="s">
        <v>1178</v>
      </c>
      <c r="AH458" s="284" t="s">
        <v>559</v>
      </c>
      <c r="AI458" s="174"/>
      <c r="AJ458" s="308" t="s">
        <v>600</v>
      </c>
      <c r="AK458" s="181" t="str">
        <f t="shared" ca="1" si="97"/>
        <v>TERMINO</v>
      </c>
      <c r="AL458" s="181" t="s">
        <v>582</v>
      </c>
      <c r="AM458" s="176" t="s">
        <v>391</v>
      </c>
      <c r="AN458" s="875" t="str">
        <f>IFERROR(VLOOKUP(E458,'liquidaciones '!$B$2:$C$1048576,2,0),"NO")</f>
        <v>LIQUIDADO</v>
      </c>
      <c r="AO458" s="983" t="str">
        <f>IFERROR(VLOOKUP(E458,'liquidaciones '!$B$2:$I$1048576,8,0),"")</f>
        <v>ANDREA CASAS</v>
      </c>
      <c r="AP458" s="342"/>
      <c r="AQ458" s="177" t="s">
        <v>390</v>
      </c>
      <c r="AR458" s="177" t="s">
        <v>981</v>
      </c>
      <c r="AS458" s="438"/>
      <c r="AT458" s="1015"/>
    </row>
    <row r="459" spans="3:46" ht="45" x14ac:dyDescent="0.25">
      <c r="C459" s="442"/>
      <c r="D459" s="442"/>
      <c r="E459" s="883" t="s">
        <v>2700</v>
      </c>
      <c r="F459" s="882" t="s">
        <v>2702</v>
      </c>
      <c r="G459" s="934">
        <v>79615371</v>
      </c>
      <c r="H459" s="945" t="s">
        <v>2699</v>
      </c>
      <c r="I459" s="940">
        <v>22000000</v>
      </c>
      <c r="J459" s="718" t="s">
        <v>2700</v>
      </c>
      <c r="K459" s="298">
        <v>2016</v>
      </c>
      <c r="L459" s="551">
        <v>42642</v>
      </c>
      <c r="M459" s="885">
        <v>42646</v>
      </c>
      <c r="N459" s="885">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4">
        <f t="shared" si="91"/>
        <v>42769</v>
      </c>
      <c r="U459" s="62">
        <f t="shared" si="92"/>
        <v>22000000</v>
      </c>
      <c r="V459" s="172">
        <f>VLOOKUP(E459,Modificaciones!$B$7:$AU$459,46,0)</f>
        <v>22000000</v>
      </c>
      <c r="W459" s="93">
        <f t="shared" si="90"/>
        <v>0</v>
      </c>
      <c r="X459" s="312" t="s">
        <v>1095</v>
      </c>
      <c r="Y459" s="881">
        <f t="shared" si="93"/>
        <v>1</v>
      </c>
      <c r="Z459" s="42">
        <f t="shared" ca="1" si="94"/>
        <v>1</v>
      </c>
      <c r="AA459" s="43">
        <f t="shared" ca="1" si="95"/>
        <v>0</v>
      </c>
      <c r="AB459" s="202" t="str">
        <f t="shared" ca="1" si="96"/>
        <v/>
      </c>
      <c r="AC459" s="44" t="str">
        <f t="shared" si="89"/>
        <v>SI</v>
      </c>
      <c r="AD459" s="765" t="s">
        <v>2487</v>
      </c>
      <c r="AE459" s="173" t="s">
        <v>1257</v>
      </c>
      <c r="AF459" s="173" t="s">
        <v>2179</v>
      </c>
      <c r="AG459" s="173" t="s">
        <v>1178</v>
      </c>
      <c r="AH459" s="284" t="s">
        <v>559</v>
      </c>
      <c r="AI459" s="174"/>
      <c r="AJ459" s="308" t="s">
        <v>600</v>
      </c>
      <c r="AK459" s="181" t="str">
        <f t="shared" ca="1" si="97"/>
        <v>TERMINO</v>
      </c>
      <c r="AL459" s="181" t="s">
        <v>582</v>
      </c>
      <c r="AM459" s="176" t="s">
        <v>391</v>
      </c>
      <c r="AN459" s="875" t="str">
        <f>IFERROR(VLOOKUP(E459,'liquidaciones '!$B$2:$C$1048576,2,0),"NO")</f>
        <v>LIQUIDADO</v>
      </c>
      <c r="AO459" s="983" t="str">
        <f>IFERROR(VLOOKUP(E459,'liquidaciones '!$B$2:$I$1048576,8,0),"")</f>
        <v>ANDREA CASAS</v>
      </c>
      <c r="AP459" s="342"/>
      <c r="AQ459" s="177" t="s">
        <v>390</v>
      </c>
      <c r="AR459" s="177" t="s">
        <v>981</v>
      </c>
      <c r="AS459" s="438"/>
      <c r="AT459" s="1015"/>
    </row>
    <row r="460" spans="3:46" ht="45" x14ac:dyDescent="0.25">
      <c r="C460" s="442"/>
      <c r="D460" s="442" t="str">
        <f t="shared" ref="D460:D485" si="98">K460&amp;C460</f>
        <v>2016</v>
      </c>
      <c r="E460" s="895" t="s">
        <v>2703</v>
      </c>
      <c r="F460" s="893" t="s">
        <v>2704</v>
      </c>
      <c r="G460" s="935">
        <v>51976235</v>
      </c>
      <c r="H460" s="945" t="s">
        <v>2699</v>
      </c>
      <c r="I460" s="940">
        <v>22000000</v>
      </c>
      <c r="J460" s="892" t="s">
        <v>2703</v>
      </c>
      <c r="K460" s="298">
        <v>2016</v>
      </c>
      <c r="L460" s="551">
        <v>42642</v>
      </c>
      <c r="M460" s="894">
        <v>42646</v>
      </c>
      <c r="N460" s="894">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4">
        <f t="shared" si="91"/>
        <v>42769</v>
      </c>
      <c r="U460" s="62">
        <f t="shared" si="92"/>
        <v>22000000</v>
      </c>
      <c r="V460" s="172">
        <f>VLOOKUP(E460,Modificaciones!$B$7:$AU$460,46,0)</f>
        <v>22000000</v>
      </c>
      <c r="W460" s="93">
        <f t="shared" si="90"/>
        <v>0</v>
      </c>
      <c r="X460" s="312" t="s">
        <v>1095</v>
      </c>
      <c r="Y460" s="881">
        <f t="shared" si="93"/>
        <v>1</v>
      </c>
      <c r="Z460" s="42">
        <f t="shared" ca="1" si="94"/>
        <v>1</v>
      </c>
      <c r="AA460" s="43">
        <f t="shared" ca="1" si="95"/>
        <v>0</v>
      </c>
      <c r="AB460" s="202" t="str">
        <f t="shared" ca="1" si="96"/>
        <v/>
      </c>
      <c r="AC460" s="44" t="str">
        <f t="shared" si="89"/>
        <v>SI</v>
      </c>
      <c r="AD460" s="765" t="s">
        <v>2487</v>
      </c>
      <c r="AE460" s="173" t="s">
        <v>1257</v>
      </c>
      <c r="AF460" s="173" t="s">
        <v>2179</v>
      </c>
      <c r="AG460" s="173" t="s">
        <v>1178</v>
      </c>
      <c r="AH460" s="284" t="s">
        <v>559</v>
      </c>
      <c r="AI460" s="174"/>
      <c r="AJ460" s="308" t="s">
        <v>600</v>
      </c>
      <c r="AK460" s="181" t="str">
        <f t="shared" ca="1" si="97"/>
        <v>TERMINO</v>
      </c>
      <c r="AL460" s="181" t="s">
        <v>582</v>
      </c>
      <c r="AM460" s="176" t="s">
        <v>391</v>
      </c>
      <c r="AN460" s="875" t="str">
        <f>IFERROR(VLOOKUP(E460,'liquidaciones '!$B$2:$C$1048576,2,0),"NO")</f>
        <v>LIQUIDADO</v>
      </c>
      <c r="AO460" s="983" t="str">
        <f>IFERROR(VLOOKUP(E460,'liquidaciones '!$B$2:$I$1048576,8,0),"")</f>
        <v>ANDREA CASAS</v>
      </c>
      <c r="AP460" s="342"/>
      <c r="AQ460" s="177" t="s">
        <v>390</v>
      </c>
      <c r="AR460" s="177" t="s">
        <v>981</v>
      </c>
      <c r="AS460" s="438"/>
      <c r="AT460" s="1015"/>
    </row>
    <row r="461" spans="3:46" ht="45" x14ac:dyDescent="0.25">
      <c r="C461" s="442">
        <v>201</v>
      </c>
      <c r="D461" s="442" t="str">
        <f t="shared" si="98"/>
        <v>2016201</v>
      </c>
      <c r="E461" s="883" t="s">
        <v>2705</v>
      </c>
      <c r="F461" s="882" t="s">
        <v>1865</v>
      </c>
      <c r="G461" s="934">
        <v>830124848</v>
      </c>
      <c r="H461" s="945" t="s">
        <v>3058</v>
      </c>
      <c r="I461" s="940">
        <v>17275885</v>
      </c>
      <c r="J461" s="718" t="s">
        <v>2706</v>
      </c>
      <c r="K461" s="298">
        <v>2016</v>
      </c>
      <c r="L461" s="551">
        <v>42647</v>
      </c>
      <c r="M461" s="885">
        <v>42664</v>
      </c>
      <c r="N461" s="885">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4">
        <f t="shared" si="91"/>
        <v>42880</v>
      </c>
      <c r="U461" s="62">
        <f t="shared" si="92"/>
        <v>25913885</v>
      </c>
      <c r="V461" s="172">
        <f>VLOOKUP(E461,Modificaciones!$B$7:$AU$461,46,0)</f>
        <v>25913856</v>
      </c>
      <c r="W461" s="93">
        <f t="shared" si="90"/>
        <v>29</v>
      </c>
      <c r="X461" s="312" t="s">
        <v>1867</v>
      </c>
      <c r="Y461" s="881">
        <f t="shared" si="93"/>
        <v>0.99999888090882549</v>
      </c>
      <c r="Z461" s="42">
        <f t="shared" ca="1" si="94"/>
        <v>1</v>
      </c>
      <c r="AA461" s="43">
        <f t="shared" ca="1" si="95"/>
        <v>1.1190911745062593E-6</v>
      </c>
      <c r="AB461" s="202" t="str">
        <f t="shared" ca="1" si="96"/>
        <v/>
      </c>
      <c r="AC461" s="44" t="str">
        <f t="shared" si="89"/>
        <v>SI</v>
      </c>
      <c r="AD461" s="765" t="s">
        <v>1713</v>
      </c>
      <c r="AE461" s="173" t="s">
        <v>1258</v>
      </c>
      <c r="AF461" s="304" t="s">
        <v>1167</v>
      </c>
      <c r="AG461" s="173" t="s">
        <v>1440</v>
      </c>
      <c r="AH461" s="284" t="s">
        <v>560</v>
      </c>
      <c r="AI461" s="308" t="s">
        <v>1510</v>
      </c>
      <c r="AJ461" s="308" t="s">
        <v>600</v>
      </c>
      <c r="AK461" s="181" t="str">
        <f t="shared" ca="1" si="97"/>
        <v>TERMINO</v>
      </c>
      <c r="AL461" s="313" t="s">
        <v>575</v>
      </c>
      <c r="AM461" s="176" t="s">
        <v>390</v>
      </c>
      <c r="AN461" s="875" t="str">
        <f>IFERROR(VLOOKUP(E461,'liquidaciones '!$B$2:$C$1048576,2,0),"NO")</f>
        <v>NO</v>
      </c>
      <c r="AO461" s="983" t="str">
        <f>IFERROR(VLOOKUP(E461,'liquidaciones '!$B$2:$I$1048576,8,0),"")</f>
        <v>GIOVANNI SUAREZ</v>
      </c>
      <c r="AP461" s="342"/>
      <c r="AQ461" s="177" t="s">
        <v>390</v>
      </c>
      <c r="AR461" s="177" t="s">
        <v>2924</v>
      </c>
      <c r="AS461" s="438"/>
      <c r="AT461" s="1015"/>
    </row>
    <row r="462" spans="3:46" ht="30" x14ac:dyDescent="0.25">
      <c r="C462" s="442">
        <v>91</v>
      </c>
      <c r="D462" s="442" t="str">
        <f t="shared" si="98"/>
        <v>201691</v>
      </c>
      <c r="E462" s="883" t="s">
        <v>2707</v>
      </c>
      <c r="F462" s="882" t="s">
        <v>2708</v>
      </c>
      <c r="G462" s="934" t="s">
        <v>2127</v>
      </c>
      <c r="H462" s="945" t="s">
        <v>2709</v>
      </c>
      <c r="I462" s="940">
        <v>46980000</v>
      </c>
      <c r="J462" s="718" t="s">
        <v>2710</v>
      </c>
      <c r="K462" s="298">
        <v>2016</v>
      </c>
      <c r="L462" s="551">
        <v>42643</v>
      </c>
      <c r="M462" s="885">
        <v>42664</v>
      </c>
      <c r="N462" s="885">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4">
        <f t="shared" si="91"/>
        <v>42815</v>
      </c>
      <c r="U462" s="62">
        <f t="shared" si="92"/>
        <v>46980000</v>
      </c>
      <c r="V462" s="172">
        <f>VLOOKUP(E462,Modificaciones!$B$7:$AU$462,46,0)</f>
        <v>46980000</v>
      </c>
      <c r="W462" s="93">
        <f t="shared" si="90"/>
        <v>0</v>
      </c>
      <c r="X462" s="312" t="s">
        <v>2266</v>
      </c>
      <c r="Y462" s="881">
        <f t="shared" si="93"/>
        <v>1</v>
      </c>
      <c r="Z462" s="42">
        <f t="shared" ca="1" si="94"/>
        <v>1</v>
      </c>
      <c r="AA462" s="43">
        <f t="shared" ca="1" si="95"/>
        <v>0</v>
      </c>
      <c r="AB462" s="202" t="str">
        <f t="shared" ca="1" si="96"/>
        <v/>
      </c>
      <c r="AC462" s="44" t="str">
        <f t="shared" si="89"/>
        <v>SI</v>
      </c>
      <c r="AD462" s="765" t="s">
        <v>1713</v>
      </c>
      <c r="AE462" s="173" t="s">
        <v>1258</v>
      </c>
      <c r="AF462" s="284" t="s">
        <v>2267</v>
      </c>
      <c r="AG462" s="173" t="s">
        <v>1440</v>
      </c>
      <c r="AH462" s="284" t="s">
        <v>560</v>
      </c>
      <c r="AI462" s="308" t="s">
        <v>1510</v>
      </c>
      <c r="AJ462" s="308" t="s">
        <v>600</v>
      </c>
      <c r="AK462" s="181" t="str">
        <f t="shared" ca="1" si="97"/>
        <v>TERMINO</v>
      </c>
      <c r="AL462" s="313" t="s">
        <v>574</v>
      </c>
      <c r="AM462" s="176" t="s">
        <v>390</v>
      </c>
      <c r="AN462" s="875" t="str">
        <f>IFERROR(VLOOKUP(E462,'liquidaciones '!$B$2:$C$1048576,2,0),"NO")</f>
        <v>NO</v>
      </c>
      <c r="AO462" s="983" t="str">
        <f>IFERROR(VLOOKUP(E462,'liquidaciones '!$B$2:$I$1048576,8,0),"")</f>
        <v>GIOVANNI SUAREZ</v>
      </c>
      <c r="AP462" s="342"/>
      <c r="AQ462" s="177" t="s">
        <v>390</v>
      </c>
      <c r="AR462" s="177" t="s">
        <v>2609</v>
      </c>
      <c r="AS462" s="438"/>
      <c r="AT462" s="1015"/>
    </row>
    <row r="463" spans="3:46" ht="45" x14ac:dyDescent="0.25">
      <c r="C463" s="442"/>
      <c r="D463" s="442" t="str">
        <f t="shared" si="98"/>
        <v>2016</v>
      </c>
      <c r="E463" s="883" t="s">
        <v>2714</v>
      </c>
      <c r="F463" s="882" t="s">
        <v>186</v>
      </c>
      <c r="G463" s="934">
        <v>800039398</v>
      </c>
      <c r="H463" s="945" t="s">
        <v>2722</v>
      </c>
      <c r="I463" s="940">
        <v>132050000</v>
      </c>
      <c r="J463" s="718" t="s">
        <v>2715</v>
      </c>
      <c r="K463" s="298">
        <v>2016</v>
      </c>
      <c r="L463" s="551">
        <v>42646</v>
      </c>
      <c r="M463" s="885">
        <v>42678</v>
      </c>
      <c r="N463" s="885">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4">
        <f t="shared" si="91"/>
        <v>43043</v>
      </c>
      <c r="U463" s="62">
        <f t="shared" si="92"/>
        <v>132050000</v>
      </c>
      <c r="V463" s="172">
        <f>VLOOKUP(E463,Modificaciones!$B$7:$AU$463,46,0)</f>
        <v>122584393</v>
      </c>
      <c r="W463" s="93">
        <f t="shared" si="90"/>
        <v>9465607</v>
      </c>
      <c r="X463" s="312"/>
      <c r="Y463" s="881">
        <f t="shared" si="93"/>
        <v>0.92831800833017797</v>
      </c>
      <c r="Z463" s="42">
        <f t="shared" ca="1" si="94"/>
        <v>1</v>
      </c>
      <c r="AA463" s="43">
        <f t="shared" ca="1" si="95"/>
        <v>7.1681991669822032E-2</v>
      </c>
      <c r="AB463" s="202" t="str">
        <f t="shared" ca="1" si="96"/>
        <v/>
      </c>
      <c r="AC463" s="44" t="str">
        <f t="shared" si="89"/>
        <v>NO</v>
      </c>
      <c r="AD463" s="765" t="s">
        <v>1713</v>
      </c>
      <c r="AE463" s="173" t="s">
        <v>1258</v>
      </c>
      <c r="AF463" s="284" t="s">
        <v>2084</v>
      </c>
      <c r="AG463" s="173" t="s">
        <v>1440</v>
      </c>
      <c r="AH463" s="284" t="s">
        <v>560</v>
      </c>
      <c r="AI463" s="308" t="s">
        <v>1510</v>
      </c>
      <c r="AJ463" s="308" t="s">
        <v>600</v>
      </c>
      <c r="AK463" s="181" t="str">
        <f t="shared" ca="1" si="97"/>
        <v>TERMINO</v>
      </c>
      <c r="AL463" s="313" t="s">
        <v>575</v>
      </c>
      <c r="AM463" s="176" t="s">
        <v>390</v>
      </c>
      <c r="AN463" s="875" t="str">
        <f>IFERROR(VLOOKUP(E463,'liquidaciones '!$B$2:$C$1048576,2,0),"NO")</f>
        <v>NO</v>
      </c>
      <c r="AO463" s="983" t="str">
        <f>IFERROR(VLOOKUP(E463,'liquidaciones '!$B$2:$I$1048576,8,0),"")</f>
        <v/>
      </c>
      <c r="AP463" s="342"/>
      <c r="AQ463" s="177" t="s">
        <v>390</v>
      </c>
      <c r="AR463" s="438" t="s">
        <v>3541</v>
      </c>
      <c r="AS463" s="438" t="s">
        <v>3818</v>
      </c>
      <c r="AT463" s="1018" t="s">
        <v>3836</v>
      </c>
    </row>
    <row r="464" spans="3:46" ht="45" x14ac:dyDescent="0.25">
      <c r="C464" s="442">
        <v>92</v>
      </c>
      <c r="D464" s="442" t="str">
        <f t="shared" si="98"/>
        <v>201692</v>
      </c>
      <c r="E464" s="883" t="s">
        <v>2716</v>
      </c>
      <c r="F464" s="882" t="s">
        <v>2717</v>
      </c>
      <c r="G464" s="934" t="s">
        <v>2718</v>
      </c>
      <c r="H464" s="945" t="s">
        <v>2719</v>
      </c>
      <c r="I464" s="940">
        <v>173000000</v>
      </c>
      <c r="J464" s="718" t="s">
        <v>2721</v>
      </c>
      <c r="K464" s="298">
        <v>2016</v>
      </c>
      <c r="L464" s="551">
        <v>42668</v>
      </c>
      <c r="M464" s="885">
        <v>42670</v>
      </c>
      <c r="N464" s="885">
        <v>43035</v>
      </c>
      <c r="O464" s="127">
        <f>COUNTA(Modificaciones!I450,Modificaciones!K450,Modificaciones!M450,Modificaciones!O450)</f>
        <v>0</v>
      </c>
      <c r="P464" s="128">
        <f>VLOOKUP(E464,Modificaciones!$B$7:$Q$464,16,0)</f>
        <v>0</v>
      </c>
      <c r="Q464" s="129">
        <f>COUNTA(Modificaciones!S464,Modificaciones!U464,Modificaciones!W464,Modificaciones!Y464)</f>
        <v>0</v>
      </c>
      <c r="R464" s="130" t="str">
        <f>IF(Modificaciones!Z464=0,"",VLOOKUP(E464,Modificaciones!$B$7:$AA$500,25,0))</f>
        <v/>
      </c>
      <c r="S464" s="131" t="str">
        <f>IF(Modificaciones!AA464=0,"",VLOOKUP(E464,Modificaciones!$B$7:$AA$500,26,0))</f>
        <v/>
      </c>
      <c r="T464" s="884">
        <f t="shared" si="91"/>
        <v>43035</v>
      </c>
      <c r="U464" s="62">
        <f t="shared" si="92"/>
        <v>173000000</v>
      </c>
      <c r="V464" s="172">
        <f>VLOOKUP(E464,Modificaciones!$B$7:$AU$464,46,0)</f>
        <v>110397396</v>
      </c>
      <c r="W464" s="93">
        <f t="shared" si="90"/>
        <v>62602604</v>
      </c>
      <c r="X464" s="312" t="s">
        <v>2720</v>
      </c>
      <c r="Y464" s="881">
        <f t="shared" si="93"/>
        <v>0.6381352369942197</v>
      </c>
      <c r="Z464" s="42">
        <f t="shared" ca="1" si="94"/>
        <v>1</v>
      </c>
      <c r="AA464" s="43">
        <f t="shared" ca="1" si="95"/>
        <v>0.3618647630057803</v>
      </c>
      <c r="AB464" s="202" t="str">
        <f t="shared" ca="1" si="96"/>
        <v/>
      </c>
      <c r="AC464" s="44" t="str">
        <f t="shared" si="89"/>
        <v>NO</v>
      </c>
      <c r="AD464" s="765" t="s">
        <v>1713</v>
      </c>
      <c r="AE464" s="173" t="s">
        <v>1258</v>
      </c>
      <c r="AF464" s="284" t="s">
        <v>1576</v>
      </c>
      <c r="AG464" s="173" t="s">
        <v>1440</v>
      </c>
      <c r="AH464" s="284" t="s">
        <v>560</v>
      </c>
      <c r="AI464" s="308" t="s">
        <v>1510</v>
      </c>
      <c r="AJ464" s="308" t="s">
        <v>600</v>
      </c>
      <c r="AK464" s="181" t="str">
        <f t="shared" ca="1" si="97"/>
        <v>TERMINO</v>
      </c>
      <c r="AL464" s="313" t="s">
        <v>576</v>
      </c>
      <c r="AM464" s="176" t="s">
        <v>390</v>
      </c>
      <c r="AN464" s="875" t="str">
        <f>IFERROR(VLOOKUP(E464,'liquidaciones '!$B$2:$C$1048576,2,0),"NO")</f>
        <v>NO</v>
      </c>
      <c r="AO464" s="983" t="str">
        <f>IFERROR(VLOOKUP(E464,'liquidaciones '!$B$2:$I$1048576,8,0),"")</f>
        <v/>
      </c>
      <c r="AP464" s="342"/>
      <c r="AQ464" s="177" t="s">
        <v>390</v>
      </c>
      <c r="AR464" s="438" t="s">
        <v>3541</v>
      </c>
      <c r="AS464" s="438"/>
      <c r="AT464" s="1015"/>
    </row>
    <row r="465" spans="3:46" ht="30" x14ac:dyDescent="0.25">
      <c r="C465" s="442"/>
      <c r="D465" s="442" t="str">
        <f t="shared" si="98"/>
        <v>2016</v>
      </c>
      <c r="E465" s="883" t="s">
        <v>2724</v>
      </c>
      <c r="F465" s="882" t="s">
        <v>2725</v>
      </c>
      <c r="G465" s="934" t="s">
        <v>2726</v>
      </c>
      <c r="H465" s="945" t="s">
        <v>2727</v>
      </c>
      <c r="I465" s="940">
        <v>14583984</v>
      </c>
      <c r="J465" s="718" t="s">
        <v>2728</v>
      </c>
      <c r="K465" s="298">
        <v>2016</v>
      </c>
      <c r="L465" s="551">
        <v>42677</v>
      </c>
      <c r="M465" s="885">
        <v>42690</v>
      </c>
      <c r="N465" s="885">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4">
        <f t="shared" si="91"/>
        <v>42766</v>
      </c>
      <c r="U465" s="62">
        <f t="shared" si="92"/>
        <v>14583984</v>
      </c>
      <c r="V465" s="172">
        <f>VLOOKUP(E465,Modificaciones!$B$7:$AU$465,46,0)</f>
        <v>14583984</v>
      </c>
      <c r="W465" s="93">
        <f t="shared" si="90"/>
        <v>0</v>
      </c>
      <c r="X465" s="312" t="s">
        <v>2729</v>
      </c>
      <c r="Y465" s="881">
        <f t="shared" si="93"/>
        <v>1</v>
      </c>
      <c r="Z465" s="42">
        <f t="shared" ca="1" si="94"/>
        <v>1</v>
      </c>
      <c r="AA465" s="43">
        <f t="shared" ca="1" si="95"/>
        <v>0</v>
      </c>
      <c r="AB465" s="202" t="str">
        <f t="shared" ca="1" si="96"/>
        <v/>
      </c>
      <c r="AC465" s="44" t="str">
        <f t="shared" si="89"/>
        <v>SI</v>
      </c>
      <c r="AD465" s="765" t="s">
        <v>1715</v>
      </c>
      <c r="AE465" s="173" t="s">
        <v>1257</v>
      </c>
      <c r="AF465" s="284" t="s">
        <v>2730</v>
      </c>
      <c r="AG465" s="173" t="s">
        <v>1436</v>
      </c>
      <c r="AH465" s="284" t="s">
        <v>560</v>
      </c>
      <c r="AI465" s="308" t="s">
        <v>1390</v>
      </c>
      <c r="AJ465" s="308" t="s">
        <v>600</v>
      </c>
      <c r="AK465" s="181" t="str">
        <f t="shared" ca="1" si="97"/>
        <v>TERMINO</v>
      </c>
      <c r="AL465" s="313" t="s">
        <v>576</v>
      </c>
      <c r="AM465" s="176" t="s">
        <v>390</v>
      </c>
      <c r="AN465" s="875" t="str">
        <f>IFERROR(VLOOKUP(E465,'liquidaciones '!$B$2:$C$1048576,2,0),"NO")</f>
        <v>LIQUIDADO</v>
      </c>
      <c r="AO465" s="983" t="str">
        <f>IFERROR(VLOOKUP(E465,'liquidaciones '!$B$2:$I$1048576,8,0),"")</f>
        <v>MANUEL ROJAS</v>
      </c>
      <c r="AP465" s="342"/>
      <c r="AQ465" s="177" t="s">
        <v>390</v>
      </c>
      <c r="AR465" s="177" t="s">
        <v>1511</v>
      </c>
      <c r="AS465" s="438"/>
      <c r="AT465" s="1015"/>
    </row>
    <row r="466" spans="3:46" ht="45" x14ac:dyDescent="0.25">
      <c r="C466" s="442">
        <v>203</v>
      </c>
      <c r="D466" s="442" t="str">
        <f t="shared" si="98"/>
        <v>2016203</v>
      </c>
      <c r="E466" s="883" t="s">
        <v>2732</v>
      </c>
      <c r="F466" s="882" t="s">
        <v>1339</v>
      </c>
      <c r="G466" s="934" t="s">
        <v>2733</v>
      </c>
      <c r="H466" s="945" t="s">
        <v>2734</v>
      </c>
      <c r="I466" s="940">
        <v>103330468</v>
      </c>
      <c r="J466" s="718" t="s">
        <v>2732</v>
      </c>
      <c r="K466" s="298">
        <v>2016</v>
      </c>
      <c r="L466" s="551">
        <v>42685</v>
      </c>
      <c r="M466" s="885">
        <v>42689</v>
      </c>
      <c r="N466" s="885">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4">
        <f t="shared" si="91"/>
        <v>42825</v>
      </c>
      <c r="U466" s="62">
        <f t="shared" si="92"/>
        <v>152266386</v>
      </c>
      <c r="V466" s="172">
        <f>VLOOKUP(E466,Modificaciones!$B$7:$AU$466,46,0)</f>
        <v>116386336</v>
      </c>
      <c r="W466" s="93">
        <f t="shared" si="90"/>
        <v>35880050</v>
      </c>
      <c r="X466" s="312" t="s">
        <v>2188</v>
      </c>
      <c r="Y466" s="881">
        <f t="shared" si="93"/>
        <v>0.76436000786148561</v>
      </c>
      <c r="Z466" s="42">
        <f t="shared" ca="1" si="94"/>
        <v>1</v>
      </c>
      <c r="AA466" s="43">
        <f t="shared" ca="1" si="95"/>
        <v>0.23563999213851439</v>
      </c>
      <c r="AB466" s="202" t="str">
        <f t="shared" ca="1" si="96"/>
        <v/>
      </c>
      <c r="AC466" s="44" t="str">
        <f t="shared" ref="AC466:AC497" si="99">IF(Y466&lt;=99.9%,"NO","SI")</f>
        <v>NO</v>
      </c>
      <c r="AD466" s="765" t="s">
        <v>1713</v>
      </c>
      <c r="AE466" s="173" t="s">
        <v>1258</v>
      </c>
      <c r="AF466" s="284" t="s">
        <v>2189</v>
      </c>
      <c r="AG466" s="173" t="s">
        <v>1440</v>
      </c>
      <c r="AH466" s="284" t="s">
        <v>560</v>
      </c>
      <c r="AI466" s="308" t="s">
        <v>1510</v>
      </c>
      <c r="AJ466" s="308" t="s">
        <v>600</v>
      </c>
      <c r="AK466" s="181" t="str">
        <f t="shared" ca="1" si="97"/>
        <v>TERMINO</v>
      </c>
      <c r="AL466" s="313" t="s">
        <v>573</v>
      </c>
      <c r="AM466" s="176" t="s">
        <v>390</v>
      </c>
      <c r="AN466" s="875" t="str">
        <f>IFERROR(VLOOKUP(E466,'liquidaciones '!$B$2:$C$1048576,2,0),"NO")</f>
        <v>NO</v>
      </c>
      <c r="AO466" s="983" t="str">
        <f>IFERROR(VLOOKUP(E466,'liquidaciones '!$B$2:$I$1048576,8,0),"")</f>
        <v>GIOVANNI SUAREZ</v>
      </c>
      <c r="AP466" s="342"/>
      <c r="AQ466" s="177" t="str">
        <f ca="1">IF((TODAY()-T466&lt;900),"SI","NO")</f>
        <v>SI</v>
      </c>
      <c r="AR466" s="177" t="s">
        <v>2609</v>
      </c>
      <c r="AS466" s="438"/>
      <c r="AT466" s="1015"/>
    </row>
    <row r="467" spans="3:46" ht="45" x14ac:dyDescent="0.25">
      <c r="C467" s="442">
        <v>234</v>
      </c>
      <c r="D467" s="442" t="str">
        <f t="shared" si="98"/>
        <v>2016234</v>
      </c>
      <c r="E467" s="883" t="s">
        <v>2735</v>
      </c>
      <c r="F467" s="882" t="s">
        <v>244</v>
      </c>
      <c r="G467" s="934">
        <v>800058607</v>
      </c>
      <c r="H467" s="945" t="s">
        <v>3059</v>
      </c>
      <c r="I467" s="940">
        <v>112554160</v>
      </c>
      <c r="J467" s="718" t="s">
        <v>2738</v>
      </c>
      <c r="K467" s="298">
        <v>2016</v>
      </c>
      <c r="L467" s="551">
        <v>42696</v>
      </c>
      <c r="M467" s="885">
        <v>42696</v>
      </c>
      <c r="N467" s="885">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4">
        <f t="shared" si="91"/>
        <v>42726</v>
      </c>
      <c r="U467" s="62">
        <f t="shared" si="92"/>
        <v>112554160</v>
      </c>
      <c r="V467" s="172">
        <f>VLOOKUP(E467,Modificaciones!$B$7:$AU$467,46,0)</f>
        <v>112554160</v>
      </c>
      <c r="W467" s="93">
        <f t="shared" si="90"/>
        <v>0</v>
      </c>
      <c r="X467" s="312" t="s">
        <v>2736</v>
      </c>
      <c r="Y467" s="881">
        <f t="shared" si="93"/>
        <v>1</v>
      </c>
      <c r="Z467" s="42">
        <f t="shared" ca="1" si="94"/>
        <v>1</v>
      </c>
      <c r="AA467" s="43">
        <f t="shared" ca="1" si="95"/>
        <v>0</v>
      </c>
      <c r="AB467" s="202" t="str">
        <f t="shared" ca="1" si="96"/>
        <v/>
      </c>
      <c r="AC467" s="44" t="str">
        <f t="shared" si="99"/>
        <v>SI</v>
      </c>
      <c r="AD467" s="765"/>
      <c r="AE467" s="173" t="s">
        <v>1258</v>
      </c>
      <c r="AF467" s="284" t="s">
        <v>1290</v>
      </c>
      <c r="AG467" s="173" t="s">
        <v>1440</v>
      </c>
      <c r="AH467" s="284" t="s">
        <v>560</v>
      </c>
      <c r="AI467" s="308" t="s">
        <v>1510</v>
      </c>
      <c r="AJ467" s="308" t="s">
        <v>600</v>
      </c>
      <c r="AK467" s="181" t="str">
        <f t="shared" ca="1" si="97"/>
        <v>TERMINO</v>
      </c>
      <c r="AL467" s="313" t="s">
        <v>2737</v>
      </c>
      <c r="AM467" s="176"/>
      <c r="AN467" s="875" t="str">
        <f>IFERROR(VLOOKUP(E467,'liquidaciones '!$B$2:$C$1048576,2,0),"NO")</f>
        <v>LIQUIDADO</v>
      </c>
      <c r="AO467" s="983" t="str">
        <f>IFERROR(VLOOKUP(E467,'liquidaciones '!$B$2:$I$1048576,8,0),"")</f>
        <v>GIOVANNI SUAREZ</v>
      </c>
      <c r="AP467" s="342"/>
      <c r="AQ467" s="177"/>
      <c r="AR467" s="177" t="s">
        <v>2613</v>
      </c>
      <c r="AS467" s="438"/>
      <c r="AT467" s="1015"/>
    </row>
    <row r="468" spans="3:46" ht="56.25" x14ac:dyDescent="0.25">
      <c r="C468" s="442"/>
      <c r="D468" s="442" t="str">
        <f t="shared" si="98"/>
        <v>2016</v>
      </c>
      <c r="E468" s="883" t="s">
        <v>2742</v>
      </c>
      <c r="F468" s="882" t="s">
        <v>2740</v>
      </c>
      <c r="G468" s="934">
        <v>900699012</v>
      </c>
      <c r="H468" s="945" t="s">
        <v>2741</v>
      </c>
      <c r="I468" s="940">
        <v>15999901</v>
      </c>
      <c r="J468" s="718" t="s">
        <v>2739</v>
      </c>
      <c r="K468" s="298">
        <v>2016</v>
      </c>
      <c r="L468" s="551">
        <v>42702</v>
      </c>
      <c r="M468" s="885">
        <v>42705</v>
      </c>
      <c r="N468" s="885">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4">
        <f t="shared" si="91"/>
        <v>42767</v>
      </c>
      <c r="U468" s="62">
        <f t="shared" si="92"/>
        <v>15999901</v>
      </c>
      <c r="V468" s="172">
        <f>VLOOKUP(E468,Modificaciones!$B$7:$AU$468,46,0)</f>
        <v>15999901</v>
      </c>
      <c r="W468" s="93">
        <f t="shared" si="90"/>
        <v>0</v>
      </c>
      <c r="X468" s="312" t="s">
        <v>2277</v>
      </c>
      <c r="Y468" s="881">
        <f t="shared" si="93"/>
        <v>1</v>
      </c>
      <c r="Z468" s="42">
        <f t="shared" ca="1" si="94"/>
        <v>1</v>
      </c>
      <c r="AA468" s="43">
        <f t="shared" ca="1" si="95"/>
        <v>0</v>
      </c>
      <c r="AB468" s="202" t="str">
        <f t="shared" ca="1" si="96"/>
        <v/>
      </c>
      <c r="AC468" s="44" t="str">
        <f t="shared" si="99"/>
        <v>SI</v>
      </c>
      <c r="AD468" s="765"/>
      <c r="AE468" s="173" t="s">
        <v>1257</v>
      </c>
      <c r="AF468" s="284" t="s">
        <v>1489</v>
      </c>
      <c r="AG468" s="173" t="s">
        <v>1443</v>
      </c>
      <c r="AH468" s="284" t="s">
        <v>560</v>
      </c>
      <c r="AI468" s="308" t="s">
        <v>1381</v>
      </c>
      <c r="AJ468" s="308" t="s">
        <v>600</v>
      </c>
      <c r="AK468" s="181" t="str">
        <f t="shared" ca="1" si="97"/>
        <v>TERMINO</v>
      </c>
      <c r="AL468" s="313" t="s">
        <v>576</v>
      </c>
      <c r="AM468" s="176" t="s">
        <v>390</v>
      </c>
      <c r="AN468" s="875" t="str">
        <f>IFERROR(VLOOKUP(E468,'liquidaciones '!$B$2:$C$1048576,2,0),"NO")</f>
        <v>NO</v>
      </c>
      <c r="AO468" s="983" t="str">
        <f>IFERROR(VLOOKUP(E468,'liquidaciones '!$B$2:$I$1048576,8,0),"")</f>
        <v>MANUEL ROJAS</v>
      </c>
      <c r="AP468" s="342"/>
      <c r="AQ468" s="177" t="s">
        <v>390</v>
      </c>
      <c r="AR468" s="177" t="s">
        <v>981</v>
      </c>
      <c r="AS468" s="438"/>
      <c r="AT468" s="1015"/>
    </row>
    <row r="469" spans="3:46" ht="33.75" x14ac:dyDescent="0.25">
      <c r="C469" s="442"/>
      <c r="D469" s="442" t="str">
        <f t="shared" si="98"/>
        <v>2016</v>
      </c>
      <c r="E469" s="883" t="s">
        <v>2743</v>
      </c>
      <c r="F469" s="882" t="s">
        <v>1339</v>
      </c>
      <c r="G469" s="934" t="s">
        <v>2733</v>
      </c>
      <c r="H469" s="945" t="s">
        <v>2744</v>
      </c>
      <c r="I469" s="940">
        <v>12706080</v>
      </c>
      <c r="J469" s="718" t="s">
        <v>2743</v>
      </c>
      <c r="K469" s="298">
        <v>2016</v>
      </c>
      <c r="L469" s="551">
        <v>42690</v>
      </c>
      <c r="M469" s="885">
        <v>42705</v>
      </c>
      <c r="N469" s="885">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4">
        <f t="shared" si="91"/>
        <v>42736</v>
      </c>
      <c r="U469" s="62">
        <f t="shared" si="92"/>
        <v>12706080</v>
      </c>
      <c r="V469" s="172">
        <f>VLOOKUP(E469,Modificaciones!$B$7:$AU$469,46,0)</f>
        <v>12706032</v>
      </c>
      <c r="W469" s="93">
        <f t="shared" si="90"/>
        <v>48</v>
      </c>
      <c r="X469" s="312" t="s">
        <v>2745</v>
      </c>
      <c r="Y469" s="881">
        <f t="shared" si="93"/>
        <v>0.99999622228098672</v>
      </c>
      <c r="Z469" s="42">
        <f t="shared" ca="1" si="94"/>
        <v>1</v>
      </c>
      <c r="AA469" s="43">
        <f t="shared" ca="1" si="95"/>
        <v>3.7777190132759486E-6</v>
      </c>
      <c r="AB469" s="202" t="str">
        <f t="shared" ca="1" si="96"/>
        <v/>
      </c>
      <c r="AC469" s="44" t="str">
        <f t="shared" si="99"/>
        <v>SI</v>
      </c>
      <c r="AD469" s="765"/>
      <c r="AE469" s="173"/>
      <c r="AF469" s="284"/>
      <c r="AG469" s="173"/>
      <c r="AH469" s="284"/>
      <c r="AI469" s="308"/>
      <c r="AJ469" s="308" t="s">
        <v>600</v>
      </c>
      <c r="AK469" s="181" t="str">
        <f t="shared" ca="1" si="97"/>
        <v>TERMINO</v>
      </c>
      <c r="AL469" s="313"/>
      <c r="AM469" s="176"/>
      <c r="AN469" s="875" t="str">
        <f>IFERROR(VLOOKUP(E469,'liquidaciones '!$B$2:$C$1048576,2,0),"NO")</f>
        <v>DEVUELTO</v>
      </c>
      <c r="AO469" s="983" t="str">
        <f>IFERROR(VLOOKUP(E469,'liquidaciones '!$B$2:$I$1048576,8,0),"")</f>
        <v>DORA PINILLA</v>
      </c>
      <c r="AP469" s="342"/>
      <c r="AQ469" s="177"/>
      <c r="AR469" s="177" t="s">
        <v>2613</v>
      </c>
      <c r="AS469" s="438"/>
      <c r="AT469" s="1015"/>
    </row>
    <row r="470" spans="3:46" ht="33.75" x14ac:dyDescent="0.25">
      <c r="C470" s="442">
        <v>216</v>
      </c>
      <c r="D470" s="442" t="str">
        <f t="shared" si="98"/>
        <v>2016216</v>
      </c>
      <c r="E470" s="883" t="s">
        <v>2749</v>
      </c>
      <c r="F470" s="895" t="s">
        <v>2748</v>
      </c>
      <c r="G470" s="934">
        <v>890900608</v>
      </c>
      <c r="H470" s="945" t="s">
        <v>2750</v>
      </c>
      <c r="I470" s="940">
        <v>35851660</v>
      </c>
      <c r="J470" s="718" t="s">
        <v>2752</v>
      </c>
      <c r="K470" s="298">
        <v>2016</v>
      </c>
      <c r="L470" s="551">
        <v>42703</v>
      </c>
      <c r="M470" s="885">
        <v>42710</v>
      </c>
      <c r="N470" s="885">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4">
        <f t="shared" si="91"/>
        <v>42831</v>
      </c>
      <c r="U470" s="62">
        <f t="shared" si="92"/>
        <v>35851660</v>
      </c>
      <c r="V470" s="172">
        <f>VLOOKUP(E470,Modificaciones!$B$7:$AU$470,46,0)</f>
        <v>28129770</v>
      </c>
      <c r="W470" s="93">
        <f t="shared" si="90"/>
        <v>7721890</v>
      </c>
      <c r="X470" s="312" t="s">
        <v>2751</v>
      </c>
      <c r="Y470" s="881">
        <f t="shared" si="93"/>
        <v>0.78461555197165211</v>
      </c>
      <c r="Z470" s="42">
        <f t="shared" ca="1" si="94"/>
        <v>1</v>
      </c>
      <c r="AA470" s="43">
        <f t="shared" ca="1" si="95"/>
        <v>0.21538444802834789</v>
      </c>
      <c r="AB470" s="202" t="str">
        <f t="shared" ca="1" si="96"/>
        <v/>
      </c>
      <c r="AC470" s="44" t="str">
        <f t="shared" si="99"/>
        <v>NO</v>
      </c>
      <c r="AD470" s="765" t="s">
        <v>1715</v>
      </c>
      <c r="AE470" s="173" t="s">
        <v>1257</v>
      </c>
      <c r="AF470" s="284" t="s">
        <v>1485</v>
      </c>
      <c r="AG470" s="173" t="s">
        <v>1436</v>
      </c>
      <c r="AH470" s="284" t="s">
        <v>560</v>
      </c>
      <c r="AI470" s="308" t="s">
        <v>1387</v>
      </c>
      <c r="AJ470" s="308" t="s">
        <v>600</v>
      </c>
      <c r="AK470" s="181" t="str">
        <f t="shared" ca="1" si="97"/>
        <v>TERMINO</v>
      </c>
      <c r="AL470" s="313" t="s">
        <v>574</v>
      </c>
      <c r="AM470" s="176" t="s">
        <v>391</v>
      </c>
      <c r="AN470" s="875" t="str">
        <f>IFERROR(VLOOKUP(E470,'liquidaciones '!$B$2:$C$1048576,2,0),"NO")</f>
        <v>DEVUELTO</v>
      </c>
      <c r="AO470" s="983" t="str">
        <f>IFERROR(VLOOKUP(E470,'liquidaciones '!$B$2:$I$1048576,8,0),"")</f>
        <v>JULIETH ANGARITA</v>
      </c>
      <c r="AP470" s="342"/>
      <c r="AQ470" s="177" t="s">
        <v>390</v>
      </c>
      <c r="AR470" s="177" t="s">
        <v>981</v>
      </c>
      <c r="AS470" s="438"/>
      <c r="AT470" s="1015"/>
    </row>
    <row r="471" spans="3:46" ht="33.75" x14ac:dyDescent="0.25">
      <c r="C471" s="442">
        <v>128</v>
      </c>
      <c r="D471" s="442" t="str">
        <f t="shared" si="98"/>
        <v>2016128</v>
      </c>
      <c r="E471" s="895" t="s">
        <v>2755</v>
      </c>
      <c r="F471" s="893" t="s">
        <v>2756</v>
      </c>
      <c r="G471" s="934">
        <v>1032431625</v>
      </c>
      <c r="H471" s="945" t="s">
        <v>2231</v>
      </c>
      <c r="I471" s="940">
        <v>6860000</v>
      </c>
      <c r="J471" s="718" t="s">
        <v>2755</v>
      </c>
      <c r="K471" s="298">
        <v>2016</v>
      </c>
      <c r="L471" s="551">
        <v>42710</v>
      </c>
      <c r="M471" s="894">
        <v>42717</v>
      </c>
      <c r="N471" s="894">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4">
        <f t="shared" si="91"/>
        <v>42779</v>
      </c>
      <c r="U471" s="62">
        <f t="shared" si="92"/>
        <v>6860000</v>
      </c>
      <c r="V471" s="172">
        <f>VLOOKUP(E471,Modificaciones!$B$7:$AU$471,46,0)</f>
        <v>6860000</v>
      </c>
      <c r="W471" s="93">
        <f t="shared" si="90"/>
        <v>0</v>
      </c>
      <c r="X471" s="312" t="s">
        <v>2119</v>
      </c>
      <c r="Y471" s="881">
        <f t="shared" si="93"/>
        <v>1</v>
      </c>
      <c r="Z471" s="42">
        <f t="shared" ca="1" si="94"/>
        <v>1</v>
      </c>
      <c r="AA471" s="43">
        <f t="shared" ca="1" si="95"/>
        <v>0</v>
      </c>
      <c r="AB471" s="202" t="str">
        <f t="shared" ca="1" si="96"/>
        <v/>
      </c>
      <c r="AC471" s="44" t="str">
        <f t="shared" si="99"/>
        <v>SI</v>
      </c>
      <c r="AD471" s="765" t="s">
        <v>1713</v>
      </c>
      <c r="AE471" s="173" t="s">
        <v>1257</v>
      </c>
      <c r="AF471" s="284" t="s">
        <v>1308</v>
      </c>
      <c r="AG471" s="173"/>
      <c r="AH471" s="284"/>
      <c r="AI471" s="308"/>
      <c r="AJ471" s="308" t="s">
        <v>600</v>
      </c>
      <c r="AK471" s="181" t="str">
        <f t="shared" ca="1" si="97"/>
        <v>TERMINO</v>
      </c>
      <c r="AL471" s="313" t="s">
        <v>582</v>
      </c>
      <c r="AM471" s="176" t="s">
        <v>390</v>
      </c>
      <c r="AN471" s="875" t="str">
        <f>IFERROR(VLOOKUP(E471,'liquidaciones '!$B$2:$C$1048576,2,0),"NO")</f>
        <v>DEVUELTO</v>
      </c>
      <c r="AO471" s="983" t="str">
        <f>IFERROR(VLOOKUP(E471,'liquidaciones '!$B$2:$I$1048576,8,0),"")</f>
        <v>JULIETH ANGARITA</v>
      </c>
      <c r="AP471" s="342"/>
      <c r="AQ471" s="177" t="s">
        <v>390</v>
      </c>
      <c r="AR471" s="177" t="s">
        <v>981</v>
      </c>
      <c r="AS471" s="438"/>
      <c r="AT471" s="1015"/>
    </row>
    <row r="472" spans="3:46" ht="30" x14ac:dyDescent="0.25">
      <c r="C472" s="442"/>
      <c r="D472" s="442" t="str">
        <f t="shared" si="98"/>
        <v>2016</v>
      </c>
      <c r="E472" s="883" t="s">
        <v>2757</v>
      </c>
      <c r="F472" s="882" t="s">
        <v>2515</v>
      </c>
      <c r="G472" s="934">
        <v>890900943</v>
      </c>
      <c r="H472" s="945" t="s">
        <v>3060</v>
      </c>
      <c r="I472" s="940">
        <v>21312104</v>
      </c>
      <c r="J472" s="718" t="s">
        <v>2758</v>
      </c>
      <c r="K472" s="298">
        <v>2016</v>
      </c>
      <c r="L472" s="551">
        <v>42711</v>
      </c>
      <c r="M472" s="885">
        <v>42711</v>
      </c>
      <c r="N472" s="885">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4">
        <f t="shared" si="91"/>
        <v>42719</v>
      </c>
      <c r="U472" s="62">
        <f t="shared" si="92"/>
        <v>21312104</v>
      </c>
      <c r="V472" s="172">
        <f>VLOOKUP(E472,Modificaciones!$B$7:$AU$472,46,0)</f>
        <v>21312104</v>
      </c>
      <c r="W472" s="93">
        <f t="shared" si="90"/>
        <v>0</v>
      </c>
      <c r="X472" s="312" t="s">
        <v>2745</v>
      </c>
      <c r="Y472" s="881">
        <f t="shared" si="93"/>
        <v>1</v>
      </c>
      <c r="Z472" s="42">
        <f t="shared" ca="1" si="94"/>
        <v>1</v>
      </c>
      <c r="AA472" s="43">
        <f t="shared" ca="1" si="95"/>
        <v>0</v>
      </c>
      <c r="AB472" s="202" t="str">
        <f t="shared" ca="1" si="96"/>
        <v/>
      </c>
      <c r="AC472" s="44" t="str">
        <f t="shared" si="99"/>
        <v>SI</v>
      </c>
      <c r="AD472" s="765"/>
      <c r="AE472" s="173"/>
      <c r="AF472" s="284" t="s">
        <v>2759</v>
      </c>
      <c r="AG472" s="173"/>
      <c r="AH472" s="284"/>
      <c r="AI472" s="308"/>
      <c r="AJ472" s="308" t="s">
        <v>600</v>
      </c>
      <c r="AK472" s="181" t="str">
        <f t="shared" ca="1" si="97"/>
        <v>TERMINO</v>
      </c>
      <c r="AL472" s="313" t="s">
        <v>2737</v>
      </c>
      <c r="AM472" s="176"/>
      <c r="AN472" s="875" t="str">
        <f>IFERROR(VLOOKUP(E472,'liquidaciones '!$B$2:$C$1048576,2,0),"NO")</f>
        <v>LIQUIDADO</v>
      </c>
      <c r="AO472" s="983" t="str">
        <f>IFERROR(VLOOKUP(E472,'liquidaciones '!$B$2:$I$1048576,8,0),"")</f>
        <v>DORA PINILLA</v>
      </c>
      <c r="AP472" s="342"/>
      <c r="AQ472" s="177"/>
      <c r="AR472" s="177" t="s">
        <v>2613</v>
      </c>
      <c r="AS472" s="438"/>
      <c r="AT472" s="1015"/>
    </row>
    <row r="473" spans="3:46" ht="33.75" x14ac:dyDescent="0.25">
      <c r="C473" s="442"/>
      <c r="D473" s="442" t="str">
        <f t="shared" si="98"/>
        <v>2016</v>
      </c>
      <c r="E473" s="883" t="s">
        <v>2760</v>
      </c>
      <c r="F473" s="882" t="s">
        <v>2761</v>
      </c>
      <c r="G473" s="934">
        <v>1014236408</v>
      </c>
      <c r="H473" s="945" t="s">
        <v>2762</v>
      </c>
      <c r="I473" s="940">
        <v>1800000</v>
      </c>
      <c r="J473" s="718" t="s">
        <v>2760</v>
      </c>
      <c r="K473" s="298">
        <v>2016</v>
      </c>
      <c r="L473" s="551">
        <v>42706</v>
      </c>
      <c r="M473" s="885">
        <v>42713</v>
      </c>
      <c r="N473" s="885">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4">
        <f t="shared" si="91"/>
        <v>42744</v>
      </c>
      <c r="U473" s="62">
        <f t="shared" si="92"/>
        <v>1800000</v>
      </c>
      <c r="V473" s="172">
        <f>VLOOKUP(E473,Modificaciones!$B$7:$AU$473,46,0)</f>
        <v>1800000</v>
      </c>
      <c r="W473" s="93">
        <f t="shared" si="90"/>
        <v>0</v>
      </c>
      <c r="X473" s="312" t="s">
        <v>2763</v>
      </c>
      <c r="Y473" s="881">
        <f t="shared" si="93"/>
        <v>1</v>
      </c>
      <c r="Z473" s="42">
        <f t="shared" ca="1" si="94"/>
        <v>1</v>
      </c>
      <c r="AA473" s="43">
        <f t="shared" ca="1" si="95"/>
        <v>0</v>
      </c>
      <c r="AB473" s="202" t="str">
        <f t="shared" ca="1" si="96"/>
        <v/>
      </c>
      <c r="AC473" s="44" t="str">
        <f t="shared" si="99"/>
        <v>SI</v>
      </c>
      <c r="AD473" s="765" t="s">
        <v>1714</v>
      </c>
      <c r="AE473" s="173" t="s">
        <v>1257</v>
      </c>
      <c r="AF473" s="284" t="s">
        <v>2764</v>
      </c>
      <c r="AG473" s="173"/>
      <c r="AH473" s="284" t="s">
        <v>559</v>
      </c>
      <c r="AI473" s="308"/>
      <c r="AJ473" s="308" t="s">
        <v>600</v>
      </c>
      <c r="AK473" s="181" t="str">
        <f t="shared" ca="1" si="97"/>
        <v>TERMINO</v>
      </c>
      <c r="AL473" s="313" t="s">
        <v>582</v>
      </c>
      <c r="AM473" s="176" t="s">
        <v>391</v>
      </c>
      <c r="AN473" s="875" t="str">
        <f>IFERROR(VLOOKUP(E473,'liquidaciones '!$B$2:$C$1048576,2,0),"NO")</f>
        <v>LIQUIDADO</v>
      </c>
      <c r="AO473" s="983" t="str">
        <f>IFERROR(VLOOKUP(E473,'liquidaciones '!$B$2:$I$1048576,8,0),"")</f>
        <v>CLAUDIA VANEGAS</v>
      </c>
      <c r="AP473" s="342"/>
      <c r="AQ473" s="177" t="s">
        <v>390</v>
      </c>
      <c r="AR473" s="177" t="s">
        <v>2612</v>
      </c>
      <c r="AS473" s="438"/>
      <c r="AT473" s="1015"/>
    </row>
    <row r="474" spans="3:46" ht="33.75" x14ac:dyDescent="0.25">
      <c r="C474" s="442">
        <v>209</v>
      </c>
      <c r="D474" s="442" t="str">
        <f t="shared" si="98"/>
        <v>2016209</v>
      </c>
      <c r="E474" s="895" t="s">
        <v>2765</v>
      </c>
      <c r="F474" s="893" t="s">
        <v>1346</v>
      </c>
      <c r="G474" s="985">
        <v>830120684</v>
      </c>
      <c r="H474" s="945" t="s">
        <v>2766</v>
      </c>
      <c r="I474" s="940">
        <v>3000000</v>
      </c>
      <c r="J474" s="901" t="s">
        <v>2768</v>
      </c>
      <c r="K474" s="298">
        <v>2016</v>
      </c>
      <c r="L474" s="551">
        <v>42703</v>
      </c>
      <c r="M474" s="894">
        <v>42726</v>
      </c>
      <c r="N474" s="894">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4">
        <f t="shared" si="91"/>
        <v>42847</v>
      </c>
      <c r="U474" s="62">
        <f t="shared" si="92"/>
        <v>3000000</v>
      </c>
      <c r="V474" s="172">
        <f>VLOOKUP(E474,Modificaciones!$B$7:$AU$474,46,0)</f>
        <v>2462930</v>
      </c>
      <c r="W474" s="93">
        <f t="shared" si="90"/>
        <v>537070</v>
      </c>
      <c r="X474" s="312" t="s">
        <v>2245</v>
      </c>
      <c r="Y474" s="881">
        <f t="shared" si="93"/>
        <v>0.82097666666666669</v>
      </c>
      <c r="Z474" s="42">
        <f t="shared" ca="1" si="94"/>
        <v>1</v>
      </c>
      <c r="AA474" s="43">
        <f t="shared" ca="1" si="95"/>
        <v>0.17902333333333331</v>
      </c>
      <c r="AB474" s="202" t="str">
        <f t="shared" ca="1" si="96"/>
        <v/>
      </c>
      <c r="AC474" s="44" t="str">
        <f t="shared" si="99"/>
        <v>NO</v>
      </c>
      <c r="AD474" s="765"/>
      <c r="AE474" s="173" t="s">
        <v>1257</v>
      </c>
      <c r="AF474" s="284" t="s">
        <v>1300</v>
      </c>
      <c r="AG474" s="173" t="s">
        <v>1441</v>
      </c>
      <c r="AH474" s="284" t="s">
        <v>562</v>
      </c>
      <c r="AI474" s="308" t="s">
        <v>2767</v>
      </c>
      <c r="AJ474" s="308" t="s">
        <v>600</v>
      </c>
      <c r="AK474" s="181" t="str">
        <f t="shared" ca="1" si="97"/>
        <v>TERMINO</v>
      </c>
      <c r="AL474" s="313" t="s">
        <v>576</v>
      </c>
      <c r="AM474" s="176" t="s">
        <v>390</v>
      </c>
      <c r="AN474" s="875" t="str">
        <f>IFERROR(VLOOKUP(E474,'liquidaciones '!$B$2:$C$1048576,2,0),"NO")</f>
        <v>EN TRÁMITE</v>
      </c>
      <c r="AO474" s="983" t="str">
        <f>IFERROR(VLOOKUP(E474,'liquidaciones '!$B$2:$I$1048576,8,0),"")</f>
        <v>MANUEL ROJAS</v>
      </c>
      <c r="AP474" s="342"/>
      <c r="AQ474" s="177" t="s">
        <v>390</v>
      </c>
      <c r="AR474" s="177" t="s">
        <v>981</v>
      </c>
      <c r="AS474" s="438"/>
      <c r="AT474" s="1015"/>
    </row>
    <row r="475" spans="3:46" ht="33.75" x14ac:dyDescent="0.25">
      <c r="C475" s="442">
        <v>207</v>
      </c>
      <c r="D475" s="442" t="str">
        <f t="shared" si="98"/>
        <v>2016207</v>
      </c>
      <c r="E475" s="883" t="s">
        <v>2769</v>
      </c>
      <c r="F475" s="882" t="s">
        <v>2770</v>
      </c>
      <c r="G475" s="934" t="s">
        <v>2771</v>
      </c>
      <c r="H475" s="945" t="s">
        <v>2772</v>
      </c>
      <c r="I475" s="940">
        <v>64285000</v>
      </c>
      <c r="J475" s="718" t="s">
        <v>2774</v>
      </c>
      <c r="K475" s="298">
        <v>2016</v>
      </c>
      <c r="L475" s="551">
        <v>42726</v>
      </c>
      <c r="M475" s="885">
        <v>42730</v>
      </c>
      <c r="N475" s="885">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4">
        <f t="shared" si="91"/>
        <v>42828</v>
      </c>
      <c r="U475" s="62">
        <f t="shared" si="92"/>
        <v>82285000</v>
      </c>
      <c r="V475" s="172">
        <f>VLOOKUP(E475,Modificaciones!$B$7:$AU$475,46,0)</f>
        <v>77352158</v>
      </c>
      <c r="W475" s="93">
        <f t="shared" si="90"/>
        <v>4932842</v>
      </c>
      <c r="X475" s="312" t="s">
        <v>2773</v>
      </c>
      <c r="Y475" s="881">
        <f t="shared" si="93"/>
        <v>0.94005174697697025</v>
      </c>
      <c r="Z475" s="42">
        <f t="shared" ca="1" si="94"/>
        <v>1</v>
      </c>
      <c r="AA475" s="43">
        <f t="shared" ca="1" si="95"/>
        <v>5.9948253023029752E-2</v>
      </c>
      <c r="AB475" s="202" t="str">
        <f t="shared" ca="1" si="96"/>
        <v/>
      </c>
      <c r="AC475" s="44" t="str">
        <f t="shared" si="99"/>
        <v>NO</v>
      </c>
      <c r="AD475" s="765" t="s">
        <v>1713</v>
      </c>
      <c r="AE475" s="173" t="s">
        <v>1257</v>
      </c>
      <c r="AF475" s="284" t="s">
        <v>1139</v>
      </c>
      <c r="AG475" s="173" t="s">
        <v>1443</v>
      </c>
      <c r="AH475" s="284" t="s">
        <v>560</v>
      </c>
      <c r="AI475" s="174" t="s">
        <v>1380</v>
      </c>
      <c r="AJ475" s="308" t="s">
        <v>600</v>
      </c>
      <c r="AK475" s="181" t="str">
        <f t="shared" ca="1" si="97"/>
        <v>TERMINO</v>
      </c>
      <c r="AL475" s="181" t="s">
        <v>576</v>
      </c>
      <c r="AM475" s="176" t="s">
        <v>390</v>
      </c>
      <c r="AN475" s="875" t="str">
        <f>IFERROR(VLOOKUP(E475,'liquidaciones '!$B$2:$C$1048576,2,0),"NO")</f>
        <v>NO</v>
      </c>
      <c r="AO475" s="983">
        <f>IFERROR(VLOOKUP(E475,'liquidaciones '!$B$2:$I$1048576,8,0),"")</f>
        <v>0</v>
      </c>
      <c r="AP475" s="342"/>
      <c r="AQ475" s="177" t="s">
        <v>390</v>
      </c>
      <c r="AR475" s="177" t="s">
        <v>2924</v>
      </c>
      <c r="AS475" s="438"/>
      <c r="AT475" s="1015"/>
    </row>
    <row r="476" spans="3:46" ht="67.5" x14ac:dyDescent="0.25">
      <c r="C476" s="442">
        <v>154</v>
      </c>
      <c r="D476" s="442" t="str">
        <f t="shared" si="98"/>
        <v>2016154</v>
      </c>
      <c r="E476" s="883" t="s">
        <v>2775</v>
      </c>
      <c r="F476" s="882" t="s">
        <v>2776</v>
      </c>
      <c r="G476" s="934">
        <v>811028699</v>
      </c>
      <c r="H476" s="945" t="s">
        <v>522</v>
      </c>
      <c r="I476" s="940">
        <v>400000000</v>
      </c>
      <c r="J476" s="718" t="s">
        <v>2777</v>
      </c>
      <c r="K476" s="298">
        <v>2016</v>
      </c>
      <c r="L476" s="551">
        <v>42725</v>
      </c>
      <c r="M476" s="885">
        <v>42752</v>
      </c>
      <c r="N476" s="885">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4">
        <f t="shared" si="91"/>
        <v>42933</v>
      </c>
      <c r="U476" s="62">
        <f t="shared" si="92"/>
        <v>400000000</v>
      </c>
      <c r="V476" s="172">
        <f>VLOOKUP(E476,Modificaciones!$B$7:$AU$476,46,0)</f>
        <v>399999924</v>
      </c>
      <c r="W476" s="93">
        <f t="shared" si="90"/>
        <v>76</v>
      </c>
      <c r="X476" s="312" t="s">
        <v>2778</v>
      </c>
      <c r="Y476" s="881">
        <f t="shared" si="93"/>
        <v>0.99999981000000004</v>
      </c>
      <c r="Z476" s="42">
        <f t="shared" ca="1" si="94"/>
        <v>1</v>
      </c>
      <c r="AA476" s="43">
        <f t="shared" ca="1" si="95"/>
        <v>1.8999999995550354E-7</v>
      </c>
      <c r="AB476" s="202" t="str">
        <f t="shared" ca="1" si="96"/>
        <v/>
      </c>
      <c r="AC476" s="44" t="str">
        <f t="shared" si="99"/>
        <v>SI</v>
      </c>
      <c r="AD476" s="765" t="s">
        <v>1715</v>
      </c>
      <c r="AE476" s="173" t="s">
        <v>1257</v>
      </c>
      <c r="AF476" s="284" t="s">
        <v>1135</v>
      </c>
      <c r="AG476" s="173"/>
      <c r="AH476" s="284"/>
      <c r="AI476" s="308"/>
      <c r="AJ476" s="308" t="s">
        <v>600</v>
      </c>
      <c r="AK476" s="181" t="str">
        <f t="shared" ca="1" si="97"/>
        <v>TERMINO</v>
      </c>
      <c r="AL476" s="313" t="s">
        <v>575</v>
      </c>
      <c r="AM476" s="176" t="s">
        <v>391</v>
      </c>
      <c r="AN476" s="875" t="str">
        <f>IFERROR(VLOOKUP(E476,'liquidaciones '!$B$2:$C$1048576,2,0),"NO")</f>
        <v>NO</v>
      </c>
      <c r="AO476" s="983">
        <f>IFERROR(VLOOKUP(E476,'liquidaciones '!$B$2:$I$1048576,8,0),"")</f>
        <v>0</v>
      </c>
      <c r="AP476" s="342"/>
      <c r="AQ476" s="177" t="s">
        <v>390</v>
      </c>
      <c r="AR476" s="177" t="s">
        <v>2996</v>
      </c>
      <c r="AS476" s="438"/>
      <c r="AT476" s="1015"/>
    </row>
    <row r="477" spans="3:46" ht="30" x14ac:dyDescent="0.25">
      <c r="C477" s="442"/>
      <c r="D477" s="442" t="str">
        <f t="shared" si="98"/>
        <v>2016</v>
      </c>
      <c r="E477" s="883" t="s">
        <v>2779</v>
      </c>
      <c r="F477" s="882" t="s">
        <v>2780</v>
      </c>
      <c r="G477" s="934" t="s">
        <v>2781</v>
      </c>
      <c r="H477" s="945" t="s">
        <v>2782</v>
      </c>
      <c r="I477" s="940">
        <v>4499988</v>
      </c>
      <c r="J477" s="718" t="s">
        <v>2783</v>
      </c>
      <c r="K477" s="298">
        <v>2016</v>
      </c>
      <c r="L477" s="551">
        <v>42725</v>
      </c>
      <c r="M477" s="885">
        <v>42751</v>
      </c>
      <c r="N477" s="885">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4">
        <f t="shared" si="91"/>
        <v>42782</v>
      </c>
      <c r="U477" s="62">
        <f t="shared" si="92"/>
        <v>4499988</v>
      </c>
      <c r="V477" s="172">
        <f>VLOOKUP(E477,Modificaciones!$B$7:$AU$477,46,0)</f>
        <v>4499988</v>
      </c>
      <c r="W477" s="93">
        <f t="shared" si="90"/>
        <v>0</v>
      </c>
      <c r="X477" s="312" t="s">
        <v>2745</v>
      </c>
      <c r="Y477" s="881">
        <f t="shared" si="93"/>
        <v>1</v>
      </c>
      <c r="Z477" s="42">
        <f t="shared" ca="1" si="94"/>
        <v>1</v>
      </c>
      <c r="AA477" s="43">
        <f t="shared" ca="1" si="95"/>
        <v>0</v>
      </c>
      <c r="AB477" s="202" t="str">
        <f t="shared" ca="1" si="96"/>
        <v/>
      </c>
      <c r="AC477" s="44" t="str">
        <f t="shared" si="99"/>
        <v>SI</v>
      </c>
      <c r="AD477" s="765"/>
      <c r="AE477" s="173"/>
      <c r="AF477" s="284" t="s">
        <v>2784</v>
      </c>
      <c r="AG477" s="173"/>
      <c r="AH477" s="284"/>
      <c r="AI477" s="308"/>
      <c r="AJ477" s="308" t="s">
        <v>600</v>
      </c>
      <c r="AK477" s="181" t="str">
        <f t="shared" ca="1" si="97"/>
        <v>TERMINO</v>
      </c>
      <c r="AL477" s="313" t="s">
        <v>576</v>
      </c>
      <c r="AM477" s="176" t="s">
        <v>391</v>
      </c>
      <c r="AN477" s="875" t="str">
        <f>IFERROR(VLOOKUP(E477,'liquidaciones '!$B$2:$C$1048576,2,0),"NO")</f>
        <v>LIQUIDADO</v>
      </c>
      <c r="AO477" s="983" t="str">
        <f>IFERROR(VLOOKUP(E477,'liquidaciones '!$B$2:$I$1048576,8,0),"")</f>
        <v>MANUEL ROJAS</v>
      </c>
      <c r="AP477" s="342"/>
      <c r="AQ477" s="177" t="s">
        <v>390</v>
      </c>
      <c r="AR477" s="177" t="s">
        <v>2609</v>
      </c>
      <c r="AS477" s="438"/>
      <c r="AT477" s="1015"/>
    </row>
    <row r="478" spans="3:46" ht="33.75" x14ac:dyDescent="0.25">
      <c r="C478" s="442">
        <v>88</v>
      </c>
      <c r="D478" s="442" t="str">
        <f t="shared" si="98"/>
        <v>201688</v>
      </c>
      <c r="E478" s="883" t="s">
        <v>2785</v>
      </c>
      <c r="F478" s="882" t="s">
        <v>2786</v>
      </c>
      <c r="G478" s="934" t="s">
        <v>2787</v>
      </c>
      <c r="H478" s="945" t="s">
        <v>2788</v>
      </c>
      <c r="I478" s="940">
        <v>495119</v>
      </c>
      <c r="J478" s="718" t="s">
        <v>2785</v>
      </c>
      <c r="K478" s="298">
        <v>2016</v>
      </c>
      <c r="L478" s="551">
        <v>42731</v>
      </c>
      <c r="M478" s="885">
        <v>42745</v>
      </c>
      <c r="N478" s="885">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4">
        <f t="shared" si="91"/>
        <v>43110</v>
      </c>
      <c r="U478" s="62">
        <f t="shared" si="92"/>
        <v>495119</v>
      </c>
      <c r="V478" s="172">
        <f>VLOOKUP(E478,Modificaciones!$B$7:$AU$478,46,0)</f>
        <v>426827</v>
      </c>
      <c r="W478" s="93">
        <f t="shared" si="90"/>
        <v>68292</v>
      </c>
      <c r="X478" s="312" t="s">
        <v>2745</v>
      </c>
      <c r="Y478" s="881">
        <f t="shared" si="93"/>
        <v>0.86206952268040615</v>
      </c>
      <c r="Z478" s="42">
        <f t="shared" ca="1" si="94"/>
        <v>1</v>
      </c>
      <c r="AA478" s="43">
        <f t="shared" ca="1" si="95"/>
        <v>0.13793047731959385</v>
      </c>
      <c r="AB478" s="202" t="str">
        <f t="shared" ca="1" si="96"/>
        <v/>
      </c>
      <c r="AC478" s="44" t="str">
        <f t="shared" si="99"/>
        <v>NO</v>
      </c>
      <c r="AD478" s="765" t="s">
        <v>1713</v>
      </c>
      <c r="AE478" s="173" t="s">
        <v>1258</v>
      </c>
      <c r="AF478" s="304" t="s">
        <v>1472</v>
      </c>
      <c r="AG478" s="173" t="s">
        <v>1440</v>
      </c>
      <c r="AH478" s="284" t="s">
        <v>560</v>
      </c>
      <c r="AI478" s="174" t="s">
        <v>1510</v>
      </c>
      <c r="AJ478" s="308" t="s">
        <v>600</v>
      </c>
      <c r="AK478" s="181" t="str">
        <f t="shared" ca="1" si="97"/>
        <v>TERMINO</v>
      </c>
      <c r="AL478" s="313" t="s">
        <v>582</v>
      </c>
      <c r="AM478" s="176" t="s">
        <v>390</v>
      </c>
      <c r="AN478" s="875" t="str">
        <f>IFERROR(VLOOKUP(E478,'liquidaciones '!$B$2:$C$1048576,2,0),"NO")</f>
        <v>NO</v>
      </c>
      <c r="AO478" s="983" t="str">
        <f>IFERROR(VLOOKUP(E478,'liquidaciones '!$B$2:$I$1048576,8,0),"")</f>
        <v/>
      </c>
      <c r="AP478" s="342"/>
      <c r="AQ478" s="177" t="s">
        <v>390</v>
      </c>
      <c r="AR478" s="177" t="s">
        <v>2924</v>
      </c>
      <c r="AS478" s="438"/>
      <c r="AT478" s="1018" t="s">
        <v>3754</v>
      </c>
    </row>
    <row r="479" spans="3:46" ht="33.75" x14ac:dyDescent="0.25">
      <c r="C479" s="442"/>
      <c r="D479" s="442" t="str">
        <f t="shared" si="98"/>
        <v>2016</v>
      </c>
      <c r="E479" s="883" t="s">
        <v>2789</v>
      </c>
      <c r="F479" s="882" t="s">
        <v>2790</v>
      </c>
      <c r="G479" s="934" t="s">
        <v>2791</v>
      </c>
      <c r="H479" s="945" t="s">
        <v>2792</v>
      </c>
      <c r="I479" s="940">
        <v>94318804</v>
      </c>
      <c r="J479" s="718" t="s">
        <v>2795</v>
      </c>
      <c r="K479" s="298">
        <v>2016</v>
      </c>
      <c r="L479" s="551">
        <v>42727</v>
      </c>
      <c r="M479" s="885">
        <v>42737</v>
      </c>
      <c r="N479" s="885">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4">
        <f t="shared" si="91"/>
        <v>42796</v>
      </c>
      <c r="U479" s="62">
        <f t="shared" si="92"/>
        <v>94318804</v>
      </c>
      <c r="V479" s="172">
        <f>VLOOKUP(E479,Modificaciones!$B$7:$AU$479,46,0)</f>
        <v>66718804</v>
      </c>
      <c r="W479" s="93">
        <f t="shared" si="90"/>
        <v>27600000</v>
      </c>
      <c r="X479" s="312" t="s">
        <v>2793</v>
      </c>
      <c r="Y479" s="881">
        <f t="shared" si="93"/>
        <v>0.70737542431093592</v>
      </c>
      <c r="Z479" s="42">
        <f t="shared" ca="1" si="94"/>
        <v>1</v>
      </c>
      <c r="AA479" s="43">
        <f t="shared" ca="1" si="95"/>
        <v>0.29262457568906408</v>
      </c>
      <c r="AB479" s="202" t="str">
        <f t="shared" ca="1" si="96"/>
        <v/>
      </c>
      <c r="AC479" s="44" t="str">
        <f t="shared" si="99"/>
        <v>NO</v>
      </c>
      <c r="AD479" s="765" t="s">
        <v>1715</v>
      </c>
      <c r="AE479" s="173" t="s">
        <v>1257</v>
      </c>
      <c r="AF479" s="284" t="s">
        <v>2794</v>
      </c>
      <c r="AG479" s="173"/>
      <c r="AH479" s="284"/>
      <c r="AI479" s="308"/>
      <c r="AJ479" s="308" t="s">
        <v>600</v>
      </c>
      <c r="AK479" s="181" t="str">
        <f t="shared" ca="1" si="97"/>
        <v>TERMINO</v>
      </c>
      <c r="AL479" s="313" t="s">
        <v>995</v>
      </c>
      <c r="AM479" s="176" t="s">
        <v>391</v>
      </c>
      <c r="AN479" s="875" t="str">
        <f>IFERROR(VLOOKUP(E479,'liquidaciones '!$B$2:$C$1048576,2,0),"NO")</f>
        <v>LIQUIDADO</v>
      </c>
      <c r="AO479" s="983" t="str">
        <f>IFERROR(VLOOKUP(E479,'liquidaciones '!$B$2:$I$1048576,8,0),"")</f>
        <v>MANUEL ROJAS</v>
      </c>
      <c r="AP479" s="342"/>
      <c r="AQ479" s="177" t="s">
        <v>390</v>
      </c>
      <c r="AR479" s="177" t="s">
        <v>2609</v>
      </c>
      <c r="AS479" s="438"/>
      <c r="AT479" s="1015"/>
    </row>
    <row r="480" spans="3:46" ht="57" customHeight="1" x14ac:dyDescent="0.25">
      <c r="C480" s="442">
        <v>89</v>
      </c>
      <c r="D480" s="442" t="str">
        <f t="shared" si="98"/>
        <v>201689</v>
      </c>
      <c r="E480" s="883" t="s">
        <v>2796</v>
      </c>
      <c r="F480" s="882" t="s">
        <v>2797</v>
      </c>
      <c r="G480" s="934" t="s">
        <v>2798</v>
      </c>
      <c r="H480" s="945" t="s">
        <v>2799</v>
      </c>
      <c r="I480" s="940">
        <v>12250000</v>
      </c>
      <c r="J480" s="718" t="s">
        <v>2802</v>
      </c>
      <c r="K480" s="298">
        <v>2016</v>
      </c>
      <c r="L480" s="551">
        <v>42724</v>
      </c>
      <c r="M480" s="885">
        <v>42732</v>
      </c>
      <c r="N480" s="885">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4">
        <f t="shared" si="91"/>
        <v>42883</v>
      </c>
      <c r="U480" s="62">
        <f t="shared" si="92"/>
        <v>12250000</v>
      </c>
      <c r="V480" s="172">
        <f>VLOOKUP(E480,Modificaciones!$B$7:$AU$480,46,0)</f>
        <v>3623000</v>
      </c>
      <c r="W480" s="93">
        <f t="shared" si="90"/>
        <v>8627000</v>
      </c>
      <c r="X480" s="318" t="s">
        <v>2800</v>
      </c>
      <c r="Y480" s="881">
        <f t="shared" si="93"/>
        <v>0.29575510204081634</v>
      </c>
      <c r="Z480" s="42">
        <f t="shared" ca="1" si="94"/>
        <v>1</v>
      </c>
      <c r="AA480" s="43">
        <f t="shared" ca="1" si="95"/>
        <v>0.70424489795918366</v>
      </c>
      <c r="AB480" s="202" t="str">
        <f t="shared" ca="1" si="96"/>
        <v/>
      </c>
      <c r="AC480" s="44" t="str">
        <f t="shared" si="99"/>
        <v>NO</v>
      </c>
      <c r="AD480" s="765" t="s">
        <v>1713</v>
      </c>
      <c r="AE480" s="173" t="s">
        <v>1258</v>
      </c>
      <c r="AF480" s="284" t="s">
        <v>2801</v>
      </c>
      <c r="AG480" s="173" t="s">
        <v>1440</v>
      </c>
      <c r="AH480" s="284" t="s">
        <v>560</v>
      </c>
      <c r="AI480" s="308" t="s">
        <v>1510</v>
      </c>
      <c r="AJ480" s="308" t="s">
        <v>600</v>
      </c>
      <c r="AK480" s="181" t="str">
        <f t="shared" ca="1" si="97"/>
        <v>TERMINO</v>
      </c>
      <c r="AL480" s="313" t="s">
        <v>576</v>
      </c>
      <c r="AM480" s="176" t="s">
        <v>390</v>
      </c>
      <c r="AN480" s="875" t="str">
        <f>IFERROR(VLOOKUP(E480,'liquidaciones '!$B$2:$C$1048576,2,0),"NO")</f>
        <v>NO</v>
      </c>
      <c r="AO480" s="983" t="str">
        <f>IFERROR(VLOOKUP(E480,'liquidaciones '!$B$2:$I$1048576,8,0),"")</f>
        <v>GIOVANNI SUAREZ</v>
      </c>
      <c r="AP480" s="342"/>
      <c r="AQ480" s="177" t="s">
        <v>390</v>
      </c>
      <c r="AR480" s="438" t="s">
        <v>3541</v>
      </c>
      <c r="AS480" s="438"/>
      <c r="AT480" s="1015"/>
    </row>
    <row r="481" spans="3:46" ht="30" x14ac:dyDescent="0.25">
      <c r="C481" s="442"/>
      <c r="D481" s="442" t="str">
        <f t="shared" si="98"/>
        <v>2016</v>
      </c>
      <c r="E481" s="883" t="s">
        <v>2803</v>
      </c>
      <c r="F481" s="882" t="s">
        <v>2804</v>
      </c>
      <c r="G481" s="934" t="s">
        <v>2805</v>
      </c>
      <c r="H481" s="945" t="s">
        <v>2806</v>
      </c>
      <c r="I481" s="940">
        <v>19667800</v>
      </c>
      <c r="J481" s="718" t="s">
        <v>2825</v>
      </c>
      <c r="K481" s="298">
        <v>2016</v>
      </c>
      <c r="L481" s="551">
        <v>42731</v>
      </c>
      <c r="M481" s="885">
        <v>42746</v>
      </c>
      <c r="N481" s="885">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4">
        <f t="shared" si="91"/>
        <v>42805</v>
      </c>
      <c r="U481" s="62">
        <f t="shared" si="92"/>
        <v>19667800</v>
      </c>
      <c r="V481" s="172">
        <f>VLOOKUP(E481,Modificaciones!$B$7:$AU$481,46,0)</f>
        <v>19667800</v>
      </c>
      <c r="W481" s="93">
        <f t="shared" si="90"/>
        <v>0</v>
      </c>
      <c r="X481" s="312" t="s">
        <v>2807</v>
      </c>
      <c r="Y481" s="881">
        <f t="shared" si="93"/>
        <v>1</v>
      </c>
      <c r="Z481" s="42">
        <f t="shared" ca="1" si="94"/>
        <v>1</v>
      </c>
      <c r="AA481" s="43">
        <f t="shared" ca="1" si="95"/>
        <v>0</v>
      </c>
      <c r="AB481" s="202" t="str">
        <f t="shared" ca="1" si="96"/>
        <v/>
      </c>
      <c r="AC481" s="44" t="str">
        <f t="shared" si="99"/>
        <v>SI</v>
      </c>
      <c r="AD481" s="765" t="s">
        <v>1715</v>
      </c>
      <c r="AE481" s="173" t="s">
        <v>1257</v>
      </c>
      <c r="AF481" s="284" t="s">
        <v>1467</v>
      </c>
      <c r="AG481" s="173"/>
      <c r="AH481" s="284"/>
      <c r="AI481" s="308"/>
      <c r="AJ481" s="308" t="s">
        <v>600</v>
      </c>
      <c r="AK481" s="181" t="str">
        <f t="shared" ca="1" si="97"/>
        <v>TERMINO</v>
      </c>
      <c r="AL481" s="313" t="s">
        <v>576</v>
      </c>
      <c r="AM481" s="176" t="s">
        <v>391</v>
      </c>
      <c r="AN481" s="875" t="str">
        <f>IFERROR(VLOOKUP(E481,'liquidaciones '!$B$2:$C$1048576,2,0),"NO")</f>
        <v>EN TRÁMITE</v>
      </c>
      <c r="AO481" s="983" t="str">
        <f>IFERROR(VLOOKUP(E481,'liquidaciones '!$B$2:$I$1048576,8,0),"")</f>
        <v>MANUEL ROJAS</v>
      </c>
      <c r="AP481" s="342"/>
      <c r="AQ481" s="177" t="s">
        <v>390</v>
      </c>
      <c r="AR481" s="177" t="s">
        <v>981</v>
      </c>
      <c r="AS481" s="438"/>
      <c r="AT481" s="1015"/>
    </row>
    <row r="482" spans="3:46" ht="30" x14ac:dyDescent="0.25">
      <c r="C482" s="442">
        <v>233</v>
      </c>
      <c r="D482" s="442" t="str">
        <f t="shared" si="98"/>
        <v>2016233</v>
      </c>
      <c r="E482" s="883" t="s">
        <v>2808</v>
      </c>
      <c r="F482" s="882" t="s">
        <v>2809</v>
      </c>
      <c r="G482" s="934">
        <v>830110570</v>
      </c>
      <c r="H482" s="945" t="s">
        <v>3061</v>
      </c>
      <c r="I482" s="940">
        <v>564700000</v>
      </c>
      <c r="J482" s="718" t="s">
        <v>2824</v>
      </c>
      <c r="K482" s="298">
        <v>2016</v>
      </c>
      <c r="L482" s="551">
        <v>42734</v>
      </c>
      <c r="M482" s="894">
        <v>42747</v>
      </c>
      <c r="N482" s="894">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4">
        <f t="shared" si="91"/>
        <v>42837</v>
      </c>
      <c r="U482" s="62">
        <f t="shared" si="92"/>
        <v>564700000</v>
      </c>
      <c r="V482" s="172">
        <f>VLOOKUP(E482,Modificaciones!$B$7:$AU$482,46,0)</f>
        <v>561585401</v>
      </c>
      <c r="W482" s="93">
        <f t="shared" si="90"/>
        <v>3114599</v>
      </c>
      <c r="X482" s="312" t="s">
        <v>2807</v>
      </c>
      <c r="Y482" s="881">
        <f t="shared" si="93"/>
        <v>0.99448450681777933</v>
      </c>
      <c r="Z482" s="42">
        <f t="shared" ca="1" si="94"/>
        <v>1</v>
      </c>
      <c r="AA482" s="43">
        <f t="shared" ca="1" si="95"/>
        <v>5.5154931822206654E-3</v>
      </c>
      <c r="AB482" s="202" t="str">
        <f t="shared" ca="1" si="96"/>
        <v/>
      </c>
      <c r="AC482" s="44" t="str">
        <f t="shared" si="99"/>
        <v>NO</v>
      </c>
      <c r="AD482" s="765" t="s">
        <v>1715</v>
      </c>
      <c r="AE482" s="173" t="s">
        <v>1258</v>
      </c>
      <c r="AF482" s="284" t="s">
        <v>2823</v>
      </c>
      <c r="AG482" s="173" t="s">
        <v>1440</v>
      </c>
      <c r="AH482" s="284" t="s">
        <v>560</v>
      </c>
      <c r="AI482" s="308" t="s">
        <v>1510</v>
      </c>
      <c r="AJ482" s="308" t="s">
        <v>600</v>
      </c>
      <c r="AK482" s="181" t="str">
        <f t="shared" ca="1" si="97"/>
        <v>TERMINO</v>
      </c>
      <c r="AL482" s="313" t="s">
        <v>995</v>
      </c>
      <c r="AM482" s="342" t="s">
        <v>391</v>
      </c>
      <c r="AN482" s="875" t="str">
        <f>IFERROR(VLOOKUP(E482,'liquidaciones '!$B$2:$C$1048576,2,0),"NO")</f>
        <v>LIQUIDADO</v>
      </c>
      <c r="AO482" s="983" t="str">
        <f>IFERROR(VLOOKUP(E482,'liquidaciones '!$B$2:$I$1048576,8,0),"")</f>
        <v>GIOVANNI SUAREZ</v>
      </c>
      <c r="AP482" s="342"/>
      <c r="AQ482" s="177"/>
      <c r="AR482" s="177" t="s">
        <v>2924</v>
      </c>
      <c r="AS482" s="438"/>
      <c r="AT482" s="1015"/>
    </row>
    <row r="483" spans="3:46" ht="67.5" x14ac:dyDescent="0.25">
      <c r="C483" s="896">
        <v>232</v>
      </c>
      <c r="D483" s="896" t="str">
        <f t="shared" si="98"/>
        <v>2016232</v>
      </c>
      <c r="E483" s="897" t="s">
        <v>2837</v>
      </c>
      <c r="F483" s="446" t="s">
        <v>2810</v>
      </c>
      <c r="G483" s="936" t="s">
        <v>2811</v>
      </c>
      <c r="H483" s="947" t="s">
        <v>3062</v>
      </c>
      <c r="I483" s="942">
        <v>46500000</v>
      </c>
      <c r="J483" s="902" t="s">
        <v>2821</v>
      </c>
      <c r="K483" s="298">
        <v>2016</v>
      </c>
      <c r="L483" s="551">
        <v>42733</v>
      </c>
      <c r="M483" s="903">
        <v>42751</v>
      </c>
      <c r="N483" s="903">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4">
        <f t="shared" si="91"/>
        <v>42871</v>
      </c>
      <c r="U483" s="62">
        <f t="shared" si="92"/>
        <v>46500000</v>
      </c>
      <c r="V483" s="172">
        <f>VLOOKUP(E483,Modificaciones!$B$7:$AU$483,46,0)</f>
        <v>46500000</v>
      </c>
      <c r="W483" s="93">
        <f t="shared" si="90"/>
        <v>0</v>
      </c>
      <c r="X483" s="316" t="s">
        <v>2812</v>
      </c>
      <c r="Y483" s="881">
        <f t="shared" si="93"/>
        <v>1</v>
      </c>
      <c r="Z483" s="42">
        <f t="shared" ca="1" si="94"/>
        <v>1</v>
      </c>
      <c r="AA483" s="43">
        <f t="shared" ca="1" si="95"/>
        <v>0</v>
      </c>
      <c r="AB483" s="202" t="str">
        <f t="shared" ca="1" si="96"/>
        <v/>
      </c>
      <c r="AC483" s="44" t="str">
        <f t="shared" si="99"/>
        <v>SI</v>
      </c>
      <c r="AD483" s="897" t="s">
        <v>1715</v>
      </c>
      <c r="AE483" s="900" t="s">
        <v>1258</v>
      </c>
      <c r="AF483" s="900" t="s">
        <v>2822</v>
      </c>
      <c r="AG483" s="173" t="s">
        <v>1440</v>
      </c>
      <c r="AH483" s="284" t="s">
        <v>560</v>
      </c>
      <c r="AI483" s="308" t="s">
        <v>1510</v>
      </c>
      <c r="AJ483" s="308" t="s">
        <v>600</v>
      </c>
      <c r="AK483" s="181" t="str">
        <f t="shared" ca="1" si="97"/>
        <v>TERMINO</v>
      </c>
      <c r="AL483" s="313" t="s">
        <v>995</v>
      </c>
      <c r="AM483" s="438" t="s">
        <v>390</v>
      </c>
      <c r="AN483" s="875" t="str">
        <f>IFERROR(VLOOKUP(E483,'liquidaciones '!$B$2:$C$1048576,2,0),"NO")</f>
        <v>NO</v>
      </c>
      <c r="AO483" s="983" t="str">
        <f>IFERROR(VLOOKUP(E483,'liquidaciones '!$B$2:$I$1048576,8,0),"")</f>
        <v>GIOVANNI SUAREZ</v>
      </c>
      <c r="AP483" s="438"/>
      <c r="AQ483" s="438" t="s">
        <v>390</v>
      </c>
      <c r="AR483" s="177" t="s">
        <v>2924</v>
      </c>
      <c r="AS483" s="438"/>
      <c r="AT483" s="1015"/>
    </row>
    <row r="484" spans="3:46" ht="83.25" customHeight="1" x14ac:dyDescent="0.25">
      <c r="C484" s="896">
        <v>95</v>
      </c>
      <c r="D484" s="896" t="str">
        <f t="shared" si="98"/>
        <v>201695</v>
      </c>
      <c r="E484" s="897" t="s">
        <v>2813</v>
      </c>
      <c r="F484" s="446" t="s">
        <v>152</v>
      </c>
      <c r="G484" s="936" t="s">
        <v>2814</v>
      </c>
      <c r="H484" s="947" t="s">
        <v>2827</v>
      </c>
      <c r="I484" s="942">
        <v>475686000</v>
      </c>
      <c r="J484" s="902" t="s">
        <v>2826</v>
      </c>
      <c r="K484" s="298">
        <v>2016</v>
      </c>
      <c r="L484" s="551">
        <v>42725</v>
      </c>
      <c r="M484" s="903">
        <v>42752</v>
      </c>
      <c r="N484" s="903">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4">
        <f t="shared" si="91"/>
        <v>42903</v>
      </c>
      <c r="U484" s="62">
        <f t="shared" si="92"/>
        <v>485206000</v>
      </c>
      <c r="V484" s="172">
        <f>VLOOKUP(E484,Modificaciones!$B$7:$AU$484,46,0)</f>
        <v>440949524</v>
      </c>
      <c r="W484" s="93">
        <f t="shared" si="90"/>
        <v>44256476</v>
      </c>
      <c r="X484" s="318" t="s">
        <v>2815</v>
      </c>
      <c r="Y484" s="881">
        <f t="shared" si="93"/>
        <v>0.90878827549535657</v>
      </c>
      <c r="Z484" s="42">
        <f t="shared" ca="1" si="94"/>
        <v>1</v>
      </c>
      <c r="AA484" s="43">
        <f t="shared" ca="1" si="95"/>
        <v>9.1211724504643432E-2</v>
      </c>
      <c r="AB484" s="202" t="str">
        <f t="shared" ca="1" si="96"/>
        <v/>
      </c>
      <c r="AC484" s="44" t="str">
        <f t="shared" si="99"/>
        <v>NO</v>
      </c>
      <c r="AD484" s="897" t="s">
        <v>1715</v>
      </c>
      <c r="AE484" s="900" t="s">
        <v>1258</v>
      </c>
      <c r="AF484" s="900" t="s">
        <v>2828</v>
      </c>
      <c r="AG484" s="173" t="s">
        <v>1440</v>
      </c>
      <c r="AH484" s="284" t="s">
        <v>560</v>
      </c>
      <c r="AI484" s="308" t="s">
        <v>1510</v>
      </c>
      <c r="AJ484" s="308" t="s">
        <v>600</v>
      </c>
      <c r="AK484" s="181" t="str">
        <f t="shared" ca="1" si="97"/>
        <v>TERMINO</v>
      </c>
      <c r="AL484" s="313" t="s">
        <v>995</v>
      </c>
      <c r="AM484" s="438" t="s">
        <v>390</v>
      </c>
      <c r="AN484" s="875" t="str">
        <f>IFERROR(VLOOKUP(E484,'liquidaciones '!$B$2:$C$1048576,2,0),"NO")</f>
        <v>NO</v>
      </c>
      <c r="AO484" s="983">
        <f>IFERROR(VLOOKUP(E484,'liquidaciones '!$B$2:$I$1048576,8,0),"")</f>
        <v>0</v>
      </c>
      <c r="AP484" s="438"/>
      <c r="AQ484" s="177" t="str">
        <f ca="1">IF((TODAY()-T484&lt;900),"SI","NO")</f>
        <v>SI</v>
      </c>
      <c r="AR484" s="177" t="s">
        <v>2924</v>
      </c>
      <c r="AS484" s="438"/>
      <c r="AT484" s="1015"/>
    </row>
    <row r="485" spans="3:46" ht="67.5" x14ac:dyDescent="0.25">
      <c r="C485" s="896">
        <v>285</v>
      </c>
      <c r="D485" s="896" t="str">
        <f t="shared" si="98"/>
        <v>2016285</v>
      </c>
      <c r="E485" s="897" t="s">
        <v>2816</v>
      </c>
      <c r="F485" s="446" t="s">
        <v>2817</v>
      </c>
      <c r="G485" s="936" t="s">
        <v>2818</v>
      </c>
      <c r="H485" s="947" t="s">
        <v>2819</v>
      </c>
      <c r="I485" s="942">
        <v>108273000</v>
      </c>
      <c r="J485" s="902" t="s">
        <v>2829</v>
      </c>
      <c r="K485" s="298">
        <v>2016</v>
      </c>
      <c r="L485" s="551">
        <v>42733</v>
      </c>
      <c r="M485" s="903">
        <v>42746</v>
      </c>
      <c r="N485" s="903">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4">
        <f t="shared" si="91"/>
        <v>42930</v>
      </c>
      <c r="U485" s="62">
        <f t="shared" si="92"/>
        <v>112611465</v>
      </c>
      <c r="V485" s="172">
        <f>VLOOKUP(E485,Modificaciones!$B$7:$AU$485,46,0)</f>
        <v>112611465</v>
      </c>
      <c r="W485" s="93">
        <f t="shared" si="90"/>
        <v>0</v>
      </c>
      <c r="X485" s="316" t="s">
        <v>2820</v>
      </c>
      <c r="Y485" s="881">
        <f t="shared" si="93"/>
        <v>1</v>
      </c>
      <c r="Z485" s="42">
        <f t="shared" ca="1" si="94"/>
        <v>1</v>
      </c>
      <c r="AA485" s="43">
        <f t="shared" ca="1" si="95"/>
        <v>0</v>
      </c>
      <c r="AB485" s="202" t="str">
        <f t="shared" ca="1" si="96"/>
        <v/>
      </c>
      <c r="AC485" s="44" t="str">
        <f t="shared" si="99"/>
        <v>SI</v>
      </c>
      <c r="AD485" s="765" t="s">
        <v>1713</v>
      </c>
      <c r="AE485" s="900" t="s">
        <v>1257</v>
      </c>
      <c r="AF485" s="900" t="s">
        <v>2830</v>
      </c>
      <c r="AG485" s="897"/>
      <c r="AH485" s="897"/>
      <c r="AI485" s="897"/>
      <c r="AJ485" s="308" t="s">
        <v>600</v>
      </c>
      <c r="AK485" s="181" t="str">
        <f t="shared" ca="1" si="97"/>
        <v>TERMINO</v>
      </c>
      <c r="AL485" s="313" t="s">
        <v>574</v>
      </c>
      <c r="AM485" s="438" t="s">
        <v>390</v>
      </c>
      <c r="AN485" s="875" t="str">
        <f>IFERROR(VLOOKUP(E485,'liquidaciones '!$B$2:$C$1048576,2,0),"NO")</f>
        <v>NO</v>
      </c>
      <c r="AO485" s="983" t="str">
        <f>IFERROR(VLOOKUP(E485,'liquidaciones '!$B$2:$I$1048576,8,0),"")</f>
        <v/>
      </c>
      <c r="AP485" s="438"/>
      <c r="AQ485" s="438" t="s">
        <v>390</v>
      </c>
      <c r="AR485" s="177" t="s">
        <v>2996</v>
      </c>
      <c r="AS485" s="438"/>
      <c r="AT485" s="1015"/>
    </row>
    <row r="486" spans="3:46" ht="45" x14ac:dyDescent="0.25">
      <c r="C486" s="896"/>
      <c r="D486" s="896"/>
      <c r="E486" s="897" t="s">
        <v>2831</v>
      </c>
      <c r="F486" s="446" t="s">
        <v>2832</v>
      </c>
      <c r="G486" s="936" t="s">
        <v>2833</v>
      </c>
      <c r="H486" s="947" t="s">
        <v>2834</v>
      </c>
      <c r="I486" s="942">
        <v>700000</v>
      </c>
      <c r="J486" s="902" t="s">
        <v>2836</v>
      </c>
      <c r="K486" s="298">
        <v>2016</v>
      </c>
      <c r="L486" s="551">
        <v>42692</v>
      </c>
      <c r="M486" s="899">
        <v>42761</v>
      </c>
      <c r="N486" s="899">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4">
        <f t="shared" si="91"/>
        <v>43004</v>
      </c>
      <c r="U486" s="62">
        <f t="shared" si="92"/>
        <v>700000</v>
      </c>
      <c r="V486" s="172">
        <f>VLOOKUP(E486,Modificaciones!$B$7:$AU$486,46,0)</f>
        <v>0</v>
      </c>
      <c r="W486" s="93">
        <f t="shared" si="90"/>
        <v>700000</v>
      </c>
      <c r="X486" s="312" t="s">
        <v>2807</v>
      </c>
      <c r="Y486" s="881">
        <f t="shared" si="93"/>
        <v>0</v>
      </c>
      <c r="Z486" s="42">
        <f t="shared" ca="1" si="94"/>
        <v>1</v>
      </c>
      <c r="AA486" s="43">
        <f t="shared" ca="1" si="95"/>
        <v>1</v>
      </c>
      <c r="AB486" s="202" t="str">
        <f t="shared" ca="1" si="96"/>
        <v/>
      </c>
      <c r="AC486" s="44" t="str">
        <f t="shared" si="99"/>
        <v>NO</v>
      </c>
      <c r="AD486" s="897"/>
      <c r="AE486" s="173" t="s">
        <v>1257</v>
      </c>
      <c r="AF486" s="284" t="s">
        <v>1505</v>
      </c>
      <c r="AG486" s="173" t="s">
        <v>1443</v>
      </c>
      <c r="AH486" s="284" t="s">
        <v>560</v>
      </c>
      <c r="AI486" s="308"/>
      <c r="AJ486" s="308" t="s">
        <v>600</v>
      </c>
      <c r="AK486" s="181" t="str">
        <f t="shared" ca="1" si="97"/>
        <v>TERMINO</v>
      </c>
      <c r="AL486" s="446"/>
      <c r="AM486" s="438" t="s">
        <v>390</v>
      </c>
      <c r="AN486" s="875" t="str">
        <f>IFERROR(VLOOKUP(E486,'liquidaciones '!$B$2:$C$1048576,2,0),"NO")</f>
        <v>NO</v>
      </c>
      <c r="AO486" s="983" t="str">
        <f>IFERROR(VLOOKUP(E486,'liquidaciones '!$B$2:$I$1048576,8,0),"")</f>
        <v/>
      </c>
      <c r="AP486" s="438"/>
      <c r="AQ486" s="438" t="s">
        <v>390</v>
      </c>
      <c r="AR486" s="177" t="s">
        <v>2982</v>
      </c>
      <c r="AS486" s="438"/>
      <c r="AT486" s="1015"/>
    </row>
    <row r="487" spans="3:46" ht="36" customHeight="1" x14ac:dyDescent="0.25">
      <c r="C487" s="909">
        <v>183</v>
      </c>
      <c r="D487" s="896"/>
      <c r="E487" s="897" t="s">
        <v>2835</v>
      </c>
      <c r="F487" s="446" t="s">
        <v>2422</v>
      </c>
      <c r="G487" s="934">
        <v>900459737</v>
      </c>
      <c r="H487" s="945" t="s">
        <v>402</v>
      </c>
      <c r="I487" s="942">
        <v>433000000</v>
      </c>
      <c r="J487" s="902" t="s">
        <v>2951</v>
      </c>
      <c r="K487" s="298">
        <v>2017</v>
      </c>
      <c r="L487" s="551">
        <v>42754</v>
      </c>
      <c r="M487" s="899">
        <v>42767</v>
      </c>
      <c r="N487" s="899">
        <v>43100</v>
      </c>
      <c r="O487" s="127">
        <f>COUNTA(Modificaciones!I473,Modificaciones!K473,Modificaciones!M473,Modificaciones!O473)</f>
        <v>0</v>
      </c>
      <c r="P487" s="128">
        <f>VLOOKUP(E487,Modificaciones!$B$7:$Q$487,16,0)</f>
        <v>0</v>
      </c>
      <c r="Q487" s="129">
        <f>COUNTA(Modificaciones!S487,Modificaciones!U487,Modificaciones!W487,Modificaciones!Y487)</f>
        <v>0</v>
      </c>
      <c r="R487" s="130" t="str">
        <f>IF(Modificaciones!Z487=0,"",VLOOKUP(E487,Modificaciones!$B$7:$AA$500,25,0))</f>
        <v/>
      </c>
      <c r="S487" s="131" t="str">
        <f>IF(Modificaciones!AA487=0,"",VLOOKUP(E487,Modificaciones!$B$7:$AA$500,26,0))</f>
        <v/>
      </c>
      <c r="T487" s="884">
        <f t="shared" si="91"/>
        <v>43100</v>
      </c>
      <c r="U487" s="62">
        <f t="shared" si="92"/>
        <v>433000000</v>
      </c>
      <c r="V487" s="172">
        <f>VLOOKUP(E487,Modificaciones!$B$7:$AU$487,46,0)</f>
        <v>331677797</v>
      </c>
      <c r="W487" s="93">
        <f t="shared" si="90"/>
        <v>101322203</v>
      </c>
      <c r="X487" s="316"/>
      <c r="Y487" s="881">
        <f t="shared" si="93"/>
        <v>0.76599953117782915</v>
      </c>
      <c r="Z487" s="42">
        <f t="shared" ca="1" si="94"/>
        <v>1</v>
      </c>
      <c r="AA487" s="43">
        <f t="shared" ca="1" si="95"/>
        <v>0.23400046882217085</v>
      </c>
      <c r="AB487" s="202" t="str">
        <f t="shared" ca="1" si="96"/>
        <v/>
      </c>
      <c r="AC487" s="44" t="str">
        <f t="shared" si="99"/>
        <v>NO</v>
      </c>
      <c r="AD487" s="897"/>
      <c r="AE487" s="173" t="s">
        <v>1257</v>
      </c>
      <c r="AF487" s="284" t="s">
        <v>1140</v>
      </c>
      <c r="AG487" s="173"/>
      <c r="AH487" s="284" t="s">
        <v>560</v>
      </c>
      <c r="AI487" s="308" t="s">
        <v>1320</v>
      </c>
      <c r="AJ487" s="308" t="s">
        <v>600</v>
      </c>
      <c r="AK487" s="181" t="str">
        <f t="shared" ca="1" si="97"/>
        <v>TERMINO</v>
      </c>
      <c r="AL487" s="446"/>
      <c r="AM487" s="438"/>
      <c r="AN487" s="875" t="str">
        <f>IFERROR(VLOOKUP(E487,'liquidaciones '!$B$2:$C$1048576,2,0),"NO")</f>
        <v>NO</v>
      </c>
      <c r="AO487" s="983" t="str">
        <f>IFERROR(VLOOKUP(E487,'liquidaciones '!$B$2:$I$1048576,8,0),"")</f>
        <v/>
      </c>
      <c r="AP487" s="438"/>
      <c r="AQ487" s="177" t="s">
        <v>390</v>
      </c>
      <c r="AR487" s="438" t="s">
        <v>1511</v>
      </c>
      <c r="AS487" s="438"/>
      <c r="AT487" s="1018" t="s">
        <v>3754</v>
      </c>
    </row>
    <row r="488" spans="3:46" ht="84" customHeight="1" x14ac:dyDescent="0.25">
      <c r="C488" s="896">
        <v>181</v>
      </c>
      <c r="D488" s="896"/>
      <c r="E488" s="897" t="s">
        <v>2838</v>
      </c>
      <c r="F488" s="446" t="s">
        <v>2441</v>
      </c>
      <c r="G488" s="934">
        <v>900475780</v>
      </c>
      <c r="H488" s="945" t="s">
        <v>1641</v>
      </c>
      <c r="I488" s="942">
        <v>4108908000</v>
      </c>
      <c r="J488" s="902" t="s">
        <v>2840</v>
      </c>
      <c r="K488" s="298">
        <v>2017</v>
      </c>
      <c r="L488" s="551">
        <v>42748</v>
      </c>
      <c r="M488" s="899">
        <v>42751</v>
      </c>
      <c r="N488" s="899">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4">
        <f t="shared" si="91"/>
        <v>43100</v>
      </c>
      <c r="U488" s="62">
        <f t="shared" si="92"/>
        <v>4375027000</v>
      </c>
      <c r="V488" s="172">
        <f>VLOOKUP(E488,Modificaciones!$B$7:$AU$488,46,0)</f>
        <v>4108908000</v>
      </c>
      <c r="W488" s="93">
        <f t="shared" si="90"/>
        <v>266119000</v>
      </c>
      <c r="X488" s="318" t="s">
        <v>2839</v>
      </c>
      <c r="Y488" s="881">
        <f t="shared" si="93"/>
        <v>0.93917317538840328</v>
      </c>
      <c r="Z488" s="42">
        <f t="shared" ca="1" si="94"/>
        <v>1</v>
      </c>
      <c r="AA488" s="43">
        <f t="shared" ca="1" si="95"/>
        <v>6.0826824611596719E-2</v>
      </c>
      <c r="AB488" s="202" t="str">
        <f t="shared" ca="1" si="96"/>
        <v/>
      </c>
      <c r="AC488" s="44" t="str">
        <f t="shared" si="99"/>
        <v>NO</v>
      </c>
      <c r="AD488" s="765" t="s">
        <v>1722</v>
      </c>
      <c r="AE488" s="173" t="s">
        <v>1257</v>
      </c>
      <c r="AF488" s="284" t="s">
        <v>1509</v>
      </c>
      <c r="AG488" s="173" t="s">
        <v>1443</v>
      </c>
      <c r="AH488" s="284" t="s">
        <v>560</v>
      </c>
      <c r="AI488" s="308" t="s">
        <v>1320</v>
      </c>
      <c r="AJ488" s="308" t="s">
        <v>600</v>
      </c>
      <c r="AK488" s="181" t="str">
        <f t="shared" ca="1" si="97"/>
        <v>TERMINO</v>
      </c>
      <c r="AL488" s="181" t="s">
        <v>582</v>
      </c>
      <c r="AM488" s="438" t="s">
        <v>390</v>
      </c>
      <c r="AN488" s="875" t="str">
        <f>IFERROR(VLOOKUP(E488,'liquidaciones '!$B$2:$C$1048576,2,0),"NO")</f>
        <v>NO</v>
      </c>
      <c r="AO488" s="983" t="str">
        <f>IFERROR(VLOOKUP(E488,'liquidaciones '!$B$2:$I$1048576,8,0),"")</f>
        <v/>
      </c>
      <c r="AP488" s="438"/>
      <c r="AQ488" s="177" t="s">
        <v>390</v>
      </c>
      <c r="AR488" s="177" t="s">
        <v>2995</v>
      </c>
      <c r="AS488" s="438"/>
      <c r="AT488" s="1018" t="s">
        <v>3754</v>
      </c>
    </row>
    <row r="489" spans="3:46" ht="67.5" x14ac:dyDescent="0.25">
      <c r="C489" s="896">
        <v>177</v>
      </c>
      <c r="D489" s="896"/>
      <c r="E489" s="897" t="s">
        <v>2841</v>
      </c>
      <c r="F489" s="446" t="s">
        <v>2842</v>
      </c>
      <c r="G489" s="936" t="s">
        <v>2843</v>
      </c>
      <c r="H489" s="947" t="s">
        <v>2844</v>
      </c>
      <c r="I489" s="942">
        <v>400000000</v>
      </c>
      <c r="J489" s="902" t="s">
        <v>2848</v>
      </c>
      <c r="K489" s="298">
        <v>2017</v>
      </c>
      <c r="L489" s="551">
        <v>42746</v>
      </c>
      <c r="M489" s="899">
        <v>42773</v>
      </c>
      <c r="N489" s="899">
        <v>43046</v>
      </c>
      <c r="O489" s="127">
        <f>COUNTA(Modificaciones!I475,Modificaciones!K475,Modificaciones!M475,Modificaciones!O475)</f>
        <v>1</v>
      </c>
      <c r="P489" s="128">
        <f>VLOOKUP(E489,Modificaciones!$B$7:$Q$489,16,0)</f>
        <v>0</v>
      </c>
      <c r="Q489" s="129">
        <f>COUNTA(Modificaciones!S489,Modificaciones!U489,Modificaciones!W489,Modificaciones!Y489)</f>
        <v>1</v>
      </c>
      <c r="R489" s="130" t="str">
        <f>IF(Modificaciones!Z489=0,"",VLOOKUP(E489,Modificaciones!$B$7:$AA$500,25,0))</f>
        <v>4 meses</v>
      </c>
      <c r="S489" s="131">
        <f>IF(Modificaciones!AA489=0,"",VLOOKUP(E489,Modificaciones!$B$7:$AA$500,26,0))</f>
        <v>43166</v>
      </c>
      <c r="T489" s="884">
        <f t="shared" si="91"/>
        <v>43166</v>
      </c>
      <c r="U489" s="62">
        <f t="shared" si="92"/>
        <v>400000000</v>
      </c>
      <c r="V489" s="172">
        <f>VLOOKUP(E489,Modificaciones!$B$7:$AU$489,46,0)</f>
        <v>211829350</v>
      </c>
      <c r="W489" s="93">
        <f t="shared" si="90"/>
        <v>188170650</v>
      </c>
      <c r="X489" s="312" t="s">
        <v>2845</v>
      </c>
      <c r="Y489" s="881">
        <f t="shared" si="93"/>
        <v>0.52957337500000001</v>
      </c>
      <c r="Z489" s="42">
        <f t="shared" ca="1" si="94"/>
        <v>0.87786259541984735</v>
      </c>
      <c r="AA489" s="43">
        <f t="shared" ca="1" si="95"/>
        <v>0.34828922041984733</v>
      </c>
      <c r="AB489" s="202">
        <f t="shared" ca="1" si="96"/>
        <v>48</v>
      </c>
      <c r="AC489" s="44" t="str">
        <f t="shared" si="99"/>
        <v>NO</v>
      </c>
      <c r="AD489" s="897"/>
      <c r="AE489" s="173" t="s">
        <v>1257</v>
      </c>
      <c r="AF489" s="284" t="s">
        <v>1534</v>
      </c>
      <c r="AG489" s="173" t="s">
        <v>1431</v>
      </c>
      <c r="AH489" s="284" t="s">
        <v>564</v>
      </c>
      <c r="AI489" s="308"/>
      <c r="AJ489" s="308" t="s">
        <v>600</v>
      </c>
      <c r="AK489" s="181" t="str">
        <f t="shared" ca="1" si="97"/>
        <v>EN EJECUCIÓN</v>
      </c>
      <c r="AL489" s="313" t="s">
        <v>575</v>
      </c>
      <c r="AM489" s="438" t="s">
        <v>390</v>
      </c>
      <c r="AN489" s="875" t="str">
        <f>IFERROR(VLOOKUP(E489,'liquidaciones '!$B$2:$C$1048576,2,0),"NO")</f>
        <v>NO</v>
      </c>
      <c r="AO489" s="983" t="str">
        <f>IFERROR(VLOOKUP(E489,'liquidaciones '!$B$2:$I$1048576,8,0),"")</f>
        <v/>
      </c>
      <c r="AP489" s="438"/>
      <c r="AQ489" s="177" t="s">
        <v>390</v>
      </c>
      <c r="AR489" s="177" t="s">
        <v>2996</v>
      </c>
      <c r="AS489" s="438"/>
      <c r="AT489" s="1018" t="s">
        <v>3753</v>
      </c>
    </row>
    <row r="490" spans="3:46" ht="45" x14ac:dyDescent="0.25">
      <c r="C490" s="896">
        <v>147</v>
      </c>
      <c r="D490" s="896"/>
      <c r="E490" s="897" t="s">
        <v>2846</v>
      </c>
      <c r="F490" s="446" t="s">
        <v>2034</v>
      </c>
      <c r="G490" s="934">
        <v>79246871</v>
      </c>
      <c r="H490" s="947" t="s">
        <v>2847</v>
      </c>
      <c r="I490" s="942">
        <v>3860000</v>
      </c>
      <c r="J490" s="902" t="s">
        <v>2846</v>
      </c>
      <c r="K490" s="298">
        <v>2017</v>
      </c>
      <c r="L490" s="551">
        <v>42772</v>
      </c>
      <c r="M490" s="899">
        <v>42772</v>
      </c>
      <c r="N490" s="899">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4">
        <f t="shared" si="91"/>
        <v>42800</v>
      </c>
      <c r="U490" s="62">
        <f t="shared" si="92"/>
        <v>3860000</v>
      </c>
      <c r="V490" s="172">
        <f>VLOOKUP(E490,Modificaciones!$B$7:$AU$490,46,0)</f>
        <v>3860000</v>
      </c>
      <c r="W490" s="93">
        <f t="shared" si="90"/>
        <v>0</v>
      </c>
      <c r="X490" s="312" t="s">
        <v>2736</v>
      </c>
      <c r="Y490" s="881">
        <f t="shared" si="93"/>
        <v>1</v>
      </c>
      <c r="Z490" s="42">
        <f t="shared" ca="1" si="94"/>
        <v>1</v>
      </c>
      <c r="AA490" s="43">
        <f t="shared" ca="1" si="95"/>
        <v>0</v>
      </c>
      <c r="AB490" s="202" t="str">
        <f t="shared" ca="1" si="96"/>
        <v/>
      </c>
      <c r="AC490" s="44" t="str">
        <f t="shared" si="99"/>
        <v>SI</v>
      </c>
      <c r="AD490" s="765" t="s">
        <v>1714</v>
      </c>
      <c r="AE490" s="173" t="s">
        <v>1257</v>
      </c>
      <c r="AF490" s="284" t="s">
        <v>2063</v>
      </c>
      <c r="AG490" s="173" t="s">
        <v>1438</v>
      </c>
      <c r="AH490" s="284" t="s">
        <v>561</v>
      </c>
      <c r="AI490" s="308"/>
      <c r="AJ490" s="308" t="s">
        <v>600</v>
      </c>
      <c r="AK490" s="181" t="str">
        <f t="shared" ca="1" si="97"/>
        <v>TERMINO</v>
      </c>
      <c r="AL490" s="313" t="s">
        <v>582</v>
      </c>
      <c r="AM490" s="438" t="s">
        <v>391</v>
      </c>
      <c r="AN490" s="875" t="str">
        <f>IFERROR(VLOOKUP(E490,'liquidaciones '!$B$2:$C$1048576,2,0),"NO")</f>
        <v>LIQUIDADO</v>
      </c>
      <c r="AO490" s="983" t="str">
        <f>IFERROR(VLOOKUP(E490,'liquidaciones '!$B$2:$I$1048576,8,0),"")</f>
        <v>JAVIER QUINTERO</v>
      </c>
      <c r="AP490" s="438"/>
      <c r="AQ490" s="177" t="s">
        <v>390</v>
      </c>
      <c r="AR490" s="177" t="s">
        <v>2609</v>
      </c>
      <c r="AS490" s="438"/>
      <c r="AT490" s="1018"/>
    </row>
    <row r="491" spans="3:46" ht="45" x14ac:dyDescent="0.25">
      <c r="C491" s="896">
        <v>141</v>
      </c>
      <c r="D491" s="896"/>
      <c r="E491" s="897" t="s">
        <v>2849</v>
      </c>
      <c r="F491" s="446" t="s">
        <v>2468</v>
      </c>
      <c r="G491" s="936">
        <v>52963023</v>
      </c>
      <c r="H491" s="947" t="s">
        <v>3063</v>
      </c>
      <c r="I491" s="942">
        <v>5700000</v>
      </c>
      <c r="J491" s="902" t="s">
        <v>2849</v>
      </c>
      <c r="K491" s="298">
        <v>2017</v>
      </c>
      <c r="L491" s="551">
        <v>42776</v>
      </c>
      <c r="M491" s="899">
        <v>42781</v>
      </c>
      <c r="N491" s="899">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4">
        <f t="shared" si="91"/>
        <v>42809</v>
      </c>
      <c r="U491" s="62">
        <f t="shared" si="92"/>
        <v>5700000</v>
      </c>
      <c r="V491" s="172">
        <f>VLOOKUP(E491,Modificaciones!$B$7:$AU$491,46,0)</f>
        <v>5700000</v>
      </c>
      <c r="W491" s="93">
        <f t="shared" si="90"/>
        <v>0</v>
      </c>
      <c r="X491" s="312" t="s">
        <v>2745</v>
      </c>
      <c r="Y491" s="881">
        <f t="shared" si="93"/>
        <v>1</v>
      </c>
      <c r="Z491" s="42">
        <f t="shared" ca="1" si="94"/>
        <v>1</v>
      </c>
      <c r="AA491" s="43">
        <f t="shared" ca="1" si="95"/>
        <v>0</v>
      </c>
      <c r="AB491" s="202" t="str">
        <f t="shared" ca="1" si="96"/>
        <v/>
      </c>
      <c r="AC491" s="44" t="str">
        <f t="shared" si="99"/>
        <v>SI</v>
      </c>
      <c r="AD491" s="765" t="s">
        <v>2469</v>
      </c>
      <c r="AE491" s="173" t="s">
        <v>1257</v>
      </c>
      <c r="AF491" s="284" t="s">
        <v>2470</v>
      </c>
      <c r="AG491" s="173" t="s">
        <v>1438</v>
      </c>
      <c r="AH491" s="284" t="s">
        <v>561</v>
      </c>
      <c r="AI491" s="897"/>
      <c r="AJ491" s="308" t="s">
        <v>600</v>
      </c>
      <c r="AK491" s="181" t="str">
        <f t="shared" ca="1" si="97"/>
        <v>TERMINO</v>
      </c>
      <c r="AL491" s="181" t="s">
        <v>582</v>
      </c>
      <c r="AM491" s="438" t="s">
        <v>391</v>
      </c>
      <c r="AN491" s="875" t="str">
        <f>IFERROR(VLOOKUP(E491,'liquidaciones '!$B$2:$C$1048576,2,0),"NO")</f>
        <v>LIQUIDADO</v>
      </c>
      <c r="AO491" s="983" t="str">
        <f>IFERROR(VLOOKUP(E491,'liquidaciones '!$B$2:$I$1048576,8,0),"")</f>
        <v>JAVIER QUINTERO</v>
      </c>
      <c r="AP491" s="438"/>
      <c r="AQ491" s="177" t="s">
        <v>390</v>
      </c>
      <c r="AR491" s="177" t="s">
        <v>2609</v>
      </c>
      <c r="AS491" s="438"/>
      <c r="AT491" s="1018"/>
    </row>
    <row r="492" spans="3:46" ht="45" x14ac:dyDescent="0.25">
      <c r="C492" s="896">
        <v>81</v>
      </c>
      <c r="D492" s="896"/>
      <c r="E492" s="897" t="s">
        <v>2851</v>
      </c>
      <c r="F492" s="446" t="s">
        <v>2852</v>
      </c>
      <c r="G492" s="937" t="s">
        <v>2389</v>
      </c>
      <c r="H492" s="947" t="s">
        <v>2853</v>
      </c>
      <c r="I492" s="942">
        <v>65851149</v>
      </c>
      <c r="J492" s="902" t="s">
        <v>2855</v>
      </c>
      <c r="K492" s="298">
        <v>2017</v>
      </c>
      <c r="L492" s="551">
        <v>42795</v>
      </c>
      <c r="M492" s="899">
        <v>42815</v>
      </c>
      <c r="N492" s="899">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4">
        <f t="shared" si="91"/>
        <v>43180</v>
      </c>
      <c r="U492" s="62">
        <f t="shared" si="92"/>
        <v>65851149</v>
      </c>
      <c r="V492" s="172">
        <f>VLOOKUP(E492,Modificaciones!$B$7:$AU$492,46,0)</f>
        <v>65851149</v>
      </c>
      <c r="W492" s="93">
        <f t="shared" si="90"/>
        <v>0</v>
      </c>
      <c r="X492" s="316" t="s">
        <v>2854</v>
      </c>
      <c r="Y492" s="881">
        <f t="shared" si="93"/>
        <v>1</v>
      </c>
      <c r="Z492" s="42">
        <f t="shared" ca="1" si="94"/>
        <v>0.83013698630136989</v>
      </c>
      <c r="AA492" s="43">
        <f t="shared" ca="1" si="95"/>
        <v>-0.16986301369863011</v>
      </c>
      <c r="AB492" s="202">
        <f t="shared" ca="1" si="96"/>
        <v>62</v>
      </c>
      <c r="AC492" s="44" t="str">
        <f t="shared" si="99"/>
        <v>SI</v>
      </c>
      <c r="AD492" s="897"/>
      <c r="AE492" s="173" t="s">
        <v>1258</v>
      </c>
      <c r="AF492" s="284" t="s">
        <v>1468</v>
      </c>
      <c r="AG492" s="173" t="s">
        <v>1440</v>
      </c>
      <c r="AH492" s="284" t="s">
        <v>560</v>
      </c>
      <c r="AI492" s="308" t="s">
        <v>1510</v>
      </c>
      <c r="AJ492" s="308" t="s">
        <v>3835</v>
      </c>
      <c r="AK492" s="181" t="str">
        <f t="shared" ca="1" si="97"/>
        <v>EN EJECUCIÓN</v>
      </c>
      <c r="AL492" s="313" t="s">
        <v>576</v>
      </c>
      <c r="AM492" s="176" t="s">
        <v>390</v>
      </c>
      <c r="AN492" s="875" t="str">
        <f>IFERROR(VLOOKUP(E492,'liquidaciones '!$B$2:$C$1048576,2,0),"NO")</f>
        <v>NO</v>
      </c>
      <c r="AO492" s="983" t="str">
        <f>IFERROR(VLOOKUP(E492,'liquidaciones '!$B$2:$I$1048576,8,0),"")</f>
        <v/>
      </c>
      <c r="AP492" s="438"/>
      <c r="AQ492" s="177" t="s">
        <v>390</v>
      </c>
      <c r="AR492" s="438" t="s">
        <v>3541</v>
      </c>
      <c r="AS492" s="438" t="s">
        <v>3818</v>
      </c>
      <c r="AT492" s="1018" t="s">
        <v>3836</v>
      </c>
    </row>
    <row r="493" spans="3:46" ht="45" x14ac:dyDescent="0.25">
      <c r="C493" s="896">
        <v>84</v>
      </c>
      <c r="D493" s="896"/>
      <c r="E493" s="897" t="s">
        <v>2856</v>
      </c>
      <c r="F493" s="446" t="s">
        <v>1339</v>
      </c>
      <c r="G493" s="937" t="s">
        <v>2733</v>
      </c>
      <c r="H493" s="947" t="s">
        <v>3064</v>
      </c>
      <c r="I493" s="942">
        <v>195049000</v>
      </c>
      <c r="J493" s="902" t="s">
        <v>2856</v>
      </c>
      <c r="K493" s="298">
        <v>2017</v>
      </c>
      <c r="L493" s="551">
        <v>42800</v>
      </c>
      <c r="M493" s="899">
        <v>42801</v>
      </c>
      <c r="N493" s="899">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4">
        <f t="shared" si="91"/>
        <v>43046</v>
      </c>
      <c r="U493" s="62">
        <f t="shared" si="92"/>
        <v>195049000</v>
      </c>
      <c r="V493" s="172">
        <f>VLOOKUP(E493,Modificaciones!$B$7:$AU$493,46,0)</f>
        <v>195049000</v>
      </c>
      <c r="W493" s="93">
        <f t="shared" si="90"/>
        <v>0</v>
      </c>
      <c r="X493" s="312" t="s">
        <v>2857</v>
      </c>
      <c r="Y493" s="881">
        <f t="shared" si="93"/>
        <v>1</v>
      </c>
      <c r="Z493" s="42">
        <f t="shared" ca="1" si="94"/>
        <v>1</v>
      </c>
      <c r="AA493" s="43">
        <f t="shared" ca="1" si="95"/>
        <v>0</v>
      </c>
      <c r="AB493" s="202" t="str">
        <f t="shared" ca="1" si="96"/>
        <v/>
      </c>
      <c r="AC493" s="44" t="str">
        <f t="shared" si="99"/>
        <v>SI</v>
      </c>
      <c r="AD493" s="765" t="s">
        <v>1713</v>
      </c>
      <c r="AE493" s="173" t="s">
        <v>1258</v>
      </c>
      <c r="AF493" s="284" t="s">
        <v>1609</v>
      </c>
      <c r="AG493" s="173" t="s">
        <v>1440</v>
      </c>
      <c r="AH493" s="284" t="s">
        <v>560</v>
      </c>
      <c r="AI493" s="308" t="s">
        <v>1510</v>
      </c>
      <c r="AJ493" s="308" t="s">
        <v>3835</v>
      </c>
      <c r="AK493" s="181" t="str">
        <f t="shared" ca="1" si="97"/>
        <v>TERMINO</v>
      </c>
      <c r="AL493" s="313" t="s">
        <v>582</v>
      </c>
      <c r="AM493" s="176" t="s">
        <v>390</v>
      </c>
      <c r="AN493" s="875" t="str">
        <f>IFERROR(VLOOKUP(E493,'liquidaciones '!$B$2:$C$1048576,2,0),"NO")</f>
        <v>NO</v>
      </c>
      <c r="AO493" s="983" t="str">
        <f>IFERROR(VLOOKUP(E493,'liquidaciones '!$B$2:$I$1048576,8,0),"")</f>
        <v/>
      </c>
      <c r="AP493" s="342"/>
      <c r="AQ493" s="177" t="s">
        <v>390</v>
      </c>
      <c r="AR493" s="438" t="s">
        <v>3541</v>
      </c>
      <c r="AS493" s="438" t="s">
        <v>3818</v>
      </c>
      <c r="AT493" s="1018" t="s">
        <v>3836</v>
      </c>
    </row>
    <row r="494" spans="3:46" ht="33.75" x14ac:dyDescent="0.25">
      <c r="C494" s="896">
        <v>186</v>
      </c>
      <c r="D494" s="896"/>
      <c r="E494" s="897" t="s">
        <v>2860</v>
      </c>
      <c r="F494" s="446" t="s">
        <v>1909</v>
      </c>
      <c r="G494" s="936">
        <v>860019063</v>
      </c>
      <c r="H494" s="947" t="s">
        <v>2861</v>
      </c>
      <c r="I494" s="942">
        <v>28800000</v>
      </c>
      <c r="J494" s="898"/>
      <c r="K494" s="298">
        <v>2017</v>
      </c>
      <c r="L494" s="551">
        <v>42803</v>
      </c>
      <c r="M494" s="899">
        <v>42810</v>
      </c>
      <c r="N494" s="899">
        <v>43175</v>
      </c>
      <c r="O494" s="127">
        <f>COUNTA(Modificaciones!I480,Modificaciones!K480,Modificaciones!M480,Modificaciones!O480)</f>
        <v>0</v>
      </c>
      <c r="P494" s="128">
        <f>VLOOKUP(E494,Modificaciones!$B$7:$Q$494,16,0)</f>
        <v>0</v>
      </c>
      <c r="Q494" s="129">
        <f>COUNTA(Modificaciones!S494,Modificaciones!U494,Modificaciones!W494,Modificaciones!Y494)</f>
        <v>0</v>
      </c>
      <c r="R494" s="130" t="str">
        <f>IF(Modificaciones!Z494=0,"",VLOOKUP(E494,Modificaciones!$B$7:$AA$500,25,0))</f>
        <v/>
      </c>
      <c r="S494" s="131" t="str">
        <f>IF(Modificaciones!AA494=0,"",VLOOKUP(E494,Modificaciones!$B$7:$AA$500,26,0))</f>
        <v/>
      </c>
      <c r="T494" s="884">
        <f t="shared" si="91"/>
        <v>43175</v>
      </c>
      <c r="U494" s="62">
        <f t="shared" si="92"/>
        <v>28800000</v>
      </c>
      <c r="V494" s="172">
        <f>VLOOKUP(E494,Modificaciones!$B$7:$AU$494,46,0)</f>
        <v>2448451</v>
      </c>
      <c r="W494" s="93">
        <f t="shared" si="90"/>
        <v>26351549</v>
      </c>
      <c r="X494" s="312" t="s">
        <v>1912</v>
      </c>
      <c r="Y494" s="881">
        <f t="shared" si="93"/>
        <v>8.501565972222222E-2</v>
      </c>
      <c r="Z494" s="42">
        <f t="shared" ca="1" si="94"/>
        <v>0.84383561643835614</v>
      </c>
      <c r="AA494" s="43">
        <f t="shared" ca="1" si="95"/>
        <v>0.75881995671613389</v>
      </c>
      <c r="AB494" s="202">
        <f t="shared" ca="1" si="96"/>
        <v>57</v>
      </c>
      <c r="AC494" s="44" t="str">
        <f t="shared" si="99"/>
        <v>NO</v>
      </c>
      <c r="AD494" s="438" t="s">
        <v>1713</v>
      </c>
      <c r="AE494" s="900" t="s">
        <v>1257</v>
      </c>
      <c r="AF494" s="173" t="s">
        <v>2526</v>
      </c>
      <c r="AG494" s="173" t="s">
        <v>1443</v>
      </c>
      <c r="AH494" s="284" t="s">
        <v>560</v>
      </c>
      <c r="AI494" s="174" t="s">
        <v>1320</v>
      </c>
      <c r="AJ494" s="308" t="s">
        <v>2850</v>
      </c>
      <c r="AK494" s="181" t="str">
        <f t="shared" ca="1" si="97"/>
        <v>EN EJECUCIÓN</v>
      </c>
      <c r="AL494" s="313" t="s">
        <v>582</v>
      </c>
      <c r="AM494" s="438" t="s">
        <v>390</v>
      </c>
      <c r="AN494" s="875" t="str">
        <f>IFERROR(VLOOKUP(E494,'liquidaciones '!$B$2:$C$1048576,2,0),"NO")</f>
        <v>NO</v>
      </c>
      <c r="AO494" s="983" t="str">
        <f>IFERROR(VLOOKUP(E494,'liquidaciones '!$B$2:$I$1048576,8,0),"")</f>
        <v/>
      </c>
      <c r="AP494" s="438"/>
      <c r="AQ494" s="177" t="s">
        <v>390</v>
      </c>
      <c r="AR494" s="438" t="s">
        <v>1511</v>
      </c>
      <c r="AS494" s="438" t="s">
        <v>3820</v>
      </c>
      <c r="AT494" s="1018" t="s">
        <v>3754</v>
      </c>
    </row>
    <row r="495" spans="3:46" ht="45" x14ac:dyDescent="0.25">
      <c r="C495" s="896">
        <v>167</v>
      </c>
      <c r="D495" s="896"/>
      <c r="E495" s="897" t="s">
        <v>2864</v>
      </c>
      <c r="F495" s="446" t="s">
        <v>86</v>
      </c>
      <c r="G495" s="936">
        <v>860001022</v>
      </c>
      <c r="H495" s="947" t="s">
        <v>2865</v>
      </c>
      <c r="I495" s="942">
        <v>1317000</v>
      </c>
      <c r="J495" s="902" t="s">
        <v>2864</v>
      </c>
      <c r="K495" s="298">
        <v>2017</v>
      </c>
      <c r="L495" s="551">
        <v>42816</v>
      </c>
      <c r="M495" s="899">
        <v>42817</v>
      </c>
      <c r="N495" s="899">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4">
        <f t="shared" si="91"/>
        <v>43182</v>
      </c>
      <c r="U495" s="62">
        <f t="shared" si="92"/>
        <v>1317000</v>
      </c>
      <c r="V495" s="172">
        <f>VLOOKUP(E495,Modificaciones!$B$7:$AU$495,46,0)</f>
        <v>1317000</v>
      </c>
      <c r="W495" s="93">
        <f t="shared" si="90"/>
        <v>0</v>
      </c>
      <c r="X495" s="312" t="s">
        <v>2866</v>
      </c>
      <c r="Y495" s="881">
        <f t="shared" si="93"/>
        <v>1</v>
      </c>
      <c r="Z495" s="42">
        <f t="shared" ca="1" si="94"/>
        <v>0.8246575342465754</v>
      </c>
      <c r="AA495" s="43">
        <f t="shared" ca="1" si="95"/>
        <v>-0.1753424657534246</v>
      </c>
      <c r="AB495" s="202">
        <f t="shared" ca="1" si="96"/>
        <v>64</v>
      </c>
      <c r="AC495" s="44" t="str">
        <f t="shared" si="99"/>
        <v>SI</v>
      </c>
      <c r="AD495" s="438" t="s">
        <v>1713</v>
      </c>
      <c r="AE495" s="900" t="s">
        <v>1257</v>
      </c>
      <c r="AF495" s="900" t="s">
        <v>1126</v>
      </c>
      <c r="AG495" s="897"/>
      <c r="AH495" s="583" t="s">
        <v>564</v>
      </c>
      <c r="AI495" s="897"/>
      <c r="AJ495" s="308" t="s">
        <v>2850</v>
      </c>
      <c r="AK495" s="181" t="str">
        <f t="shared" ca="1" si="97"/>
        <v>EN EJECUCIÓN</v>
      </c>
      <c r="AL495" s="923" t="s">
        <v>582</v>
      </c>
      <c r="AM495" s="180" t="s">
        <v>390</v>
      </c>
      <c r="AN495" s="875" t="str">
        <f>IFERROR(VLOOKUP(E495,'liquidaciones '!$B$2:$C$1048576,2,0),"NO")</f>
        <v>NO</v>
      </c>
      <c r="AO495" s="983" t="str">
        <f>IFERROR(VLOOKUP(E495,'liquidaciones '!$B$2:$I$1048576,8,0),"")</f>
        <v/>
      </c>
      <c r="AP495" s="438"/>
      <c r="AQ495" s="438" t="s">
        <v>390</v>
      </c>
      <c r="AR495" s="177" t="s">
        <v>2982</v>
      </c>
      <c r="AS495" s="438"/>
      <c r="AT495" s="1018" t="s">
        <v>3753</v>
      </c>
    </row>
    <row r="496" spans="3:46" ht="45" x14ac:dyDescent="0.25">
      <c r="C496" s="926">
        <v>182</v>
      </c>
      <c r="D496" s="926"/>
      <c r="E496" s="927" t="s">
        <v>2873</v>
      </c>
      <c r="F496" s="928" t="s">
        <v>2867</v>
      </c>
      <c r="G496" s="937" t="s">
        <v>2868</v>
      </c>
      <c r="H496" s="947" t="s">
        <v>2869</v>
      </c>
      <c r="I496" s="942">
        <v>2585000</v>
      </c>
      <c r="J496" s="902" t="s">
        <v>2870</v>
      </c>
      <c r="K496" s="298">
        <v>2017</v>
      </c>
      <c r="L496" s="551">
        <v>42811</v>
      </c>
      <c r="M496" s="899">
        <v>42846</v>
      </c>
      <c r="N496" s="899">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4">
        <f t="shared" si="91"/>
        <v>43211</v>
      </c>
      <c r="U496" s="62">
        <f t="shared" si="92"/>
        <v>2585000</v>
      </c>
      <c r="V496" s="172">
        <f>VLOOKUP(E496,Modificaciones!$B$7:$AU$496,46,0)</f>
        <v>0</v>
      </c>
      <c r="W496" s="93">
        <f t="shared" si="90"/>
        <v>2585000</v>
      </c>
      <c r="X496" s="312" t="s">
        <v>1616</v>
      </c>
      <c r="Y496" s="881">
        <f t="shared" si="93"/>
        <v>0</v>
      </c>
      <c r="Z496" s="42">
        <f t="shared" ca="1" si="94"/>
        <v>0.74520547945205484</v>
      </c>
      <c r="AA496" s="43">
        <f t="shared" ca="1" si="95"/>
        <v>0.74520547945205484</v>
      </c>
      <c r="AB496" s="202">
        <f t="shared" ca="1" si="96"/>
        <v>93</v>
      </c>
      <c r="AC496" s="44" t="str">
        <f t="shared" si="99"/>
        <v>NO</v>
      </c>
      <c r="AD496" s="765" t="s">
        <v>1713</v>
      </c>
      <c r="AE496" s="173" t="s">
        <v>1257</v>
      </c>
      <c r="AF496" s="284" t="s">
        <v>1384</v>
      </c>
      <c r="AG496" s="173" t="s">
        <v>1443</v>
      </c>
      <c r="AH496" s="284" t="s">
        <v>560</v>
      </c>
      <c r="AI496" s="174" t="s">
        <v>1381</v>
      </c>
      <c r="AJ496" s="308" t="s">
        <v>3835</v>
      </c>
      <c r="AK496" s="181" t="str">
        <f t="shared" ca="1" si="97"/>
        <v>EN EJECUCIÓN</v>
      </c>
      <c r="AL496" s="181" t="s">
        <v>576</v>
      </c>
      <c r="AM496" s="176" t="s">
        <v>390</v>
      </c>
      <c r="AN496" s="875" t="str">
        <f>IFERROR(VLOOKUP(E496,'liquidaciones '!$B$2:$C$1048576,2,0),"NO")</f>
        <v>NO</v>
      </c>
      <c r="AO496" s="983" t="str">
        <f>IFERROR(VLOOKUP(E496,'liquidaciones '!$B$2:$I$1048576,8,0),"")</f>
        <v/>
      </c>
      <c r="AP496" s="438"/>
      <c r="AQ496" s="177" t="s">
        <v>390</v>
      </c>
      <c r="AR496" s="438" t="s">
        <v>1511</v>
      </c>
      <c r="AS496" s="438" t="s">
        <v>3814</v>
      </c>
      <c r="AT496" s="1018" t="s">
        <v>3836</v>
      </c>
    </row>
    <row r="497" spans="3:46" ht="45" x14ac:dyDescent="0.25">
      <c r="C497" s="896">
        <v>243</v>
      </c>
      <c r="D497" s="896"/>
      <c r="E497" s="897" t="s">
        <v>2871</v>
      </c>
      <c r="F497" s="446" t="s">
        <v>1537</v>
      </c>
      <c r="G497" s="938">
        <v>80100229</v>
      </c>
      <c r="H497" s="945" t="s">
        <v>3028</v>
      </c>
      <c r="I497" s="942">
        <v>70699200</v>
      </c>
      <c r="J497" s="902" t="s">
        <v>2871</v>
      </c>
      <c r="K497" s="298">
        <v>2017</v>
      </c>
      <c r="L497" s="551">
        <v>42818</v>
      </c>
      <c r="M497" s="899">
        <v>42821</v>
      </c>
      <c r="N497" s="899">
        <v>43186</v>
      </c>
      <c r="O497" s="127">
        <f>COUNTA(Modificaciones!I483,Modificaciones!K483,Modificaciones!M483,Modificaciones!O483)</f>
        <v>0</v>
      </c>
      <c r="P497" s="128">
        <f>VLOOKUP(E497,Modificaciones!$B$7:$Q$497,16,0)</f>
        <v>0</v>
      </c>
      <c r="Q497" s="129">
        <f>COUNTA(Modificaciones!S497,Modificaciones!U497,Modificaciones!W497,Modificaciones!Y497)</f>
        <v>0</v>
      </c>
      <c r="R497" s="130" t="str">
        <f>IF(Modificaciones!Z497=0,"",VLOOKUP(E497,Modificaciones!$B$7:$AA$500,25,0))</f>
        <v/>
      </c>
      <c r="S497" s="131" t="str">
        <f>IF(Modificaciones!AA497=0,"",VLOOKUP(E497,Modificaciones!$B$7:$AA$500,26,0))</f>
        <v/>
      </c>
      <c r="T497" s="884">
        <f t="shared" si="91"/>
        <v>43186</v>
      </c>
      <c r="U497" s="62">
        <f t="shared" si="92"/>
        <v>70699200</v>
      </c>
      <c r="V497" s="172">
        <f>VLOOKUP(E497,Modificaciones!$B$7:$AU$497,46,0)</f>
        <v>47918347</v>
      </c>
      <c r="W497" s="93">
        <f t="shared" si="90"/>
        <v>22780853</v>
      </c>
      <c r="X497" s="312" t="s">
        <v>1533</v>
      </c>
      <c r="Y497" s="881">
        <f t="shared" si="93"/>
        <v>0.67777778249258835</v>
      </c>
      <c r="Z497" s="42">
        <f t="shared" ca="1" si="94"/>
        <v>0.81369863013698629</v>
      </c>
      <c r="AA497" s="43">
        <f t="shared" ca="1" si="95"/>
        <v>0.13592084764439794</v>
      </c>
      <c r="AB497" s="202">
        <f t="shared" ca="1" si="96"/>
        <v>68</v>
      </c>
      <c r="AC497" s="44" t="str">
        <f t="shared" si="99"/>
        <v>NO</v>
      </c>
      <c r="AD497" s="765" t="s">
        <v>1714</v>
      </c>
      <c r="AE497" s="173" t="s">
        <v>1257</v>
      </c>
      <c r="AF497" s="284" t="s">
        <v>2195</v>
      </c>
      <c r="AG497" s="897"/>
      <c r="AH497" s="284" t="s">
        <v>559</v>
      </c>
      <c r="AI497" s="308" t="s">
        <v>2194</v>
      </c>
      <c r="AJ497" s="308" t="s">
        <v>3835</v>
      </c>
      <c r="AK497" s="181" t="str">
        <f t="shared" ca="1" si="97"/>
        <v>EN EJECUCIÓN</v>
      </c>
      <c r="AL497" s="313" t="s">
        <v>582</v>
      </c>
      <c r="AM497" s="438" t="s">
        <v>391</v>
      </c>
      <c r="AN497" s="875" t="str">
        <f>IFERROR(VLOOKUP(E497,'liquidaciones '!$B$2:$C$1048576,2,0),"NO")</f>
        <v>NO</v>
      </c>
      <c r="AO497" s="983" t="str">
        <f>IFERROR(VLOOKUP(E497,'liquidaciones '!$B$2:$I$1048576,8,0),"")</f>
        <v/>
      </c>
      <c r="AP497" s="438"/>
      <c r="AQ497" s="438" t="s">
        <v>390</v>
      </c>
      <c r="AR497" s="438" t="s">
        <v>1511</v>
      </c>
      <c r="AS497" s="438"/>
      <c r="AT497" s="1018" t="s">
        <v>3836</v>
      </c>
    </row>
    <row r="498" spans="3:46" ht="45" x14ac:dyDescent="0.25">
      <c r="C498" s="896">
        <v>195</v>
      </c>
      <c r="D498" s="896"/>
      <c r="E498" s="897" t="s">
        <v>2872</v>
      </c>
      <c r="F498" s="446" t="s">
        <v>2531</v>
      </c>
      <c r="G498" s="938">
        <v>4831</v>
      </c>
      <c r="H498" s="945" t="s">
        <v>3048</v>
      </c>
      <c r="I498" s="942">
        <v>34535000</v>
      </c>
      <c r="J498" s="902" t="s">
        <v>2874</v>
      </c>
      <c r="K498" s="298">
        <v>2017</v>
      </c>
      <c r="L498" s="551">
        <v>42811</v>
      </c>
      <c r="M498" s="899">
        <v>42831</v>
      </c>
      <c r="N498" s="899">
        <v>43196</v>
      </c>
      <c r="O498" s="127">
        <f>COUNTA(Modificaciones!I484,Modificaciones!K484,Modificaciones!M484,Modificaciones!O484)</f>
        <v>1</v>
      </c>
      <c r="P498" s="128">
        <f>VLOOKUP(E498,Modificaciones!$B$7:$Q$498,16,0)</f>
        <v>0</v>
      </c>
      <c r="Q498" s="129">
        <f>COUNTA(Modificaciones!S498,Modificaciones!U498,Modificaciones!W498,Modificaciones!Y498)</f>
        <v>0</v>
      </c>
      <c r="R498" s="130" t="str">
        <f>IF(Modificaciones!Z498=0,"",VLOOKUP(E498,Modificaciones!$B$7:$AA$500,25,0))</f>
        <v/>
      </c>
      <c r="S498" s="131" t="str">
        <f>IF(Modificaciones!AA498=0,"",VLOOKUP(E498,Modificaciones!$B$7:$AA$500,26,0))</f>
        <v/>
      </c>
      <c r="T498" s="884">
        <f t="shared" si="91"/>
        <v>43196</v>
      </c>
      <c r="U498" s="62">
        <f t="shared" si="92"/>
        <v>34535000</v>
      </c>
      <c r="V498" s="172">
        <f>VLOOKUP(E498,Modificaciones!$B$7:$AU$498,46,0)</f>
        <v>14914583</v>
      </c>
      <c r="W498" s="93">
        <f t="shared" si="90"/>
        <v>19620417</v>
      </c>
      <c r="X498" s="312" t="s">
        <v>1644</v>
      </c>
      <c r="Y498" s="881">
        <f t="shared" si="93"/>
        <v>0.43186862603156217</v>
      </c>
      <c r="Z498" s="42">
        <f t="shared" ca="1" si="94"/>
        <v>0.78630136986301369</v>
      </c>
      <c r="AA498" s="43">
        <f t="shared" ca="1" si="95"/>
        <v>0.35443274383145151</v>
      </c>
      <c r="AB498" s="202">
        <f t="shared" ca="1" si="96"/>
        <v>78</v>
      </c>
      <c r="AC498" s="44" t="str">
        <f t="shared" ref="AC498:AC529" si="100">IF(Y498&lt;=99.9%,"NO","SI")</f>
        <v>NO</v>
      </c>
      <c r="AD498" s="765" t="s">
        <v>1713</v>
      </c>
      <c r="AE498" s="173" t="s">
        <v>1257</v>
      </c>
      <c r="AF498" s="173" t="s">
        <v>1127</v>
      </c>
      <c r="AG498" s="173" t="s">
        <v>1443</v>
      </c>
      <c r="AH498" s="284" t="s">
        <v>560</v>
      </c>
      <c r="AI498" s="174" t="s">
        <v>1320</v>
      </c>
      <c r="AJ498" s="308" t="s">
        <v>2850</v>
      </c>
      <c r="AK498" s="181" t="str">
        <f t="shared" ca="1" si="97"/>
        <v>EN EJECUCIÓN</v>
      </c>
      <c r="AL498" s="181" t="s">
        <v>576</v>
      </c>
      <c r="AM498" s="176" t="s">
        <v>390</v>
      </c>
      <c r="AN498" s="875" t="str">
        <f>IFERROR(VLOOKUP(E498,'liquidaciones '!$B$2:$C$1048576,2,0),"NO")</f>
        <v>NO</v>
      </c>
      <c r="AO498" s="983" t="str">
        <f>IFERROR(VLOOKUP(E498,'liquidaciones '!$B$2:$I$1048576,8,0),"")</f>
        <v/>
      </c>
      <c r="AP498" s="438"/>
      <c r="AQ498" s="177" t="s">
        <v>390</v>
      </c>
      <c r="AR498" s="177" t="s">
        <v>1511</v>
      </c>
      <c r="AS498" s="438" t="s">
        <v>3820</v>
      </c>
      <c r="AT498" s="1018" t="s">
        <v>3754</v>
      </c>
    </row>
    <row r="499" spans="3:46" ht="45" x14ac:dyDescent="0.25">
      <c r="C499" s="896">
        <v>189</v>
      </c>
      <c r="D499" s="896"/>
      <c r="E499" s="897" t="s">
        <v>2875</v>
      </c>
      <c r="F499" s="446" t="s">
        <v>2876</v>
      </c>
      <c r="G499" s="937">
        <v>860067479</v>
      </c>
      <c r="H499" s="947" t="s">
        <v>3065</v>
      </c>
      <c r="I499" s="942">
        <v>270913000</v>
      </c>
      <c r="J499" s="902" t="s">
        <v>2880</v>
      </c>
      <c r="K499" s="298">
        <v>2017</v>
      </c>
      <c r="L499" s="551">
        <v>42825</v>
      </c>
      <c r="M499" s="899">
        <v>42829</v>
      </c>
      <c r="N499" s="899">
        <v>43073</v>
      </c>
      <c r="O499" s="127">
        <f>COUNTA(Modificaciones!I485,Modificaciones!K485,Modificaciones!M485,Modificaciones!O485)</f>
        <v>1</v>
      </c>
      <c r="P499" s="128">
        <f>VLOOKUP(E499,Modificaciones!$B$7:$Q$499,16,0)</f>
        <v>17000000</v>
      </c>
      <c r="Q499" s="129">
        <f>COUNTA(Modificaciones!S499,Modificaciones!U499,Modificaciones!W499,Modificaciones!Y499)</f>
        <v>1</v>
      </c>
      <c r="R499" s="130" t="str">
        <f>IF(Modificaciones!Z499=0,"",VLOOKUP(E499,Modificaciones!$B$7:$AA$500,25,0))</f>
        <v>57 días calendario</v>
      </c>
      <c r="S499" s="131">
        <f>IF(Modificaciones!AA499=0,"",VLOOKUP(E499,Modificaciones!$B$7:$AA$500,26,0))</f>
        <v>43131</v>
      </c>
      <c r="T499" s="884">
        <f t="shared" si="91"/>
        <v>43131</v>
      </c>
      <c r="U499" s="62">
        <f t="shared" si="92"/>
        <v>287913000</v>
      </c>
      <c r="V499" s="172">
        <f>VLOOKUP(E499,Modificaciones!$B$7:$AU$499,46,0)</f>
        <v>158788400</v>
      </c>
      <c r="W499" s="93">
        <f t="shared" si="90"/>
        <v>129124600</v>
      </c>
      <c r="X499" s="312" t="s">
        <v>2773</v>
      </c>
      <c r="Y499" s="881">
        <f t="shared" si="93"/>
        <v>0.55151521466554132</v>
      </c>
      <c r="Z499" s="42">
        <f t="shared" ca="1" si="94"/>
        <v>0.95695364238410596</v>
      </c>
      <c r="AA499" s="43">
        <f t="shared" ca="1" si="95"/>
        <v>0.40543842771856464</v>
      </c>
      <c r="AB499" s="202">
        <f t="shared" ca="1" si="96"/>
        <v>13</v>
      </c>
      <c r="AC499" s="44" t="str">
        <f t="shared" si="100"/>
        <v>NO</v>
      </c>
      <c r="AD499" s="765" t="s">
        <v>1713</v>
      </c>
      <c r="AE499" s="173" t="s">
        <v>1257</v>
      </c>
      <c r="AF499" s="284" t="s">
        <v>1139</v>
      </c>
      <c r="AG499" s="173" t="s">
        <v>1443</v>
      </c>
      <c r="AH499" s="284" t="s">
        <v>560</v>
      </c>
      <c r="AI499" s="174" t="s">
        <v>1380</v>
      </c>
      <c r="AJ499" s="308" t="s">
        <v>3835</v>
      </c>
      <c r="AK499" s="181" t="str">
        <f t="shared" ca="1" si="97"/>
        <v>EN EJECUCIÓN</v>
      </c>
      <c r="AL499" s="181" t="s">
        <v>576</v>
      </c>
      <c r="AM499" s="438" t="s">
        <v>390</v>
      </c>
      <c r="AN499" s="875" t="str">
        <f>IFERROR(VLOOKUP(E499,'liquidaciones '!$B$2:$C$1048576,2,0),"NO")</f>
        <v>NO</v>
      </c>
      <c r="AO499" s="983" t="str">
        <f>IFERROR(VLOOKUP(E499,'liquidaciones '!$B$2:$I$1048576,8,0),"")</f>
        <v/>
      </c>
      <c r="AP499" s="438"/>
      <c r="AQ499" s="438" t="s">
        <v>390</v>
      </c>
      <c r="AR499" s="438" t="s">
        <v>1511</v>
      </c>
      <c r="AS499" s="438"/>
      <c r="AT499" s="1018" t="s">
        <v>3836</v>
      </c>
    </row>
    <row r="500" spans="3:46" ht="56.25" x14ac:dyDescent="0.25">
      <c r="C500" s="896">
        <v>194</v>
      </c>
      <c r="D500" s="896"/>
      <c r="E500" s="897" t="s">
        <v>2877</v>
      </c>
      <c r="F500" s="446" t="s">
        <v>2881</v>
      </c>
      <c r="G500" s="937" t="s">
        <v>2878</v>
      </c>
      <c r="H500" s="947" t="s">
        <v>2879</v>
      </c>
      <c r="I500" s="942">
        <v>3725711</v>
      </c>
      <c r="J500" s="902" t="s">
        <v>2882</v>
      </c>
      <c r="K500" s="298">
        <v>2017</v>
      </c>
      <c r="L500" s="551">
        <v>42823</v>
      </c>
      <c r="M500" s="899">
        <v>42831</v>
      </c>
      <c r="N500" s="899">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4">
        <f t="shared" si="91"/>
        <v>43196</v>
      </c>
      <c r="U500" s="62">
        <f t="shared" si="92"/>
        <v>3725711</v>
      </c>
      <c r="V500" s="172">
        <f>VLOOKUP(E500,Modificaciones!$B$7:$AU$500,46,0)</f>
        <v>285600</v>
      </c>
      <c r="W500" s="93">
        <f t="shared" si="90"/>
        <v>3440111</v>
      </c>
      <c r="X500" s="447" t="s">
        <v>2582</v>
      </c>
      <c r="Y500" s="881">
        <f t="shared" si="93"/>
        <v>7.6656509321308061E-2</v>
      </c>
      <c r="Z500" s="42">
        <f t="shared" ca="1" si="94"/>
        <v>0.78630136986301369</v>
      </c>
      <c r="AA500" s="43">
        <f t="shared" ca="1" si="95"/>
        <v>0.70964486054170561</v>
      </c>
      <c r="AB500" s="202">
        <f t="shared" ca="1" si="96"/>
        <v>78</v>
      </c>
      <c r="AC500" s="44" t="str">
        <f t="shared" si="100"/>
        <v>NO</v>
      </c>
      <c r="AD500" s="765" t="s">
        <v>1713</v>
      </c>
      <c r="AE500" s="173" t="s">
        <v>1257</v>
      </c>
      <c r="AF500" s="284" t="s">
        <v>1169</v>
      </c>
      <c r="AG500" s="173" t="s">
        <v>1443</v>
      </c>
      <c r="AH500" s="284" t="s">
        <v>560</v>
      </c>
      <c r="AI500" s="174" t="s">
        <v>1388</v>
      </c>
      <c r="AJ500" s="308" t="s">
        <v>2850</v>
      </c>
      <c r="AK500" s="181" t="str">
        <f t="shared" ca="1" si="97"/>
        <v>EN EJECUCIÓN</v>
      </c>
      <c r="AL500" s="181" t="s">
        <v>576</v>
      </c>
      <c r="AM500" s="438" t="s">
        <v>390</v>
      </c>
      <c r="AN500" s="875" t="str">
        <f>IFERROR(VLOOKUP(E500,'liquidaciones '!$B$2:$C$1048576,2,0),"NO")</f>
        <v>NO</v>
      </c>
      <c r="AO500" s="983" t="str">
        <f>IFERROR(VLOOKUP(E500,'liquidaciones '!$B$2:$I$1048576,8,0),"")</f>
        <v/>
      </c>
      <c r="AP500" s="438"/>
      <c r="AQ500" s="438" t="s">
        <v>390</v>
      </c>
      <c r="AR500" s="177" t="s">
        <v>1511</v>
      </c>
      <c r="AS500" s="438" t="s">
        <v>3814</v>
      </c>
      <c r="AT500" s="1018" t="s">
        <v>3754</v>
      </c>
    </row>
    <row r="501" spans="3:46" ht="120.75" customHeight="1" x14ac:dyDescent="0.25">
      <c r="C501" s="896">
        <v>198</v>
      </c>
      <c r="D501" s="896"/>
      <c r="E501" s="897" t="s">
        <v>2883</v>
      </c>
      <c r="F501" s="446" t="s">
        <v>1017</v>
      </c>
      <c r="G501" s="934" t="s">
        <v>2884</v>
      </c>
      <c r="H501" s="947" t="s">
        <v>2885</v>
      </c>
      <c r="I501" s="942">
        <v>10473600</v>
      </c>
      <c r="J501" s="902" t="s">
        <v>2886</v>
      </c>
      <c r="K501" s="298">
        <v>2017</v>
      </c>
      <c r="L501" s="551">
        <v>42823</v>
      </c>
      <c r="M501" s="899">
        <v>42857</v>
      </c>
      <c r="N501" s="899">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4">
        <f t="shared" si="91"/>
        <v>43161</v>
      </c>
      <c r="U501" s="62">
        <f t="shared" si="92"/>
        <v>10473600</v>
      </c>
      <c r="V501" s="172">
        <f>VLOOKUP(E501,Modificaciones!$B$7:$AU$501,46,0)</f>
        <v>8164448</v>
      </c>
      <c r="W501" s="93">
        <f t="shared" si="90"/>
        <v>2309152</v>
      </c>
      <c r="X501" s="318" t="s">
        <v>1233</v>
      </c>
      <c r="Y501" s="881">
        <f t="shared" si="93"/>
        <v>0.77952642835319275</v>
      </c>
      <c r="Z501" s="42">
        <f t="shared" ca="1" si="94"/>
        <v>0.85855263157894735</v>
      </c>
      <c r="AA501" s="43">
        <f t="shared" ca="1" si="95"/>
        <v>7.9026203225754599E-2</v>
      </c>
      <c r="AB501" s="202">
        <f t="shared" ca="1" si="96"/>
        <v>43</v>
      </c>
      <c r="AC501" s="44" t="str">
        <f t="shared" si="100"/>
        <v>NO</v>
      </c>
      <c r="AD501" s="765" t="s">
        <v>2520</v>
      </c>
      <c r="AE501" s="173" t="s">
        <v>1257</v>
      </c>
      <c r="AF501" s="304" t="s">
        <v>1145</v>
      </c>
      <c r="AG501" s="173" t="s">
        <v>1443</v>
      </c>
      <c r="AH501" s="284" t="s">
        <v>560</v>
      </c>
      <c r="AI501" s="174" t="s">
        <v>1381</v>
      </c>
      <c r="AJ501" s="308" t="s">
        <v>3835</v>
      </c>
      <c r="AK501" s="181" t="str">
        <f t="shared" ca="1" si="97"/>
        <v>EN EJECUCIÓN</v>
      </c>
      <c r="AL501" s="313" t="s">
        <v>576</v>
      </c>
      <c r="AM501" s="438" t="s">
        <v>390</v>
      </c>
      <c r="AN501" s="875" t="str">
        <f>IFERROR(VLOOKUP(E501,'liquidaciones '!$B$2:$C$1048576,2,0),"NO")</f>
        <v>NO</v>
      </c>
      <c r="AO501" s="983" t="str">
        <f>IFERROR(VLOOKUP(E501,'liquidaciones '!$B$2:$I$1048576,8,0),"")</f>
        <v/>
      </c>
      <c r="AP501" s="438"/>
      <c r="AQ501" s="438" t="s">
        <v>390</v>
      </c>
      <c r="AR501" s="438" t="s">
        <v>2982</v>
      </c>
      <c r="AS501" s="438" t="s">
        <v>3814</v>
      </c>
      <c r="AT501" s="1018" t="s">
        <v>3836</v>
      </c>
    </row>
    <row r="502" spans="3:46" ht="22.5" x14ac:dyDescent="0.25">
      <c r="C502" s="926">
        <v>169</v>
      </c>
      <c r="D502" s="926"/>
      <c r="E502" s="927" t="s">
        <v>2887</v>
      </c>
      <c r="F502" s="583" t="s">
        <v>2428</v>
      </c>
      <c r="G502" s="934">
        <v>800249557</v>
      </c>
      <c r="H502" s="947" t="s">
        <v>2888</v>
      </c>
      <c r="I502" s="942">
        <v>4300000</v>
      </c>
      <c r="J502" s="902" t="s">
        <v>2887</v>
      </c>
      <c r="K502" s="298">
        <v>2017</v>
      </c>
      <c r="L502" s="551">
        <v>42837</v>
      </c>
      <c r="M502" s="899">
        <v>42849</v>
      </c>
      <c r="N502" s="899">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4">
        <f t="shared" si="91"/>
        <v>43002</v>
      </c>
      <c r="U502" s="62">
        <f t="shared" si="92"/>
        <v>4300000</v>
      </c>
      <c r="V502" s="172">
        <f>VLOOKUP(E502,Modificaciones!$B$7:$AU$502,46,0)</f>
        <v>4300000</v>
      </c>
      <c r="W502" s="93">
        <f t="shared" si="90"/>
        <v>0</v>
      </c>
      <c r="X502" s="312" t="s">
        <v>2736</v>
      </c>
      <c r="Y502" s="881">
        <f t="shared" si="93"/>
        <v>1</v>
      </c>
      <c r="Z502" s="42">
        <f t="shared" ca="1" si="94"/>
        <v>1</v>
      </c>
      <c r="AA502" s="43">
        <f t="shared" ca="1" si="95"/>
        <v>0</v>
      </c>
      <c r="AB502" s="202" t="str">
        <f t="shared" ca="1" si="96"/>
        <v/>
      </c>
      <c r="AC502" s="44" t="str">
        <f t="shared" si="100"/>
        <v>SI</v>
      </c>
      <c r="AD502" s="897"/>
      <c r="AE502" s="173" t="s">
        <v>1257</v>
      </c>
      <c r="AF502" s="284" t="s">
        <v>1292</v>
      </c>
      <c r="AG502" s="173"/>
      <c r="AH502" s="284" t="s">
        <v>564</v>
      </c>
      <c r="AI502" s="308"/>
      <c r="AJ502" s="308" t="s">
        <v>2850</v>
      </c>
      <c r="AK502" s="181" t="str">
        <f t="shared" ca="1" si="97"/>
        <v>TERMINO</v>
      </c>
      <c r="AL502" s="313" t="s">
        <v>582</v>
      </c>
      <c r="AM502" s="438" t="s">
        <v>391</v>
      </c>
      <c r="AN502" s="875" t="str">
        <f>IFERROR(VLOOKUP(E502,'liquidaciones '!$B$2:$C$1048576,2,0),"NO")</f>
        <v>NO</v>
      </c>
      <c r="AO502" s="983" t="str">
        <f>IFERROR(VLOOKUP(E502,'liquidaciones '!$B$2:$I$1048576,8,0),"")</f>
        <v/>
      </c>
      <c r="AP502" s="438"/>
      <c r="AQ502" s="438" t="s">
        <v>390</v>
      </c>
      <c r="AR502" s="177" t="s">
        <v>2982</v>
      </c>
      <c r="AS502" s="438"/>
      <c r="AT502" s="1018"/>
    </row>
    <row r="503" spans="3:46" ht="33.75" x14ac:dyDescent="0.25">
      <c r="C503" s="896">
        <v>152</v>
      </c>
      <c r="D503" s="896"/>
      <c r="E503" s="897" t="s">
        <v>2892</v>
      </c>
      <c r="F503" s="446" t="s">
        <v>2893</v>
      </c>
      <c r="G503" s="937">
        <v>86058835</v>
      </c>
      <c r="H503" s="947" t="s">
        <v>2894</v>
      </c>
      <c r="I503" s="942">
        <v>54000000</v>
      </c>
      <c r="J503" s="902" t="s">
        <v>2892</v>
      </c>
      <c r="K503" s="298">
        <v>2017</v>
      </c>
      <c r="L503" s="551">
        <v>42846</v>
      </c>
      <c r="M503" s="899">
        <v>42849</v>
      </c>
      <c r="N503" s="899">
        <v>43155</v>
      </c>
      <c r="O503" s="127">
        <f>COUNTA(Modificaciones!I489,Modificaciones!K489,Modificaciones!M489,Modificaciones!O489)</f>
        <v>0</v>
      </c>
      <c r="P503" s="128">
        <f>VLOOKUP(E503,Modificaciones!$B$7:$Q$504,16,0)</f>
        <v>0</v>
      </c>
      <c r="Q503" s="129">
        <f>COUNTA(Modificaciones!S503,Modificaciones!U503,Modificaciones!W503,Modificaciones!Y503)</f>
        <v>0</v>
      </c>
      <c r="R503" s="130" t="str">
        <f>IF(Modificaciones!Z503=0,"",VLOOKUP(E503,Modificaciones!$B$7:$AA$500,25,0))</f>
        <v/>
      </c>
      <c r="S503" s="131" t="str">
        <f>IF(Modificaciones!AA503=0,"",VLOOKUP(E503,Modificaciones!$B$7:$AA$500,26,0))</f>
        <v/>
      </c>
      <c r="T503" s="884">
        <f t="shared" si="91"/>
        <v>43155</v>
      </c>
      <c r="U503" s="62">
        <f t="shared" si="92"/>
        <v>54000000</v>
      </c>
      <c r="V503" s="172">
        <f>VLOOKUP(E503,Modificaciones!$B$7:$AU$503,46,0)</f>
        <v>44460000</v>
      </c>
      <c r="W503" s="93">
        <f t="shared" si="90"/>
        <v>9540000</v>
      </c>
      <c r="X503" s="312" t="s">
        <v>1095</v>
      </c>
      <c r="Y503" s="881">
        <f t="shared" si="93"/>
        <v>0.82333333333333336</v>
      </c>
      <c r="Z503" s="42">
        <f t="shared" ca="1" si="94"/>
        <v>0.87908496732026142</v>
      </c>
      <c r="AA503" s="43">
        <f t="shared" ca="1" si="95"/>
        <v>5.5751633986928062E-2</v>
      </c>
      <c r="AB503" s="202">
        <f t="shared" ca="1" si="96"/>
        <v>37</v>
      </c>
      <c r="AC503" s="44" t="str">
        <f t="shared" si="100"/>
        <v>NO</v>
      </c>
      <c r="AD503" s="765" t="s">
        <v>1714</v>
      </c>
      <c r="AE503" s="173" t="s">
        <v>1257</v>
      </c>
      <c r="AF503" s="284" t="s">
        <v>2176</v>
      </c>
      <c r="AG503" s="173"/>
      <c r="AH503" s="284" t="s">
        <v>559</v>
      </c>
      <c r="AI503" s="308"/>
      <c r="AJ503" s="308" t="s">
        <v>2850</v>
      </c>
      <c r="AK503" s="181" t="str">
        <f t="shared" ca="1" si="97"/>
        <v>EN EJECUCIÓN</v>
      </c>
      <c r="AL503" s="313" t="s">
        <v>582</v>
      </c>
      <c r="AM503" s="438" t="s">
        <v>391</v>
      </c>
      <c r="AN503" s="875" t="str">
        <f>IFERROR(VLOOKUP(E503,'liquidaciones '!$B$2:$C$1048576,2,0),"NO")</f>
        <v>NO</v>
      </c>
      <c r="AO503" s="983" t="str">
        <f>IFERROR(VLOOKUP(E503,'liquidaciones '!$B$2:$I$1048576,8,0),"")</f>
        <v/>
      </c>
      <c r="AP503" s="438"/>
      <c r="AQ503" s="438" t="s">
        <v>390</v>
      </c>
      <c r="AR503" s="438" t="s">
        <v>1511</v>
      </c>
      <c r="AS503" s="438"/>
      <c r="AT503" s="1018" t="s">
        <v>3754</v>
      </c>
    </row>
    <row r="504" spans="3:46" ht="33.75" x14ac:dyDescent="0.25">
      <c r="C504" s="896">
        <v>158</v>
      </c>
      <c r="D504" s="896"/>
      <c r="E504" s="897" t="s">
        <v>2895</v>
      </c>
      <c r="F504" s="446" t="s">
        <v>2047</v>
      </c>
      <c r="G504" s="937">
        <v>35493364</v>
      </c>
      <c r="H504" s="947" t="s">
        <v>2896</v>
      </c>
      <c r="I504" s="942">
        <v>51300000</v>
      </c>
      <c r="J504" s="902" t="s">
        <v>2895</v>
      </c>
      <c r="K504" s="298">
        <v>2017</v>
      </c>
      <c r="L504" s="551">
        <v>42849</v>
      </c>
      <c r="M504" s="899">
        <v>42850</v>
      </c>
      <c r="N504" s="899">
        <v>43125</v>
      </c>
      <c r="O504" s="127">
        <f>COUNTA(Modificaciones!I490,Modificaciones!K490,Modificaciones!M490,Modificaciones!O490)</f>
        <v>0</v>
      </c>
      <c r="P504" s="128">
        <f>VLOOKUP(E504,Modificaciones!$B$7:$Q$504,16,0)</f>
        <v>0</v>
      </c>
      <c r="Q504" s="129">
        <f>COUNTA(Modificaciones!S504,Modificaciones!U504,Modificaciones!W504,Modificaciones!Y504)</f>
        <v>0</v>
      </c>
      <c r="R504" s="130" t="str">
        <f>IF(Modificaciones!Z504=0,"",VLOOKUP(E504,Modificaciones!$B$7:$AA$500,25,0))</f>
        <v/>
      </c>
      <c r="S504" s="131" t="str">
        <f>IF(Modificaciones!AA504=0,"",VLOOKUP(E504,Modificaciones!$B$7:$AA$500,26,0))</f>
        <v/>
      </c>
      <c r="T504" s="884">
        <f t="shared" si="91"/>
        <v>43125</v>
      </c>
      <c r="U504" s="62">
        <f t="shared" si="92"/>
        <v>51300000</v>
      </c>
      <c r="V504" s="172">
        <f>VLOOKUP(E504,Modificaciones!$B$7:$AU$504,46,0)</f>
        <v>41040000</v>
      </c>
      <c r="W504" s="93">
        <f t="shared" si="90"/>
        <v>10260000</v>
      </c>
      <c r="X504" s="312" t="s">
        <v>2535</v>
      </c>
      <c r="Y504" s="881">
        <f t="shared" si="93"/>
        <v>0.8</v>
      </c>
      <c r="Z504" s="42">
        <f t="shared" ca="1" si="94"/>
        <v>0.97454545454545449</v>
      </c>
      <c r="AA504" s="43">
        <f t="shared" ca="1" si="95"/>
        <v>0.17454545454545445</v>
      </c>
      <c r="AB504" s="202">
        <f t="shared" ca="1" si="96"/>
        <v>7</v>
      </c>
      <c r="AC504" s="44" t="str">
        <f t="shared" si="100"/>
        <v>NO</v>
      </c>
      <c r="AD504" s="765" t="s">
        <v>1714</v>
      </c>
      <c r="AE504" s="173" t="s">
        <v>1257</v>
      </c>
      <c r="AF504" s="173" t="s">
        <v>2534</v>
      </c>
      <c r="AG504" s="173"/>
      <c r="AH504" s="284" t="s">
        <v>560</v>
      </c>
      <c r="AI504" s="897"/>
      <c r="AJ504" s="308" t="s">
        <v>2850</v>
      </c>
      <c r="AK504" s="181" t="str">
        <f t="shared" ca="1" si="97"/>
        <v>EN EJECUCIÓN</v>
      </c>
      <c r="AL504" s="181" t="s">
        <v>576</v>
      </c>
      <c r="AM504" s="176" t="s">
        <v>391</v>
      </c>
      <c r="AN504" s="875" t="str">
        <f>IFERROR(VLOOKUP(E504,'liquidaciones '!$B$2:$C$1048576,2,0),"NO")</f>
        <v>NO</v>
      </c>
      <c r="AO504" s="983" t="str">
        <f>IFERROR(VLOOKUP(E504,'liquidaciones '!$B$2:$I$1048576,8,0),"")</f>
        <v/>
      </c>
      <c r="AP504" s="438"/>
      <c r="AQ504" s="177" t="s">
        <v>390</v>
      </c>
      <c r="AR504" s="438" t="s">
        <v>3074</v>
      </c>
      <c r="AS504" s="438"/>
      <c r="AT504" s="1018"/>
    </row>
    <row r="505" spans="3:46" ht="49.5" customHeight="1" x14ac:dyDescent="0.25">
      <c r="C505" s="896"/>
      <c r="D505" s="896"/>
      <c r="E505" s="897" t="s">
        <v>2897</v>
      </c>
      <c r="F505" s="446" t="s">
        <v>2367</v>
      </c>
      <c r="G505" s="937">
        <v>800103052</v>
      </c>
      <c r="H505" s="947" t="s">
        <v>2926</v>
      </c>
      <c r="I505" s="942">
        <v>208669579</v>
      </c>
      <c r="J505" s="902" t="s">
        <v>2927</v>
      </c>
      <c r="K505" s="298">
        <v>2017</v>
      </c>
      <c r="L505" s="551">
        <v>42794</v>
      </c>
      <c r="M505" s="899">
        <v>42857</v>
      </c>
      <c r="N505" s="899">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4">
        <f t="shared" si="91"/>
        <v>43100</v>
      </c>
      <c r="U505" s="62">
        <f t="shared" si="92"/>
        <v>208669579</v>
      </c>
      <c r="V505" s="172">
        <f>VLOOKUP(E505,Modificaciones!$B$7:$AU$505,46,0)</f>
        <v>208669579</v>
      </c>
      <c r="W505" s="93">
        <f t="shared" si="90"/>
        <v>0</v>
      </c>
      <c r="X505" s="312"/>
      <c r="Y505" s="881">
        <f t="shared" si="93"/>
        <v>1</v>
      </c>
      <c r="Z505" s="42">
        <f t="shared" ca="1" si="94"/>
        <v>1</v>
      </c>
      <c r="AA505" s="43">
        <f t="shared" ca="1" si="95"/>
        <v>0</v>
      </c>
      <c r="AB505" s="202" t="str">
        <f t="shared" ca="1" si="96"/>
        <v/>
      </c>
      <c r="AC505" s="44" t="str">
        <f t="shared" si="100"/>
        <v>SI</v>
      </c>
      <c r="AD505" s="765" t="s">
        <v>1713</v>
      </c>
      <c r="AE505" s="173" t="s">
        <v>1258</v>
      </c>
      <c r="AF505" s="284" t="s">
        <v>2267</v>
      </c>
      <c r="AG505" s="173" t="s">
        <v>1440</v>
      </c>
      <c r="AH505" s="284" t="s">
        <v>560</v>
      </c>
      <c r="AI505" s="308" t="s">
        <v>1510</v>
      </c>
      <c r="AJ505" s="308" t="s">
        <v>3835</v>
      </c>
      <c r="AK505" s="181" t="str">
        <f t="shared" ca="1" si="97"/>
        <v>TERMINO</v>
      </c>
      <c r="AL505" s="446" t="s">
        <v>2928</v>
      </c>
      <c r="AM505" s="438"/>
      <c r="AN505" s="875" t="str">
        <f>IFERROR(VLOOKUP(E505,'liquidaciones '!$B$2:$C$1048576,2,0),"NO")</f>
        <v>NO</v>
      </c>
      <c r="AO505" s="983" t="str">
        <f>IFERROR(VLOOKUP(E505,'liquidaciones '!$B$2:$I$1048576,8,0),"")</f>
        <v/>
      </c>
      <c r="AP505" s="438"/>
      <c r="AQ505" s="177" t="s">
        <v>390</v>
      </c>
      <c r="AR505" s="177" t="s">
        <v>2924</v>
      </c>
      <c r="AS505" s="438"/>
      <c r="AT505" s="1018" t="s">
        <v>3836</v>
      </c>
    </row>
    <row r="506" spans="3:46" ht="45" x14ac:dyDescent="0.25">
      <c r="C506" s="896">
        <v>141</v>
      </c>
      <c r="D506" s="896"/>
      <c r="E506" s="897" t="s">
        <v>2898</v>
      </c>
      <c r="F506" s="446" t="s">
        <v>2899</v>
      </c>
      <c r="G506" s="937">
        <v>41782234</v>
      </c>
      <c r="H506" s="947" t="s">
        <v>2900</v>
      </c>
      <c r="I506" s="942">
        <v>57000000</v>
      </c>
      <c r="J506" s="902" t="s">
        <v>2898</v>
      </c>
      <c r="K506" s="298">
        <v>2017</v>
      </c>
      <c r="L506" s="551">
        <v>42844</v>
      </c>
      <c r="M506" s="899">
        <v>42846</v>
      </c>
      <c r="N506" s="899">
        <v>43152</v>
      </c>
      <c r="O506" s="127">
        <f>COUNTA(Modificaciones!I492,Modificaciones!K492,Modificaciones!M492,Modificaciones!O492)</f>
        <v>0</v>
      </c>
      <c r="P506" s="128">
        <f>VLOOKUP(E506,Modificaciones!$B$7:$Q$506,16,0)</f>
        <v>0</v>
      </c>
      <c r="Q506" s="129">
        <f>COUNTA(Modificaciones!S506,Modificaciones!U506,Modificaciones!W506,Modificaciones!Y506)</f>
        <v>0</v>
      </c>
      <c r="R506" s="130" t="str">
        <f>IF(Modificaciones!Z506=0,"",VLOOKUP(E506,Modificaciones!$B$7:$AA$500,25,0))</f>
        <v/>
      </c>
      <c r="S506" s="131" t="str">
        <f>IF(Modificaciones!AA506=0,"",VLOOKUP(E506,Modificaciones!$B$7:$AA$500,26,0))</f>
        <v/>
      </c>
      <c r="T506" s="884">
        <f t="shared" si="91"/>
        <v>43152</v>
      </c>
      <c r="U506" s="62">
        <f t="shared" si="92"/>
        <v>57000000</v>
      </c>
      <c r="V506" s="172">
        <f>VLOOKUP(E506,Modificaciones!$B$7:$AU$506,46,0)</f>
        <v>47500000</v>
      </c>
      <c r="W506" s="93">
        <f t="shared" ref="W506:W569" si="101">U506-V506</f>
        <v>9500000</v>
      </c>
      <c r="X506" s="312" t="s">
        <v>1095</v>
      </c>
      <c r="Y506" s="881">
        <f t="shared" si="93"/>
        <v>0.83333333333333337</v>
      </c>
      <c r="Z506" s="42">
        <f t="shared" ca="1" si="94"/>
        <v>0.88888888888888884</v>
      </c>
      <c r="AA506" s="43">
        <f t="shared" ca="1" si="95"/>
        <v>5.5555555555555469E-2</v>
      </c>
      <c r="AB506" s="202">
        <f t="shared" ca="1" si="96"/>
        <v>34</v>
      </c>
      <c r="AC506" s="44" t="str">
        <f t="shared" si="100"/>
        <v>NO</v>
      </c>
      <c r="AD506" s="765" t="s">
        <v>2469</v>
      </c>
      <c r="AE506" s="173" t="s">
        <v>1257</v>
      </c>
      <c r="AF506" s="284" t="s">
        <v>2470</v>
      </c>
      <c r="AG506" s="173" t="s">
        <v>1438</v>
      </c>
      <c r="AH506" s="284" t="s">
        <v>561</v>
      </c>
      <c r="AI506" s="308"/>
      <c r="AJ506" s="308" t="s">
        <v>3837</v>
      </c>
      <c r="AK506" s="181" t="str">
        <f t="shared" ca="1" si="97"/>
        <v>EN EJECUCIÓN</v>
      </c>
      <c r="AL506" s="181" t="s">
        <v>582</v>
      </c>
      <c r="AM506" s="176" t="s">
        <v>391</v>
      </c>
      <c r="AN506" s="875" t="str">
        <f>IFERROR(VLOOKUP(E506,'liquidaciones '!$B$2:$C$1048576,2,0),"NO")</f>
        <v>NO</v>
      </c>
      <c r="AO506" s="983" t="str">
        <f>IFERROR(VLOOKUP(E506,'liquidaciones '!$B$2:$I$1048576,8,0),"")</f>
        <v/>
      </c>
      <c r="AP506" s="342"/>
      <c r="AQ506" s="177" t="str">
        <f ca="1">IF((TODAY()-T506&lt;900),"SI","NO")</f>
        <v>SI</v>
      </c>
      <c r="AR506" s="438" t="s">
        <v>1511</v>
      </c>
      <c r="AS506" s="438"/>
      <c r="AT506" s="1018" t="s">
        <v>3757</v>
      </c>
    </row>
    <row r="507" spans="3:46" ht="33.75" x14ac:dyDescent="0.25">
      <c r="C507" s="896">
        <v>184</v>
      </c>
      <c r="D507" s="896"/>
      <c r="E507" s="897" t="s">
        <v>2901</v>
      </c>
      <c r="F507" s="446" t="s">
        <v>2902</v>
      </c>
      <c r="G507" s="937">
        <v>800084124</v>
      </c>
      <c r="H507" s="947" t="s">
        <v>3066</v>
      </c>
      <c r="I507" s="942">
        <v>39000000</v>
      </c>
      <c r="J507" s="902" t="s">
        <v>2918</v>
      </c>
      <c r="K507" s="298">
        <v>2017</v>
      </c>
      <c r="L507" s="551">
        <v>42823</v>
      </c>
      <c r="M507" s="899">
        <v>42846</v>
      </c>
      <c r="N507" s="899">
        <v>43186</v>
      </c>
      <c r="O507" s="127">
        <f>COUNTA(Modificaciones!I493,Modificaciones!K493,Modificaciones!M493,Modificaciones!O493)</f>
        <v>0</v>
      </c>
      <c r="P507" s="128">
        <f>VLOOKUP(E507,Modificaciones!$B$7:$Q$507,16,0)</f>
        <v>0</v>
      </c>
      <c r="Q507" s="129">
        <f>COUNTA(Modificaciones!S507,Modificaciones!U507,Modificaciones!W507,Modificaciones!Y507)</f>
        <v>0</v>
      </c>
      <c r="R507" s="130" t="str">
        <f>IF(Modificaciones!Z507=0,"",VLOOKUP(E507,Modificaciones!$B$7:$AA$500,25,0))</f>
        <v/>
      </c>
      <c r="S507" s="131" t="str">
        <f>IF(Modificaciones!AA507=0,"",VLOOKUP(E507,Modificaciones!$B$7:$AA$500,26,0))</f>
        <v/>
      </c>
      <c r="T507" s="884">
        <f t="shared" si="91"/>
        <v>43186</v>
      </c>
      <c r="U507" s="62">
        <f t="shared" si="92"/>
        <v>39000000</v>
      </c>
      <c r="V507" s="172">
        <f>VLOOKUP(E507,Modificaciones!$B$7:$AU$507,46,0)</f>
        <v>4304446</v>
      </c>
      <c r="W507" s="93">
        <f t="shared" si="101"/>
        <v>34695554</v>
      </c>
      <c r="X507" s="312" t="s">
        <v>1095</v>
      </c>
      <c r="Y507" s="881">
        <f t="shared" si="93"/>
        <v>0.11037041025641026</v>
      </c>
      <c r="Z507" s="42">
        <f t="shared" ca="1" si="94"/>
        <v>0.8</v>
      </c>
      <c r="AA507" s="43">
        <f t="shared" ca="1" si="95"/>
        <v>0.68962958974358979</v>
      </c>
      <c r="AB507" s="202">
        <f t="shared" ca="1" si="96"/>
        <v>68</v>
      </c>
      <c r="AC507" s="44" t="str">
        <f t="shared" si="100"/>
        <v>NO</v>
      </c>
      <c r="AD507" s="765" t="s">
        <v>1713</v>
      </c>
      <c r="AE507" s="173" t="s">
        <v>1257</v>
      </c>
      <c r="AF507" s="284" t="s">
        <v>1127</v>
      </c>
      <c r="AG507" s="173" t="s">
        <v>1443</v>
      </c>
      <c r="AH507" s="284" t="s">
        <v>560</v>
      </c>
      <c r="AI507" s="174" t="s">
        <v>1320</v>
      </c>
      <c r="AJ507" s="308" t="s">
        <v>2850</v>
      </c>
      <c r="AK507" s="181" t="str">
        <f t="shared" ca="1" si="97"/>
        <v>EN EJECUCIÓN</v>
      </c>
      <c r="AL507" s="313" t="s">
        <v>576</v>
      </c>
      <c r="AM507" s="176" t="s">
        <v>390</v>
      </c>
      <c r="AN507" s="875" t="str">
        <f>IFERROR(VLOOKUP(E507,'liquidaciones '!$B$2:$C$1048576,2,0),"NO")</f>
        <v>NO</v>
      </c>
      <c r="AO507" s="983" t="str">
        <f>IFERROR(VLOOKUP(E507,'liquidaciones '!$B$2:$I$1048576,8,0),"")</f>
        <v/>
      </c>
      <c r="AP507" s="438"/>
      <c r="AQ507" s="177" t="str">
        <f ca="1">IF((TODAY()-T507&lt;900),"SI","NO")</f>
        <v>SI</v>
      </c>
      <c r="AR507" s="438" t="s">
        <v>1511</v>
      </c>
      <c r="AS507" s="438" t="s">
        <v>3820</v>
      </c>
      <c r="AT507" s="1018" t="s">
        <v>3754</v>
      </c>
    </row>
    <row r="508" spans="3:46" ht="33.75" x14ac:dyDescent="0.25">
      <c r="C508" s="896">
        <v>148</v>
      </c>
      <c r="D508" s="896"/>
      <c r="E508" s="897" t="s">
        <v>2903</v>
      </c>
      <c r="F508" s="446" t="s">
        <v>2458</v>
      </c>
      <c r="G508" s="937">
        <v>41758887</v>
      </c>
      <c r="H508" s="947" t="s">
        <v>3067</v>
      </c>
      <c r="I508" s="942">
        <v>51300000</v>
      </c>
      <c r="J508" s="902" t="s">
        <v>2903</v>
      </c>
      <c r="K508" s="298">
        <v>2017</v>
      </c>
      <c r="L508" s="551">
        <v>42846</v>
      </c>
      <c r="M508" s="899">
        <v>42850</v>
      </c>
      <c r="N508" s="899">
        <v>43125</v>
      </c>
      <c r="O508" s="127">
        <f>COUNTA(Modificaciones!I494,Modificaciones!K494,Modificaciones!M494,Modificaciones!O494)</f>
        <v>0</v>
      </c>
      <c r="P508" s="128">
        <f>VLOOKUP(E508,Modificaciones!$B$7:$Q$508,16,0)</f>
        <v>0</v>
      </c>
      <c r="Q508" s="129">
        <f>COUNTA(Modificaciones!S508,Modificaciones!U508,Modificaciones!W508,Modificaciones!Y508)</f>
        <v>0</v>
      </c>
      <c r="R508" s="130" t="str">
        <f>IF(Modificaciones!Z508=0,"",VLOOKUP(E508,Modificaciones!$B$7:$AA$500,25,0))</f>
        <v/>
      </c>
      <c r="S508" s="131" t="str">
        <f>IF(Modificaciones!AA508=0,"",VLOOKUP(E508,Modificaciones!$B$7:$AA$500,26,0))</f>
        <v/>
      </c>
      <c r="T508" s="884">
        <f t="shared" si="91"/>
        <v>43125</v>
      </c>
      <c r="U508" s="62">
        <f t="shared" si="92"/>
        <v>51300000</v>
      </c>
      <c r="V508" s="172">
        <f>VLOOKUP(E508,Modificaciones!$B$7:$AU$508,46,0)</f>
        <v>41040000</v>
      </c>
      <c r="W508" s="93">
        <f t="shared" si="101"/>
        <v>10260000</v>
      </c>
      <c r="X508" s="312" t="s">
        <v>1095</v>
      </c>
      <c r="Y508" s="881">
        <f t="shared" si="93"/>
        <v>0.8</v>
      </c>
      <c r="Z508" s="42">
        <f t="shared" ca="1" si="94"/>
        <v>0.97454545454545449</v>
      </c>
      <c r="AA508" s="43">
        <f t="shared" ca="1" si="95"/>
        <v>0.17454545454545445</v>
      </c>
      <c r="AB508" s="202">
        <f t="shared" ca="1" si="96"/>
        <v>7</v>
      </c>
      <c r="AC508" s="44" t="str">
        <f t="shared" si="100"/>
        <v>NO</v>
      </c>
      <c r="AD508" s="765" t="s">
        <v>2469</v>
      </c>
      <c r="AE508" s="173" t="s">
        <v>1257</v>
      </c>
      <c r="AF508" s="284" t="s">
        <v>2060</v>
      </c>
      <c r="AG508" s="173" t="s">
        <v>1178</v>
      </c>
      <c r="AH508" s="284" t="s">
        <v>559</v>
      </c>
      <c r="AI508" s="308" t="s">
        <v>2173</v>
      </c>
      <c r="AJ508" s="308" t="s">
        <v>2850</v>
      </c>
      <c r="AK508" s="181" t="str">
        <f t="shared" ca="1" si="97"/>
        <v>EN EJECUCIÓN</v>
      </c>
      <c r="AL508" s="313" t="s">
        <v>582</v>
      </c>
      <c r="AM508" s="438" t="s">
        <v>391</v>
      </c>
      <c r="AN508" s="875" t="str">
        <f>IFERROR(VLOOKUP(E508,'liquidaciones '!$B$2:$C$1048576,2,0),"NO")</f>
        <v>NO</v>
      </c>
      <c r="AO508" s="983" t="str">
        <f>IFERROR(VLOOKUP(E508,'liquidaciones '!$B$2:$I$1048576,8,0),"")</f>
        <v/>
      </c>
      <c r="AP508" s="438"/>
      <c r="AQ508" s="177" t="str">
        <f ca="1">IF((TODAY()-T508&lt;900),"SI","NO")</f>
        <v>SI</v>
      </c>
      <c r="AR508" s="438" t="s">
        <v>3074</v>
      </c>
      <c r="AS508" s="438"/>
      <c r="AT508" s="1018" t="s">
        <v>3754</v>
      </c>
    </row>
    <row r="509" spans="3:46" ht="45" x14ac:dyDescent="0.25">
      <c r="C509" s="896">
        <v>157</v>
      </c>
      <c r="D509" s="896"/>
      <c r="E509" s="897" t="s">
        <v>2904</v>
      </c>
      <c r="F509" s="446" t="s">
        <v>2503</v>
      </c>
      <c r="G509" s="937">
        <v>63548489</v>
      </c>
      <c r="H509" s="947" t="s">
        <v>2905</v>
      </c>
      <c r="I509" s="942">
        <v>51300000</v>
      </c>
      <c r="J509" s="902" t="s">
        <v>2904</v>
      </c>
      <c r="K509" s="298">
        <v>2017</v>
      </c>
      <c r="L509" s="551">
        <v>42849</v>
      </c>
      <c r="M509" s="899">
        <v>42851</v>
      </c>
      <c r="N509" s="899">
        <v>43126</v>
      </c>
      <c r="O509" s="127">
        <f>COUNTA(Modificaciones!I495,Modificaciones!K495,Modificaciones!M495,Modificaciones!O495)</f>
        <v>0</v>
      </c>
      <c r="P509" s="128">
        <f>VLOOKUP(E509,Modificaciones!$B$7:$Q$509,16,0)</f>
        <v>0</v>
      </c>
      <c r="Q509" s="129">
        <f>COUNTA(Modificaciones!S509,Modificaciones!U509,Modificaciones!W509,Modificaciones!Y509)</f>
        <v>0</v>
      </c>
      <c r="R509" s="130" t="str">
        <f>IF(Modificaciones!Z509=0,"",VLOOKUP(E509,Modificaciones!$B$7:$AA$500,25,0))</f>
        <v/>
      </c>
      <c r="S509" s="131" t="str">
        <f>IF(Modificaciones!AA509=0,"",VLOOKUP(E509,Modificaciones!$B$7:$AA$500,26,0))</f>
        <v/>
      </c>
      <c r="T509" s="884">
        <f t="shared" si="91"/>
        <v>43126</v>
      </c>
      <c r="U509" s="62">
        <f t="shared" si="92"/>
        <v>51300000</v>
      </c>
      <c r="V509" s="172">
        <f>VLOOKUP(E509,Modificaciones!$B$7:$AU$509,46,0)</f>
        <v>40850000</v>
      </c>
      <c r="W509" s="93">
        <f t="shared" si="101"/>
        <v>10450000</v>
      </c>
      <c r="X509" s="312" t="s">
        <v>1095</v>
      </c>
      <c r="Y509" s="881">
        <f t="shared" si="93"/>
        <v>0.79629629629629628</v>
      </c>
      <c r="Z509" s="42">
        <f t="shared" ca="1" si="94"/>
        <v>0.97090909090909094</v>
      </c>
      <c r="AA509" s="43">
        <f t="shared" ca="1" si="95"/>
        <v>0.17461279461279466</v>
      </c>
      <c r="AB509" s="202">
        <f t="shared" ca="1" si="96"/>
        <v>8</v>
      </c>
      <c r="AC509" s="44" t="str">
        <f t="shared" si="100"/>
        <v>NO</v>
      </c>
      <c r="AD509" s="765" t="s">
        <v>2469</v>
      </c>
      <c r="AE509" s="173" t="s">
        <v>1257</v>
      </c>
      <c r="AF509" s="173" t="s">
        <v>2504</v>
      </c>
      <c r="AG509" s="173" t="s">
        <v>1431</v>
      </c>
      <c r="AH509" s="284" t="s">
        <v>564</v>
      </c>
      <c r="AI509" s="308"/>
      <c r="AJ509" s="308" t="s">
        <v>2850</v>
      </c>
      <c r="AK509" s="181" t="str">
        <f t="shared" ca="1" si="97"/>
        <v>EN EJECUCIÓN</v>
      </c>
      <c r="AL509" s="313" t="s">
        <v>582</v>
      </c>
      <c r="AM509" s="176" t="s">
        <v>391</v>
      </c>
      <c r="AN509" s="875" t="str">
        <f>IFERROR(VLOOKUP(E509,'liquidaciones '!$B$2:$C$1048576,2,0),"NO")</f>
        <v>NO</v>
      </c>
      <c r="AO509" s="983" t="str">
        <f>IFERROR(VLOOKUP(E509,'liquidaciones '!$B$2:$I$1048576,8,0),"")</f>
        <v/>
      </c>
      <c r="AP509" s="342"/>
      <c r="AQ509" s="177" t="str">
        <f ca="1">IF((TODAY()-T509&lt;900),"SI","NO")</f>
        <v>SI</v>
      </c>
      <c r="AR509" s="438" t="s">
        <v>3074</v>
      </c>
      <c r="AS509" s="438"/>
      <c r="AT509" s="1018" t="s">
        <v>3753</v>
      </c>
    </row>
    <row r="510" spans="3:46" ht="67.5" x14ac:dyDescent="0.25">
      <c r="C510" s="896">
        <v>219</v>
      </c>
      <c r="D510" s="896"/>
      <c r="E510" s="897" t="s">
        <v>2906</v>
      </c>
      <c r="F510" s="446" t="s">
        <v>2810</v>
      </c>
      <c r="G510" s="937">
        <v>830016004</v>
      </c>
      <c r="H510" s="947" t="s">
        <v>2907</v>
      </c>
      <c r="I510" s="942">
        <v>58228000</v>
      </c>
      <c r="J510" s="902" t="s">
        <v>2908</v>
      </c>
      <c r="K510" s="298">
        <v>2017</v>
      </c>
      <c r="L510" s="551">
        <v>42835</v>
      </c>
      <c r="M510" s="899">
        <v>42857</v>
      </c>
      <c r="N510" s="899">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IF(Modificaciones!Z510=0,"",VLOOKUP(E510,Modificaciones!$B$7:$AA$500,25,0))</f>
        <v/>
      </c>
      <c r="S510" s="131" t="str">
        <f>IF(Modificaciones!AA510=0,"",VLOOKUP(E510,Modificaciones!$B$7:$AA$500,26,0))</f>
        <v/>
      </c>
      <c r="T510" s="884">
        <f t="shared" si="91"/>
        <v>42918</v>
      </c>
      <c r="U510" s="62">
        <f t="shared" si="92"/>
        <v>58228000</v>
      </c>
      <c r="V510" s="172">
        <f>VLOOKUP(E510,Modificaciones!$B$7:$AU$510,46,0)</f>
        <v>58228000</v>
      </c>
      <c r="W510" s="93">
        <f t="shared" si="101"/>
        <v>0</v>
      </c>
      <c r="X510" s="316" t="s">
        <v>2812</v>
      </c>
      <c r="Y510" s="881">
        <f t="shared" si="93"/>
        <v>1</v>
      </c>
      <c r="Z510" s="42">
        <f t="shared" ca="1" si="94"/>
        <v>1</v>
      </c>
      <c r="AA510" s="43">
        <f t="shared" ca="1" si="95"/>
        <v>0</v>
      </c>
      <c r="AB510" s="202" t="str">
        <f t="shared" ca="1" si="96"/>
        <v/>
      </c>
      <c r="AC510" s="44" t="str">
        <f t="shared" si="100"/>
        <v>SI</v>
      </c>
      <c r="AD510" s="897" t="s">
        <v>1715</v>
      </c>
      <c r="AE510" s="900" t="s">
        <v>1258</v>
      </c>
      <c r="AF510" s="900" t="s">
        <v>2822</v>
      </c>
      <c r="AG510" s="173" t="s">
        <v>1440</v>
      </c>
      <c r="AH510" s="284" t="s">
        <v>560</v>
      </c>
      <c r="AI510" s="308" t="s">
        <v>1510</v>
      </c>
      <c r="AJ510" s="308" t="s">
        <v>2850</v>
      </c>
      <c r="AK510" s="181" t="str">
        <f t="shared" ca="1" si="97"/>
        <v>TERMINO</v>
      </c>
      <c r="AL510" s="446" t="s">
        <v>2923</v>
      </c>
      <c r="AM510" s="438" t="s">
        <v>390</v>
      </c>
      <c r="AN510" s="875" t="str">
        <f>IFERROR(VLOOKUP(E510,'liquidaciones '!$B$2:$C$1048576,2,0),"NO")</f>
        <v>NO</v>
      </c>
      <c r="AO510" s="983" t="str">
        <f>IFERROR(VLOOKUP(E510,'liquidaciones '!$B$2:$I$1048576,8,0),"")</f>
        <v/>
      </c>
      <c r="AP510" s="438"/>
      <c r="AQ510" s="177" t="s">
        <v>390</v>
      </c>
      <c r="AR510" s="177" t="s">
        <v>2924</v>
      </c>
      <c r="AS510" s="438"/>
      <c r="AT510" s="1018"/>
    </row>
    <row r="511" spans="3:46" ht="45" x14ac:dyDescent="0.25">
      <c r="C511" s="896">
        <v>150</v>
      </c>
      <c r="D511" s="896"/>
      <c r="E511" s="897" t="s">
        <v>2909</v>
      </c>
      <c r="F511" s="446" t="s">
        <v>2654</v>
      </c>
      <c r="G511" s="937">
        <v>52499785</v>
      </c>
      <c r="H511" s="947" t="s">
        <v>2497</v>
      </c>
      <c r="I511" s="942">
        <v>51300000</v>
      </c>
      <c r="J511" s="902" t="s">
        <v>2909</v>
      </c>
      <c r="K511" s="298">
        <v>2017</v>
      </c>
      <c r="L511" s="551">
        <v>42850</v>
      </c>
      <c r="M511" s="899">
        <v>42857</v>
      </c>
      <c r="N511" s="899">
        <v>43133</v>
      </c>
      <c r="O511" s="127">
        <f>COUNTA(Modificaciones!I497,Modificaciones!K497,Modificaciones!M497,Modificaciones!O497)</f>
        <v>0</v>
      </c>
      <c r="P511" s="128">
        <f>VLOOKUP(E511,Modificaciones!$B$7:$Q$511,16,0)</f>
        <v>0</v>
      </c>
      <c r="Q511" s="129">
        <f>COUNTA(Modificaciones!S511,Modificaciones!U511,Modificaciones!W511,Modificaciones!Y511)</f>
        <v>0</v>
      </c>
      <c r="R511" s="130" t="str">
        <f>IF(Modificaciones!Z511=0,"",VLOOKUP(E511,Modificaciones!$B$7:$AA$500,25,0))</f>
        <v/>
      </c>
      <c r="S511" s="131" t="str">
        <f>IF(Modificaciones!AA511=0,"",VLOOKUP(E511,Modificaciones!$B$7:$AA$500,26,0))</f>
        <v/>
      </c>
      <c r="T511" s="884">
        <f t="shared" si="91"/>
        <v>43133</v>
      </c>
      <c r="U511" s="62">
        <f t="shared" si="92"/>
        <v>51300000</v>
      </c>
      <c r="V511" s="172">
        <f>VLOOKUP(E511,Modificaciones!$B$7:$AU$511,46,0)</f>
        <v>22610000</v>
      </c>
      <c r="W511" s="93">
        <f t="shared" si="101"/>
        <v>28690000</v>
      </c>
      <c r="X511" s="312" t="s">
        <v>1095</v>
      </c>
      <c r="Y511" s="881">
        <f t="shared" si="93"/>
        <v>0.44074074074074077</v>
      </c>
      <c r="Z511" s="42">
        <f t="shared" ca="1" si="94"/>
        <v>0.94565217391304346</v>
      </c>
      <c r="AA511" s="43">
        <f t="shared" ca="1" si="95"/>
        <v>0.50491143317230269</v>
      </c>
      <c r="AB511" s="202">
        <f t="shared" ca="1" si="96"/>
        <v>15</v>
      </c>
      <c r="AC511" s="44" t="str">
        <f t="shared" si="100"/>
        <v>NO</v>
      </c>
      <c r="AD511" s="765" t="s">
        <v>2469</v>
      </c>
      <c r="AE511" s="173" t="s">
        <v>1257</v>
      </c>
      <c r="AF511" s="173" t="s">
        <v>2498</v>
      </c>
      <c r="AG511" s="173"/>
      <c r="AH511" s="284"/>
      <c r="AI511" s="308"/>
      <c r="AJ511" s="308" t="s">
        <v>2850</v>
      </c>
      <c r="AK511" s="181" t="str">
        <f t="shared" ca="1" si="97"/>
        <v>EN EJECUCIÓN</v>
      </c>
      <c r="AL511" s="313" t="s">
        <v>582</v>
      </c>
      <c r="AM511" s="176" t="s">
        <v>391</v>
      </c>
      <c r="AN511" s="875" t="str">
        <f>IFERROR(VLOOKUP(E511,'liquidaciones '!$B$2:$C$1048576,2,0),"NO")</f>
        <v>NO</v>
      </c>
      <c r="AO511" s="983" t="str">
        <f>IFERROR(VLOOKUP(E511,'liquidaciones '!$B$2:$I$1048576,8,0),"")</f>
        <v/>
      </c>
      <c r="AP511" s="438"/>
      <c r="AQ511" s="177" t="str">
        <f ca="1">IF((TODAY()-T511&lt;900),"SI","NO")</f>
        <v>SI</v>
      </c>
      <c r="AR511" s="438" t="s">
        <v>1511</v>
      </c>
      <c r="AS511" s="438"/>
      <c r="AT511" s="1018" t="s">
        <v>3753</v>
      </c>
    </row>
    <row r="512" spans="3:46" ht="45" x14ac:dyDescent="0.25">
      <c r="C512" s="896">
        <v>156</v>
      </c>
      <c r="D512" s="896"/>
      <c r="E512" s="897" t="s">
        <v>2910</v>
      </c>
      <c r="F512" s="446" t="s">
        <v>2494</v>
      </c>
      <c r="G512" s="937">
        <v>79646061</v>
      </c>
      <c r="H512" s="947" t="s">
        <v>3040</v>
      </c>
      <c r="I512" s="942">
        <v>57000000</v>
      </c>
      <c r="J512" s="902" t="s">
        <v>2910</v>
      </c>
      <c r="K512" s="298">
        <v>2017</v>
      </c>
      <c r="L512" s="551">
        <v>42850</v>
      </c>
      <c r="M512" s="899">
        <v>42857</v>
      </c>
      <c r="N512" s="899">
        <v>43161</v>
      </c>
      <c r="O512" s="127">
        <f>COUNTA(Modificaciones!I498,Modificaciones!K498,Modificaciones!M498,Modificaciones!O498)</f>
        <v>0</v>
      </c>
      <c r="P512" s="128">
        <f>VLOOKUP(E512,Modificaciones!$B$7:$Q$512,16,0)</f>
        <v>0</v>
      </c>
      <c r="Q512" s="129">
        <f>COUNTA(Modificaciones!S512,Modificaciones!U512,Modificaciones!W512,Modificaciones!Y512)</f>
        <v>0</v>
      </c>
      <c r="R512" s="130" t="str">
        <f>IF(Modificaciones!Z512=0,"",VLOOKUP(E512,Modificaciones!$B$7:$AA$500,25,0))</f>
        <v/>
      </c>
      <c r="S512" s="131" t="str">
        <f>IF(Modificaciones!AA512=0,"",VLOOKUP(E512,Modificaciones!$B$7:$AA$500,26,0))</f>
        <v/>
      </c>
      <c r="T512" s="884">
        <f t="shared" ref="T512:T575" si="102">MAX(N512,S512)</f>
        <v>43161</v>
      </c>
      <c r="U512" s="62">
        <f t="shared" si="92"/>
        <v>57000000</v>
      </c>
      <c r="V512" s="172">
        <f>VLOOKUP(E512,Modificaciones!$B$7:$AU$512,46,0)</f>
        <v>39710000</v>
      </c>
      <c r="W512" s="93">
        <f t="shared" si="101"/>
        <v>17290000</v>
      </c>
      <c r="X512" s="312" t="s">
        <v>1095</v>
      </c>
      <c r="Y512" s="881">
        <f t="shared" si="93"/>
        <v>0.69666666666666666</v>
      </c>
      <c r="Z512" s="42">
        <f t="shared" ca="1" si="94"/>
        <v>0.85855263157894735</v>
      </c>
      <c r="AA512" s="43">
        <f t="shared" ca="1" si="95"/>
        <v>0.16188596491228069</v>
      </c>
      <c r="AB512" s="202">
        <f t="shared" ca="1" si="96"/>
        <v>43</v>
      </c>
      <c r="AC512" s="44" t="str">
        <f t="shared" si="100"/>
        <v>NO</v>
      </c>
      <c r="AD512" s="765" t="s">
        <v>2469</v>
      </c>
      <c r="AE512" s="173" t="s">
        <v>1257</v>
      </c>
      <c r="AF512" s="173" t="s">
        <v>2495</v>
      </c>
      <c r="AG512" s="173"/>
      <c r="AH512" s="284" t="s">
        <v>562</v>
      </c>
      <c r="AI512" s="308"/>
      <c r="AJ512" s="308" t="s">
        <v>3837</v>
      </c>
      <c r="AK512" s="181" t="str">
        <f t="shared" ca="1" si="97"/>
        <v>EN EJECUCIÓN</v>
      </c>
      <c r="AL512" s="313" t="s">
        <v>582</v>
      </c>
      <c r="AM512" s="176" t="s">
        <v>391</v>
      </c>
      <c r="AN512" s="875" t="str">
        <f>IFERROR(VLOOKUP(E512,'liquidaciones '!$B$2:$C$1048576,2,0),"NO")</f>
        <v>NO</v>
      </c>
      <c r="AO512" s="983" t="str">
        <f>IFERROR(VLOOKUP(E512,'liquidaciones '!$B$2:$I$1048576,8,0),"")</f>
        <v/>
      </c>
      <c r="AP512" s="438"/>
      <c r="AQ512" s="177" t="str">
        <f ca="1">IF((TODAY()-T512&lt;900),"SI","NO")</f>
        <v>SI</v>
      </c>
      <c r="AR512" s="438" t="s">
        <v>1511</v>
      </c>
      <c r="AS512" s="438"/>
      <c r="AT512" s="1018" t="s">
        <v>3758</v>
      </c>
    </row>
    <row r="513" spans="3:46" ht="33.75" x14ac:dyDescent="0.25">
      <c r="C513" s="896">
        <v>69</v>
      </c>
      <c r="D513" s="896"/>
      <c r="E513" s="897" t="s">
        <v>2911</v>
      </c>
      <c r="F513" s="446" t="s">
        <v>1516</v>
      </c>
      <c r="G513" s="937">
        <v>80117116</v>
      </c>
      <c r="H513" s="947" t="s">
        <v>2912</v>
      </c>
      <c r="I513" s="942">
        <v>38999997</v>
      </c>
      <c r="J513" s="902" t="s">
        <v>2911</v>
      </c>
      <c r="K513" s="298">
        <v>2017</v>
      </c>
      <c r="L513" s="551">
        <v>42851</v>
      </c>
      <c r="M513" s="899">
        <v>42858</v>
      </c>
      <c r="N513" s="899">
        <v>43134</v>
      </c>
      <c r="O513" s="127">
        <f>COUNTA(Modificaciones!I499,Modificaciones!K499,Modificaciones!M499,Modificaciones!O499)</f>
        <v>1</v>
      </c>
      <c r="P513" s="128">
        <f>VLOOKUP(E513,Modificaciones!$B$7:$Q$513,16,0)</f>
        <v>0</v>
      </c>
      <c r="Q513" s="129">
        <f>COUNTA(Modificaciones!S513,Modificaciones!U513,Modificaciones!W513,Modificaciones!Y513)</f>
        <v>0</v>
      </c>
      <c r="R513" s="130" t="str">
        <f>IF(Modificaciones!Z513=0,"",VLOOKUP(E513,Modificaciones!$B$7:$AA$500,25,0))</f>
        <v/>
      </c>
      <c r="S513" s="131" t="str">
        <f>IF(Modificaciones!AA513=0,"",VLOOKUP(E513,Modificaciones!$B$7:$AA$500,26,0))</f>
        <v/>
      </c>
      <c r="T513" s="884">
        <f t="shared" si="102"/>
        <v>43134</v>
      </c>
      <c r="U513" s="62">
        <f t="shared" si="92"/>
        <v>38999997</v>
      </c>
      <c r="V513" s="172">
        <f>VLOOKUP(E513,Modificaciones!$B$7:$AU$513,46,0)</f>
        <v>34233331</v>
      </c>
      <c r="W513" s="93">
        <f t="shared" si="101"/>
        <v>4766666</v>
      </c>
      <c r="X513" s="312" t="s">
        <v>1095</v>
      </c>
      <c r="Y513" s="881">
        <f t="shared" si="93"/>
        <v>0.87777778547008611</v>
      </c>
      <c r="Z513" s="42">
        <f t="shared" ca="1" si="94"/>
        <v>0.94202898550724634</v>
      </c>
      <c r="AA513" s="43">
        <f t="shared" ca="1" si="95"/>
        <v>6.4251200037160228E-2</v>
      </c>
      <c r="AB513" s="202">
        <f t="shared" ca="1" si="96"/>
        <v>16</v>
      </c>
      <c r="AC513" s="44" t="str">
        <f t="shared" si="100"/>
        <v>NO</v>
      </c>
      <c r="AD513" s="765" t="s">
        <v>2469</v>
      </c>
      <c r="AE513" s="173" t="s">
        <v>1257</v>
      </c>
      <c r="AF513" s="173" t="s">
        <v>2178</v>
      </c>
      <c r="AG513" s="173" t="s">
        <v>1431</v>
      </c>
      <c r="AH513" s="284" t="s">
        <v>564</v>
      </c>
      <c r="AI513" s="308"/>
      <c r="AJ513" s="308" t="s">
        <v>2850</v>
      </c>
      <c r="AK513" s="181" t="str">
        <f t="shared" ca="1" si="97"/>
        <v>EN EJECUCIÓN</v>
      </c>
      <c r="AL513" s="181" t="s">
        <v>582</v>
      </c>
      <c r="AM513" s="176" t="s">
        <v>391</v>
      </c>
      <c r="AN513" s="875" t="str">
        <f>IFERROR(VLOOKUP(E513,'liquidaciones '!$B$2:$C$1048576,2,0),"NO")</f>
        <v>NO</v>
      </c>
      <c r="AO513" s="983" t="str">
        <f>IFERROR(VLOOKUP(E513,'liquidaciones '!$B$2:$I$1048576,8,0),"")</f>
        <v/>
      </c>
      <c r="AP513" s="438"/>
      <c r="AQ513" s="177" t="str">
        <f ca="1">IF((TODAY()-T513&lt;900),"SI","NO")</f>
        <v>SI</v>
      </c>
      <c r="AR513" s="438" t="s">
        <v>3074</v>
      </c>
      <c r="AS513" s="438"/>
      <c r="AT513" s="1018"/>
    </row>
    <row r="514" spans="3:46" ht="33.75" x14ac:dyDescent="0.25">
      <c r="C514" s="896"/>
      <c r="D514" s="896"/>
      <c r="E514" s="897" t="s">
        <v>2913</v>
      </c>
      <c r="F514" s="446" t="s">
        <v>2914</v>
      </c>
      <c r="G514" s="937">
        <v>19244462</v>
      </c>
      <c r="H514" s="947" t="s">
        <v>2925</v>
      </c>
      <c r="I514" s="942">
        <v>57000000</v>
      </c>
      <c r="J514" s="902" t="s">
        <v>2913</v>
      </c>
      <c r="K514" s="298">
        <v>2017</v>
      </c>
      <c r="L514" s="551">
        <v>42850</v>
      </c>
      <c r="M514" s="899">
        <v>42857</v>
      </c>
      <c r="N514" s="899">
        <v>43161</v>
      </c>
      <c r="O514" s="127">
        <f>COUNTA(Modificaciones!I500,Modificaciones!K500,Modificaciones!M500,Modificaciones!O500)</f>
        <v>0</v>
      </c>
      <c r="P514" s="128">
        <f>VLOOKUP(E514,Modificaciones!$B$7:$Q$514,16,0)</f>
        <v>0</v>
      </c>
      <c r="Q514" s="129">
        <f>COUNTA(Modificaciones!S514,Modificaciones!U514,Modificaciones!W514,Modificaciones!Y514)</f>
        <v>0</v>
      </c>
      <c r="R514" s="130" t="str">
        <f>IF(Modificaciones!Z514=0,"",VLOOKUP(E514,Modificaciones!$B$7:$AA$500,25,0))</f>
        <v/>
      </c>
      <c r="S514" s="131" t="str">
        <f>IF(Modificaciones!AA514=0,"",VLOOKUP(E514,Modificaciones!$B$7:$AA$500,26,0))</f>
        <v/>
      </c>
      <c r="T514" s="884">
        <f t="shared" si="102"/>
        <v>43161</v>
      </c>
      <c r="U514" s="62">
        <f t="shared" si="92"/>
        <v>57000000</v>
      </c>
      <c r="V514" s="172">
        <f>VLOOKUP(E514,Modificaciones!$B$7:$AU$514,46,0)</f>
        <v>39710000</v>
      </c>
      <c r="W514" s="93">
        <f t="shared" si="101"/>
        <v>17290000</v>
      </c>
      <c r="X514" s="312" t="s">
        <v>1095</v>
      </c>
      <c r="Y514" s="881">
        <f t="shared" si="93"/>
        <v>0.69666666666666666</v>
      </c>
      <c r="Z514" s="42">
        <f t="shared" ca="1" si="94"/>
        <v>0.85855263157894735</v>
      </c>
      <c r="AA514" s="43">
        <f t="shared" ca="1" si="95"/>
        <v>0.16188596491228069</v>
      </c>
      <c r="AB514" s="202">
        <f t="shared" ca="1" si="96"/>
        <v>43</v>
      </c>
      <c r="AC514" s="44" t="str">
        <f t="shared" si="100"/>
        <v>NO</v>
      </c>
      <c r="AD514" s="765" t="s">
        <v>2469</v>
      </c>
      <c r="AE514" s="173" t="s">
        <v>1257</v>
      </c>
      <c r="AF514" s="173" t="s">
        <v>2179</v>
      </c>
      <c r="AG514" s="173" t="s">
        <v>1178</v>
      </c>
      <c r="AH514" s="284" t="s">
        <v>559</v>
      </c>
      <c r="AI514" s="174"/>
      <c r="AJ514" s="308" t="s">
        <v>2850</v>
      </c>
      <c r="AK514" s="181" t="str">
        <f t="shared" ca="1" si="97"/>
        <v>EN EJECUCIÓN</v>
      </c>
      <c r="AL514" s="181" t="s">
        <v>582</v>
      </c>
      <c r="AM514" s="176" t="s">
        <v>391</v>
      </c>
      <c r="AN514" s="875" t="str">
        <f>IFERROR(VLOOKUP(E514,'liquidaciones '!$B$2:$C$1048576,2,0),"NO")</f>
        <v>NO</v>
      </c>
      <c r="AO514" s="983" t="str">
        <f>IFERROR(VLOOKUP(E514,'liquidaciones '!$B$2:$I$1048576,8,0),"")</f>
        <v/>
      </c>
      <c r="AP514" s="438"/>
      <c r="AQ514" s="177" t="str">
        <f ca="1">IF((TODAY()-T514&lt;900),"SI","NO")</f>
        <v>SI</v>
      </c>
      <c r="AR514" s="438" t="s">
        <v>1511</v>
      </c>
      <c r="AS514" s="438"/>
      <c r="AT514" s="1018" t="s">
        <v>3754</v>
      </c>
    </row>
    <row r="515" spans="3:46" ht="33.75" x14ac:dyDescent="0.25">
      <c r="C515" s="896">
        <v>246</v>
      </c>
      <c r="D515" s="896"/>
      <c r="E515" s="897" t="s">
        <v>2916</v>
      </c>
      <c r="F515" s="446" t="s">
        <v>3844</v>
      </c>
      <c r="G515" s="937">
        <v>79615371</v>
      </c>
      <c r="H515" s="947" t="s">
        <v>2917</v>
      </c>
      <c r="I515" s="942">
        <v>57000000</v>
      </c>
      <c r="J515" s="902" t="s">
        <v>2916</v>
      </c>
      <c r="K515" s="298">
        <v>2017</v>
      </c>
      <c r="L515" s="551">
        <v>42850</v>
      </c>
      <c r="M515" s="899">
        <v>42857</v>
      </c>
      <c r="N515" s="899">
        <v>43161</v>
      </c>
      <c r="O515" s="127">
        <f>COUNTA(Modificaciones!I501,Modificaciones!K501,Modificaciones!M501,Modificaciones!O501)</f>
        <v>0</v>
      </c>
      <c r="P515" s="128">
        <f>VLOOKUP(E515,Modificaciones!$B$7:$Q$515,16,0)</f>
        <v>0</v>
      </c>
      <c r="Q515" s="129">
        <f>COUNTA(Modificaciones!S515,Modificaciones!U515,Modificaciones!W515,Modificaciones!Y515)</f>
        <v>0</v>
      </c>
      <c r="R515" s="130" t="str">
        <f>IF(Modificaciones!Z515=0,"",VLOOKUP(E515,Modificaciones!$B$7:$AA$500,25,0))</f>
        <v/>
      </c>
      <c r="S515" s="131" t="str">
        <f>IF(Modificaciones!AA515=0,"",VLOOKUP(E515,Modificaciones!$B$7:$AA$500,26,0))</f>
        <v/>
      </c>
      <c r="T515" s="884">
        <f t="shared" si="102"/>
        <v>43161</v>
      </c>
      <c r="U515" s="62">
        <f t="shared" si="92"/>
        <v>57000000</v>
      </c>
      <c r="V515" s="172">
        <f>VLOOKUP(E515,Modificaciones!$B$7:$AU$515,46,0)</f>
        <v>42560000</v>
      </c>
      <c r="W515" s="93">
        <f t="shared" si="101"/>
        <v>14440000</v>
      </c>
      <c r="X515" s="312" t="s">
        <v>1095</v>
      </c>
      <c r="Y515" s="881">
        <f t="shared" si="93"/>
        <v>0.7466666666666667</v>
      </c>
      <c r="Z515" s="42">
        <f t="shared" ca="1" si="94"/>
        <v>0.85855263157894735</v>
      </c>
      <c r="AA515" s="43">
        <f t="shared" ca="1" si="95"/>
        <v>0.11188596491228064</v>
      </c>
      <c r="AB515" s="202">
        <f t="shared" ca="1" si="96"/>
        <v>43</v>
      </c>
      <c r="AC515" s="44" t="str">
        <f t="shared" si="100"/>
        <v>NO</v>
      </c>
      <c r="AD515" s="765" t="s">
        <v>1714</v>
      </c>
      <c r="AE515" s="173" t="s">
        <v>1257</v>
      </c>
      <c r="AF515" s="173" t="s">
        <v>2600</v>
      </c>
      <c r="AG515" s="173" t="s">
        <v>1178</v>
      </c>
      <c r="AH515" s="284" t="s">
        <v>559</v>
      </c>
      <c r="AI515" s="308"/>
      <c r="AJ515" s="308" t="s">
        <v>2850</v>
      </c>
      <c r="AK515" s="181" t="str">
        <f t="shared" ca="1" si="97"/>
        <v>EN EJECUCIÓN</v>
      </c>
      <c r="AL515" s="313" t="s">
        <v>582</v>
      </c>
      <c r="AM515" s="176" t="s">
        <v>391</v>
      </c>
      <c r="AN515" s="875" t="str">
        <f>IFERROR(VLOOKUP(E515,'liquidaciones '!$B$2:$C$1048576,2,0),"NO")</f>
        <v>NO</v>
      </c>
      <c r="AO515" s="983" t="str">
        <f>IFERROR(VLOOKUP(E515,'liquidaciones '!$B$2:$I$1048576,8,0),"")</f>
        <v/>
      </c>
      <c r="AP515" s="438"/>
      <c r="AQ515" s="177" t="s">
        <v>390</v>
      </c>
      <c r="AR515" s="438" t="s">
        <v>3074</v>
      </c>
      <c r="AS515" s="438"/>
      <c r="AT515" s="1018" t="s">
        <v>3754</v>
      </c>
    </row>
    <row r="516" spans="3:46" ht="65.25" customHeight="1" x14ac:dyDescent="0.25">
      <c r="C516" s="896"/>
      <c r="D516" s="896"/>
      <c r="E516" s="897" t="s">
        <v>2919</v>
      </c>
      <c r="F516" s="446" t="s">
        <v>2920</v>
      </c>
      <c r="G516" s="937" t="s">
        <v>2733</v>
      </c>
      <c r="H516" s="947" t="s">
        <v>2921</v>
      </c>
      <c r="I516" s="942">
        <v>443322870</v>
      </c>
      <c r="J516" s="902" t="s">
        <v>2919</v>
      </c>
      <c r="K516" s="298">
        <v>2017</v>
      </c>
      <c r="L516" s="551">
        <v>42849</v>
      </c>
      <c r="M516" s="899">
        <v>42857</v>
      </c>
      <c r="N516" s="899">
        <v>43192</v>
      </c>
      <c r="O516" s="127">
        <f>COUNTA(Modificaciones!I502,Modificaciones!K502,Modificaciones!M502,Modificaciones!O502)</f>
        <v>0</v>
      </c>
      <c r="P516" s="128">
        <f>VLOOKUP(E516,Modificaciones!$B$7:$Q$516,16,0)</f>
        <v>0</v>
      </c>
      <c r="Q516" s="129">
        <f>COUNTA(Modificaciones!S516,Modificaciones!U516,Modificaciones!W516,Modificaciones!Y516)</f>
        <v>0</v>
      </c>
      <c r="R516" s="130" t="str">
        <f>IF(Modificaciones!Z516=0,"",VLOOKUP(E516,Modificaciones!$B$7:$AA$500,25,0))</f>
        <v/>
      </c>
      <c r="S516" s="131" t="str">
        <f>IF(Modificaciones!AA516=0,"",VLOOKUP(E516,Modificaciones!$B$7:$AA$500,26,0))</f>
        <v/>
      </c>
      <c r="T516" s="884">
        <f t="shared" si="102"/>
        <v>43192</v>
      </c>
      <c r="U516" s="62">
        <f t="shared" si="92"/>
        <v>443322870</v>
      </c>
      <c r="V516" s="172">
        <f>VLOOKUP(E516,Modificaciones!$B$7:$AU$516,46,0)</f>
        <v>90074429</v>
      </c>
      <c r="W516" s="93">
        <f t="shared" si="101"/>
        <v>353248441</v>
      </c>
      <c r="X516" s="929" t="s">
        <v>2922</v>
      </c>
      <c r="Y516" s="881">
        <f t="shared" si="93"/>
        <v>0.2031801991176318</v>
      </c>
      <c r="Z516" s="42">
        <f t="shared" ca="1" si="94"/>
        <v>0.77910447761194035</v>
      </c>
      <c r="AA516" s="43">
        <f t="shared" ca="1" si="95"/>
        <v>0.57592427849430861</v>
      </c>
      <c r="AB516" s="202">
        <f t="shared" ca="1" si="96"/>
        <v>74</v>
      </c>
      <c r="AC516" s="44" t="str">
        <f t="shared" si="100"/>
        <v>NO</v>
      </c>
      <c r="AD516" s="765" t="s">
        <v>1713</v>
      </c>
      <c r="AE516" s="173" t="s">
        <v>1258</v>
      </c>
      <c r="AF516" s="284" t="s">
        <v>2189</v>
      </c>
      <c r="AG516" s="173" t="s">
        <v>1440</v>
      </c>
      <c r="AH516" s="284" t="s">
        <v>560</v>
      </c>
      <c r="AI516" s="308" t="s">
        <v>1510</v>
      </c>
      <c r="AJ516" s="308" t="s">
        <v>3835</v>
      </c>
      <c r="AK516" s="181" t="str">
        <f t="shared" ca="1" si="97"/>
        <v>EN EJECUCIÓN</v>
      </c>
      <c r="AL516" s="313" t="s">
        <v>573</v>
      </c>
      <c r="AM516" s="438" t="s">
        <v>390</v>
      </c>
      <c r="AN516" s="875" t="str">
        <f>IFERROR(VLOOKUP(E516,'liquidaciones '!$B$2:$C$1048576,2,0),"NO")</f>
        <v>NO</v>
      </c>
      <c r="AO516" s="983" t="str">
        <f>IFERROR(VLOOKUP(E516,'liquidaciones '!$B$2:$I$1048576,8,0),"")</f>
        <v/>
      </c>
      <c r="AP516" s="438"/>
      <c r="AQ516" s="438" t="s">
        <v>390</v>
      </c>
      <c r="AR516" s="177" t="s">
        <v>3541</v>
      </c>
      <c r="AS516" s="438"/>
      <c r="AT516" s="1018" t="s">
        <v>3836</v>
      </c>
    </row>
    <row r="517" spans="3:46" ht="45" x14ac:dyDescent="0.25">
      <c r="C517" s="896">
        <v>70</v>
      </c>
      <c r="D517" s="896"/>
      <c r="E517" s="897" t="s">
        <v>2929</v>
      </c>
      <c r="F517" s="446" t="s">
        <v>1034</v>
      </c>
      <c r="G517" s="937">
        <v>79887061</v>
      </c>
      <c r="H517" s="947" t="s">
        <v>2930</v>
      </c>
      <c r="I517" s="942">
        <v>38999996</v>
      </c>
      <c r="J517" s="902" t="s">
        <v>2929</v>
      </c>
      <c r="K517" s="298">
        <v>2017</v>
      </c>
      <c r="L517" s="551">
        <v>42850</v>
      </c>
      <c r="M517" s="899">
        <v>42858</v>
      </c>
      <c r="N517" s="899">
        <v>43134</v>
      </c>
      <c r="O517" s="127">
        <f>COUNTA(Modificaciones!I503,Modificaciones!K503,Modificaciones!M503,Modificaciones!O503)</f>
        <v>0</v>
      </c>
      <c r="P517" s="128">
        <f>VLOOKUP(E517,Modificaciones!$B$7:$Q$517,16,0)</f>
        <v>0</v>
      </c>
      <c r="Q517" s="129">
        <f>COUNTA(Modificaciones!S517,Modificaciones!U517,Modificaciones!W517,Modificaciones!Y517)</f>
        <v>0</v>
      </c>
      <c r="R517" s="130" t="str">
        <f>IF(Modificaciones!Z517=0,"",VLOOKUP(E517,Modificaciones!$B$7:$AA$500,25,0))</f>
        <v/>
      </c>
      <c r="S517" s="131" t="str">
        <f>IF(Modificaciones!AA517=0,"",VLOOKUP(E517,Modificaciones!$B$7:$AA$500,26,0))</f>
        <v/>
      </c>
      <c r="T517" s="884">
        <f t="shared" si="102"/>
        <v>43134</v>
      </c>
      <c r="U517" s="62">
        <f t="shared" si="92"/>
        <v>38999996</v>
      </c>
      <c r="V517" s="172">
        <f>VLOOKUP(E517,Modificaciones!$B$7:$AU$517,46,0)</f>
        <v>11711109</v>
      </c>
      <c r="W517" s="93">
        <f t="shared" si="101"/>
        <v>27288887</v>
      </c>
      <c r="X517" s="312" t="s">
        <v>1095</v>
      </c>
      <c r="Y517" s="881">
        <f t="shared" si="93"/>
        <v>0.30028487695229505</v>
      </c>
      <c r="Z517" s="42">
        <f t="shared" ca="1" si="94"/>
        <v>0.94202898550724634</v>
      </c>
      <c r="AA517" s="43">
        <f t="shared" ca="1" si="95"/>
        <v>0.64174410855495134</v>
      </c>
      <c r="AB517" s="202">
        <f t="shared" ca="1" si="96"/>
        <v>16</v>
      </c>
      <c r="AC517" s="44" t="str">
        <f t="shared" si="100"/>
        <v>NO</v>
      </c>
      <c r="AD517" s="765" t="s">
        <v>2469</v>
      </c>
      <c r="AE517" s="173" t="s">
        <v>1257</v>
      </c>
      <c r="AF517" s="173" t="s">
        <v>2183</v>
      </c>
      <c r="AG517" s="173" t="s">
        <v>1440</v>
      </c>
      <c r="AH517" s="284" t="s">
        <v>560</v>
      </c>
      <c r="AI517" s="308" t="s">
        <v>1510</v>
      </c>
      <c r="AJ517" s="308" t="s">
        <v>3835</v>
      </c>
      <c r="AK517" s="181" t="str">
        <f t="shared" ca="1" si="97"/>
        <v>EN EJECUCIÓN</v>
      </c>
      <c r="AL517" s="181" t="s">
        <v>582</v>
      </c>
      <c r="AM517" s="176" t="s">
        <v>391</v>
      </c>
      <c r="AN517" s="875" t="str">
        <f>IFERROR(VLOOKUP(E517,'liquidaciones '!$B$2:$C$1048576,2,0),"NO")</f>
        <v>NO</v>
      </c>
      <c r="AO517" s="983" t="str">
        <f>IFERROR(VLOOKUP(E517,'liquidaciones '!$B$2:$I$1048576,8,0),"")</f>
        <v/>
      </c>
      <c r="AP517" s="438"/>
      <c r="AQ517" s="177" t="str">
        <f ca="1">IF((TODAY()-T517&lt;900),"SI","NO")</f>
        <v>SI</v>
      </c>
      <c r="AR517" s="438" t="s">
        <v>3074</v>
      </c>
      <c r="AS517" s="438"/>
      <c r="AT517" s="1018" t="s">
        <v>3836</v>
      </c>
    </row>
    <row r="518" spans="3:46" ht="45" x14ac:dyDescent="0.25">
      <c r="C518" s="896"/>
      <c r="D518" s="896"/>
      <c r="E518" s="897" t="s">
        <v>2931</v>
      </c>
      <c r="F518" s="446" t="s">
        <v>2932</v>
      </c>
      <c r="G518" s="937">
        <v>41690000</v>
      </c>
      <c r="H518" s="947" t="s">
        <v>2933</v>
      </c>
      <c r="I518" s="942">
        <v>38999997</v>
      </c>
      <c r="J518" s="902" t="s">
        <v>2931</v>
      </c>
      <c r="K518" s="298">
        <v>2017</v>
      </c>
      <c r="L518" s="551">
        <v>42857</v>
      </c>
      <c r="M518" s="899">
        <v>42858</v>
      </c>
      <c r="N518" s="899">
        <v>43134</v>
      </c>
      <c r="O518" s="127">
        <f>COUNTA(Modificaciones!I504,Modificaciones!K504,Modificaciones!M504,Modificaciones!O504)</f>
        <v>0</v>
      </c>
      <c r="P518" s="128">
        <f>VLOOKUP(E518,Modificaciones!$B$7:$Q$518,16,0)</f>
        <v>0</v>
      </c>
      <c r="Q518" s="129">
        <f>COUNTA(Modificaciones!S518,Modificaciones!U518,Modificaciones!W518,Modificaciones!Y518)</f>
        <v>0</v>
      </c>
      <c r="R518" s="130" t="str">
        <f>IF(Modificaciones!Z518=0,"",VLOOKUP(E518,Modificaciones!$B$7:$AA$500,25,0))</f>
        <v/>
      </c>
      <c r="S518" s="131" t="str">
        <f>IF(Modificaciones!AA518=0,"",VLOOKUP(E518,Modificaciones!$B$7:$AA$500,26,0))</f>
        <v/>
      </c>
      <c r="T518" s="884">
        <f t="shared" si="102"/>
        <v>43134</v>
      </c>
      <c r="U518" s="62">
        <f t="shared" si="92"/>
        <v>38999997</v>
      </c>
      <c r="V518" s="172">
        <f>VLOOKUP(E518,Modificaciones!$B$7:$AU$518,46,0)</f>
        <v>34377775</v>
      </c>
      <c r="W518" s="93">
        <f t="shared" si="101"/>
        <v>4622222</v>
      </c>
      <c r="X518" s="312" t="s">
        <v>1095</v>
      </c>
      <c r="Y518" s="881">
        <f t="shared" si="93"/>
        <v>0.88148147806267785</v>
      </c>
      <c r="Z518" s="42">
        <f t="shared" ca="1" si="94"/>
        <v>0.94202898550724634</v>
      </c>
      <c r="AA518" s="43">
        <f t="shared" ca="1" si="95"/>
        <v>6.0547507444568494E-2</v>
      </c>
      <c r="AB518" s="202">
        <f t="shared" ca="1" si="96"/>
        <v>16</v>
      </c>
      <c r="AC518" s="44" t="str">
        <f t="shared" si="100"/>
        <v>NO</v>
      </c>
      <c r="AD518" s="765" t="s">
        <v>2469</v>
      </c>
      <c r="AE518" s="173" t="s">
        <v>1257</v>
      </c>
      <c r="AF518" s="173" t="s">
        <v>2183</v>
      </c>
      <c r="AG518" s="173" t="s">
        <v>1440</v>
      </c>
      <c r="AH518" s="284" t="s">
        <v>560</v>
      </c>
      <c r="AI518" s="897"/>
      <c r="AJ518" s="308" t="s">
        <v>3837</v>
      </c>
      <c r="AK518" s="181" t="str">
        <f t="shared" ca="1" si="97"/>
        <v>EN EJECUCIÓN</v>
      </c>
      <c r="AL518" s="181" t="s">
        <v>582</v>
      </c>
      <c r="AM518" s="438" t="s">
        <v>391</v>
      </c>
      <c r="AN518" s="875" t="str">
        <f>IFERROR(VLOOKUP(E518,'liquidaciones '!$B$2:$C$1048576,2,0),"NO")</f>
        <v>NO</v>
      </c>
      <c r="AO518" s="983" t="str">
        <f>IFERROR(VLOOKUP(E518,'liquidaciones '!$B$2:$I$1048576,8,0),"")</f>
        <v/>
      </c>
      <c r="AP518" s="438"/>
      <c r="AQ518" s="438" t="s">
        <v>390</v>
      </c>
      <c r="AR518" s="177" t="s">
        <v>2996</v>
      </c>
      <c r="AS518" s="438"/>
      <c r="AT518" s="1018" t="s">
        <v>3758</v>
      </c>
    </row>
    <row r="519" spans="3:46" ht="45" customHeight="1" x14ac:dyDescent="0.25">
      <c r="C519" s="896">
        <v>144</v>
      </c>
      <c r="D519" s="896"/>
      <c r="E519" s="897" t="s">
        <v>2934</v>
      </c>
      <c r="F519" s="446" t="s">
        <v>2935</v>
      </c>
      <c r="G519" s="937">
        <v>1013625644</v>
      </c>
      <c r="H519" s="945" t="s">
        <v>2492</v>
      </c>
      <c r="I519" s="942">
        <v>22500000</v>
      </c>
      <c r="J519" s="902" t="s">
        <v>2934</v>
      </c>
      <c r="K519" s="298">
        <v>2017</v>
      </c>
      <c r="L519" s="551">
        <v>42853</v>
      </c>
      <c r="M519" s="894">
        <v>42863</v>
      </c>
      <c r="N519" s="894">
        <v>43139</v>
      </c>
      <c r="O519" s="127">
        <f>COUNTA(Modificaciones!I505,Modificaciones!K505,Modificaciones!M505,Modificaciones!O505)</f>
        <v>0</v>
      </c>
      <c r="P519" s="128">
        <f>VLOOKUP(E519,Modificaciones!$B$7:$Q$519,16,0)</f>
        <v>0</v>
      </c>
      <c r="Q519" s="129">
        <f>COUNTA(Modificaciones!S519,Modificaciones!U519,Modificaciones!W519,Modificaciones!Y519)</f>
        <v>0</v>
      </c>
      <c r="R519" s="130" t="str">
        <f>IF(Modificaciones!Z519=0,"",VLOOKUP(E519,Modificaciones!$B$7:$AA$500,25,0))</f>
        <v/>
      </c>
      <c r="S519" s="131" t="str">
        <f>IF(Modificaciones!AA519=0,"",VLOOKUP(E519,Modificaciones!$B$7:$AA$500,26,0))</f>
        <v/>
      </c>
      <c r="T519" s="884">
        <f t="shared" si="102"/>
        <v>43139</v>
      </c>
      <c r="U519" s="62">
        <f t="shared" ref="U519:U582" si="103">I519+P519</f>
        <v>22500000</v>
      </c>
      <c r="V519" s="172">
        <f>VLOOKUP(E519,Modificaciones!$B$7:$AU$519,46,0)</f>
        <v>19416667</v>
      </c>
      <c r="W519" s="93">
        <f t="shared" si="101"/>
        <v>3083333</v>
      </c>
      <c r="X519" s="312" t="s">
        <v>1095</v>
      </c>
      <c r="Y519" s="881">
        <f t="shared" ref="Y519:Y582" si="104">(V519*100%)/U519</f>
        <v>0.86296297777777775</v>
      </c>
      <c r="Z519" s="42">
        <f t="shared" ref="Z519:Z582" ca="1" si="105">IF((($F$3-M519)*100%/(T519-M519))&gt;100%,100%,(($F$3-M519)*100%/(T519-M519)))</f>
        <v>0.92391304347826086</v>
      </c>
      <c r="AA519" s="43">
        <f t="shared" ref="AA519:AA582" ca="1" si="106">Z519-Y519</f>
        <v>6.0950065700483114E-2</v>
      </c>
      <c r="AB519" s="202">
        <f t="shared" ref="AB519:AB582" ca="1" si="107">IF(Z519&lt;100%,T519-$F$3,"")</f>
        <v>21</v>
      </c>
      <c r="AC519" s="44" t="str">
        <f t="shared" si="100"/>
        <v>NO</v>
      </c>
      <c r="AD519" s="765" t="s">
        <v>1714</v>
      </c>
      <c r="AE519" s="173" t="s">
        <v>1257</v>
      </c>
      <c r="AF519" s="173" t="s">
        <v>2184</v>
      </c>
      <c r="AG519" s="173" t="s">
        <v>1178</v>
      </c>
      <c r="AH519" s="284" t="s">
        <v>559</v>
      </c>
      <c r="AI519" s="897"/>
      <c r="AJ519" s="308" t="s">
        <v>2850</v>
      </c>
      <c r="AK519" s="181" t="str">
        <f t="shared" ref="AK519:AK582" ca="1" si="108">IF(T519&gt;=$F$3,"EN EJECUCIÓN","TERMINO")</f>
        <v>EN EJECUCIÓN</v>
      </c>
      <c r="AL519" s="313" t="s">
        <v>582</v>
      </c>
      <c r="AM519" s="176" t="s">
        <v>391</v>
      </c>
      <c r="AN519" s="875" t="str">
        <f>IFERROR(VLOOKUP(E519,'liquidaciones '!$B$2:$C$1048576,2,0),"NO")</f>
        <v>NO</v>
      </c>
      <c r="AO519" s="983" t="str">
        <f>IFERROR(VLOOKUP(E519,'liquidaciones '!$B$2:$I$1048576,8,0),"")</f>
        <v/>
      </c>
      <c r="AP519" s="438"/>
      <c r="AQ519" s="177" t="s">
        <v>390</v>
      </c>
      <c r="AR519" s="438" t="s">
        <v>3074</v>
      </c>
      <c r="AS519" s="438"/>
      <c r="AT519" s="1018" t="s">
        <v>3754</v>
      </c>
    </row>
    <row r="520" spans="3:46" ht="45" x14ac:dyDescent="0.25">
      <c r="C520" s="896">
        <v>142</v>
      </c>
      <c r="D520" s="896"/>
      <c r="E520" s="897" t="s">
        <v>2937</v>
      </c>
      <c r="F520" s="446" t="s">
        <v>2938</v>
      </c>
      <c r="G520" s="937">
        <v>1018414979</v>
      </c>
      <c r="H520" s="947" t="s">
        <v>1546</v>
      </c>
      <c r="I520" s="942">
        <v>51300000</v>
      </c>
      <c r="J520" s="902" t="s">
        <v>2937</v>
      </c>
      <c r="K520" s="298">
        <v>2017</v>
      </c>
      <c r="L520" s="551">
        <v>42852</v>
      </c>
      <c r="M520" s="899">
        <v>42863</v>
      </c>
      <c r="N520" s="899">
        <v>43139</v>
      </c>
      <c r="O520" s="127">
        <f>COUNTA(Modificaciones!I506,Modificaciones!K506,Modificaciones!M506,Modificaciones!O506)</f>
        <v>0</v>
      </c>
      <c r="P520" s="128">
        <f>VLOOKUP(E520,Modificaciones!$B$7:$Q$520,16,0)</f>
        <v>0</v>
      </c>
      <c r="Q520" s="129">
        <f>COUNTA(Modificaciones!S520,Modificaciones!U520,Modificaciones!W520,Modificaciones!Y520)</f>
        <v>0</v>
      </c>
      <c r="R520" s="130" t="str">
        <f>IF(Modificaciones!Z520=0,"",VLOOKUP(E520,Modificaciones!$B$7:$AA$500,25,0))</f>
        <v/>
      </c>
      <c r="S520" s="131" t="str">
        <f>IF(Modificaciones!AA520=0,"",VLOOKUP(E520,Modificaciones!$B$7:$AA$500,26,0))</f>
        <v/>
      </c>
      <c r="T520" s="884">
        <f t="shared" si="102"/>
        <v>43139</v>
      </c>
      <c r="U520" s="62">
        <f t="shared" si="103"/>
        <v>51300000</v>
      </c>
      <c r="V520" s="172">
        <f>VLOOKUP(E520,Modificaciones!$B$7:$AU$520,46,0)</f>
        <v>44270000</v>
      </c>
      <c r="W520" s="93">
        <f t="shared" si="101"/>
        <v>7030000</v>
      </c>
      <c r="X520" s="312" t="s">
        <v>1095</v>
      </c>
      <c r="Y520" s="881">
        <f t="shared" si="104"/>
        <v>0.86296296296296293</v>
      </c>
      <c r="Z520" s="42">
        <f t="shared" ca="1" si="105"/>
        <v>0.92391304347826086</v>
      </c>
      <c r="AA520" s="43">
        <f t="shared" ca="1" si="106"/>
        <v>6.0950080515297933E-2</v>
      </c>
      <c r="AB520" s="202">
        <f t="shared" ca="1" si="107"/>
        <v>21</v>
      </c>
      <c r="AC520" s="44" t="str">
        <f t="shared" si="100"/>
        <v>NO</v>
      </c>
      <c r="AD520" s="765" t="s">
        <v>1714</v>
      </c>
      <c r="AE520" s="173" t="s">
        <v>1257</v>
      </c>
      <c r="AF520" s="173" t="s">
        <v>2175</v>
      </c>
      <c r="AG520" s="173" t="s">
        <v>1178</v>
      </c>
      <c r="AH520" s="284" t="s">
        <v>559</v>
      </c>
      <c r="AI520" s="308"/>
      <c r="AJ520" s="308" t="s">
        <v>2850</v>
      </c>
      <c r="AK520" s="181" t="str">
        <f t="shared" ca="1" si="108"/>
        <v>EN EJECUCIÓN</v>
      </c>
      <c r="AL520" s="313" t="s">
        <v>582</v>
      </c>
      <c r="AM520" s="176" t="s">
        <v>391</v>
      </c>
      <c r="AN520" s="875" t="str">
        <f>IFERROR(VLOOKUP(E520,'liquidaciones '!$B$2:$C$1048576,2,0),"NO")</f>
        <v>NO</v>
      </c>
      <c r="AO520" s="983" t="str">
        <f>IFERROR(VLOOKUP(E520,'liquidaciones '!$B$2:$I$1048576,8,0),"")</f>
        <v/>
      </c>
      <c r="AP520" s="438"/>
      <c r="AQ520" s="177" t="str">
        <f ca="1">IF((TODAY()-T520&lt;900),"SI","NO")</f>
        <v>SI</v>
      </c>
      <c r="AR520" s="438" t="s">
        <v>3074</v>
      </c>
      <c r="AS520" s="438"/>
      <c r="AT520" s="1018" t="s">
        <v>3754</v>
      </c>
    </row>
    <row r="521" spans="3:46" ht="45" x14ac:dyDescent="0.25">
      <c r="C521" s="896">
        <v>245</v>
      </c>
      <c r="D521" s="896"/>
      <c r="E521" s="897" t="s">
        <v>2940</v>
      </c>
      <c r="F521" s="446" t="s">
        <v>2941</v>
      </c>
      <c r="G521" s="937">
        <v>1030565608</v>
      </c>
      <c r="H521" s="945" t="s">
        <v>3057</v>
      </c>
      <c r="I521" s="942">
        <v>38140000</v>
      </c>
      <c r="J521" s="902" t="s">
        <v>2940</v>
      </c>
      <c r="K521" s="298">
        <v>2017</v>
      </c>
      <c r="L521" s="551">
        <v>42860</v>
      </c>
      <c r="M521" s="899">
        <v>42873</v>
      </c>
      <c r="N521" s="899">
        <v>43177</v>
      </c>
      <c r="O521" s="127">
        <f>COUNTA(Modificaciones!I507,Modificaciones!K507,Modificaciones!M507,Modificaciones!O507)</f>
        <v>0</v>
      </c>
      <c r="P521" s="128">
        <f>VLOOKUP(E521,Modificaciones!$B$7:$Q$521,16,0)</f>
        <v>0</v>
      </c>
      <c r="Q521" s="129">
        <f>COUNTA(Modificaciones!S521,Modificaciones!U521,Modificaciones!W521,Modificaciones!Y521)</f>
        <v>0</v>
      </c>
      <c r="R521" s="130" t="str">
        <f>IF(Modificaciones!Z521=0,"",VLOOKUP(E521,Modificaciones!$B$7:$AA$500,25,0))</f>
        <v/>
      </c>
      <c r="S521" s="131" t="str">
        <f>IF(Modificaciones!AA521=0,"",VLOOKUP(E521,Modificaciones!$B$7:$AA$500,26,0))</f>
        <v/>
      </c>
      <c r="T521" s="884">
        <f t="shared" si="102"/>
        <v>43177</v>
      </c>
      <c r="U521" s="62">
        <f t="shared" si="103"/>
        <v>38140000</v>
      </c>
      <c r="V521" s="172">
        <f>VLOOKUP(E521,Modificaciones!$B$7:$AU$521,46,0)</f>
        <v>28350733</v>
      </c>
      <c r="W521" s="93">
        <f t="shared" si="101"/>
        <v>9789267</v>
      </c>
      <c r="X521" s="312" t="s">
        <v>2621</v>
      </c>
      <c r="Y521" s="881">
        <f t="shared" si="104"/>
        <v>0.74333332459360246</v>
      </c>
      <c r="Z521" s="42">
        <f t="shared" ca="1" si="105"/>
        <v>0.80592105263157898</v>
      </c>
      <c r="AA521" s="43">
        <f t="shared" ca="1" si="106"/>
        <v>6.258772803797652E-2</v>
      </c>
      <c r="AB521" s="202">
        <f t="shared" ca="1" si="107"/>
        <v>59</v>
      </c>
      <c r="AC521" s="44" t="str">
        <f t="shared" si="100"/>
        <v>NO</v>
      </c>
      <c r="AD521" s="765" t="s">
        <v>1714</v>
      </c>
      <c r="AE521" s="173" t="s">
        <v>1258</v>
      </c>
      <c r="AF521" s="173" t="s">
        <v>2177</v>
      </c>
      <c r="AG521" s="173" t="s">
        <v>1178</v>
      </c>
      <c r="AH521" s="284" t="s">
        <v>559</v>
      </c>
      <c r="AI521" s="308"/>
      <c r="AJ521" s="308" t="s">
        <v>3835</v>
      </c>
      <c r="AK521" s="181" t="str">
        <f t="shared" ca="1" si="108"/>
        <v>EN EJECUCIÓN</v>
      </c>
      <c r="AL521" s="181" t="s">
        <v>582</v>
      </c>
      <c r="AM521" s="438" t="s">
        <v>391</v>
      </c>
      <c r="AN521" s="875" t="str">
        <f>IFERROR(VLOOKUP(E521,'liquidaciones '!$B$2:$C$1048576,2,0),"NO")</f>
        <v>NO</v>
      </c>
      <c r="AO521" s="983" t="str">
        <f>IFERROR(VLOOKUP(E521,'liquidaciones '!$B$2:$I$1048576,8,0),"")</f>
        <v/>
      </c>
      <c r="AP521" s="438"/>
      <c r="AQ521" s="177" t="s">
        <v>390</v>
      </c>
      <c r="AR521" s="177" t="s">
        <v>3817</v>
      </c>
      <c r="AS521" s="438"/>
      <c r="AT521" s="1018" t="s">
        <v>3836</v>
      </c>
    </row>
    <row r="522" spans="3:46" ht="33.75" x14ac:dyDescent="0.25">
      <c r="C522" s="896">
        <v>176</v>
      </c>
      <c r="D522" s="896"/>
      <c r="E522" s="897" t="s">
        <v>2943</v>
      </c>
      <c r="F522" s="446" t="s">
        <v>277</v>
      </c>
      <c r="G522" s="937" t="s">
        <v>2944</v>
      </c>
      <c r="H522" s="945" t="s">
        <v>2945</v>
      </c>
      <c r="I522" s="942">
        <v>50703000</v>
      </c>
      <c r="J522" s="902" t="s">
        <v>2946</v>
      </c>
      <c r="K522" s="298">
        <v>2017</v>
      </c>
      <c r="L522" s="551">
        <v>42846</v>
      </c>
      <c r="M522" s="899">
        <v>42874</v>
      </c>
      <c r="N522" s="899">
        <v>43239</v>
      </c>
      <c r="O522" s="127">
        <f>COUNTA(Modificaciones!I508,Modificaciones!K508,Modificaciones!M508,Modificaciones!O508)</f>
        <v>0</v>
      </c>
      <c r="P522" s="128">
        <f>VLOOKUP(E522,Modificaciones!$B$7:$Q$522,16,0)</f>
        <v>0</v>
      </c>
      <c r="Q522" s="129">
        <f>COUNTA(Modificaciones!S522,Modificaciones!U522,Modificaciones!W522,Modificaciones!Y522)</f>
        <v>0</v>
      </c>
      <c r="R522" s="130" t="str">
        <f>IF(Modificaciones!Z522=0,"",VLOOKUP(E522,Modificaciones!$B$7:$AA$500,25,0))</f>
        <v/>
      </c>
      <c r="S522" s="131" t="str">
        <f>IF(Modificaciones!AA522=0,"",VLOOKUP(E522,Modificaciones!$B$7:$AA$500,26,0))</f>
        <v/>
      </c>
      <c r="T522" s="884">
        <f t="shared" si="102"/>
        <v>43239</v>
      </c>
      <c r="U522" s="62">
        <f t="shared" si="103"/>
        <v>50703000</v>
      </c>
      <c r="V522" s="172">
        <f>VLOOKUP(E522,Modificaciones!$B$7:$AU$522,46,0)</f>
        <v>3889905</v>
      </c>
      <c r="W522" s="93">
        <f t="shared" si="101"/>
        <v>46813095</v>
      </c>
      <c r="X522" s="312" t="s">
        <v>1970</v>
      </c>
      <c r="Y522" s="881">
        <f t="shared" si="104"/>
        <v>7.6719424886101409E-2</v>
      </c>
      <c r="Z522" s="42">
        <f t="shared" ca="1" si="105"/>
        <v>0.66849315068493154</v>
      </c>
      <c r="AA522" s="43">
        <f t="shared" ca="1" si="106"/>
        <v>0.59177372579883014</v>
      </c>
      <c r="AB522" s="202">
        <f t="shared" ca="1" si="107"/>
        <v>121</v>
      </c>
      <c r="AC522" s="44" t="str">
        <f t="shared" si="100"/>
        <v>NO</v>
      </c>
      <c r="AD522" s="765" t="s">
        <v>1716</v>
      </c>
      <c r="AE522" s="173" t="s">
        <v>1257</v>
      </c>
      <c r="AF522" s="284" t="s">
        <v>1136</v>
      </c>
      <c r="AG522" s="173"/>
      <c r="AH522" s="284" t="s">
        <v>562</v>
      </c>
      <c r="AI522" s="308" t="s">
        <v>3824</v>
      </c>
      <c r="AJ522" s="308" t="s">
        <v>3837</v>
      </c>
      <c r="AK522" s="181" t="str">
        <f t="shared" ca="1" si="108"/>
        <v>EN EJECUCIÓN</v>
      </c>
      <c r="AL522" s="181" t="s">
        <v>576</v>
      </c>
      <c r="AM522" s="438" t="s">
        <v>390</v>
      </c>
      <c r="AN522" s="875" t="str">
        <f>IFERROR(VLOOKUP(E522,'liquidaciones '!$B$2:$C$1048576,2,0),"NO")</f>
        <v>NO</v>
      </c>
      <c r="AO522" s="983" t="str">
        <f>IFERROR(VLOOKUP(E522,'liquidaciones '!$B$2:$I$1048576,8,0),"")</f>
        <v/>
      </c>
      <c r="AP522" s="438"/>
      <c r="AQ522" s="438" t="s">
        <v>390</v>
      </c>
      <c r="AR522" s="177" t="s">
        <v>2996</v>
      </c>
      <c r="AS522" s="438" t="s">
        <v>3824</v>
      </c>
      <c r="AT522" s="1018" t="s">
        <v>3758</v>
      </c>
    </row>
    <row r="523" spans="3:46" ht="78.75" x14ac:dyDescent="0.25">
      <c r="C523" s="896">
        <v>201</v>
      </c>
      <c r="D523" s="896"/>
      <c r="E523" s="897" t="s">
        <v>2948</v>
      </c>
      <c r="F523" s="446" t="s">
        <v>2949</v>
      </c>
      <c r="G523" s="937" t="s">
        <v>2950</v>
      </c>
      <c r="H523" s="945" t="s">
        <v>3068</v>
      </c>
      <c r="I523" s="942">
        <v>119000000</v>
      </c>
      <c r="J523" s="902" t="s">
        <v>2947</v>
      </c>
      <c r="K523" s="298">
        <v>2017</v>
      </c>
      <c r="L523" s="551">
        <v>42863</v>
      </c>
      <c r="M523" s="899">
        <v>42872</v>
      </c>
      <c r="N523" s="899">
        <v>43176</v>
      </c>
      <c r="O523" s="127">
        <f>COUNTA(Modificaciones!I509,Modificaciones!K509,Modificaciones!M509,Modificaciones!O509)</f>
        <v>0</v>
      </c>
      <c r="P523" s="128">
        <f>VLOOKUP(E523,Modificaciones!$B$7:$Q$523,16,0)</f>
        <v>0</v>
      </c>
      <c r="Q523" s="129">
        <f>COUNTA(Modificaciones!S523,Modificaciones!U523,Modificaciones!W523,Modificaciones!Y523)</f>
        <v>0</v>
      </c>
      <c r="R523" s="130" t="str">
        <f>IF(Modificaciones!Z523=0,"",VLOOKUP(E523,Modificaciones!$B$7:$AA$500,25,0))</f>
        <v/>
      </c>
      <c r="S523" s="131" t="str">
        <f>IF(Modificaciones!AA523=0,"",VLOOKUP(E523,Modificaciones!$B$7:$AA$500,26,0))</f>
        <v/>
      </c>
      <c r="T523" s="884">
        <f t="shared" si="102"/>
        <v>43176</v>
      </c>
      <c r="U523" s="62">
        <f t="shared" si="103"/>
        <v>119000000</v>
      </c>
      <c r="V523" s="172">
        <f>VLOOKUP(E523,Modificaciones!$B$7:$AU$523,46,0)</f>
        <v>25518439</v>
      </c>
      <c r="W523" s="93">
        <f t="shared" si="101"/>
        <v>93481561</v>
      </c>
      <c r="X523" s="312" t="s">
        <v>2014</v>
      </c>
      <c r="Y523" s="881">
        <f t="shared" si="104"/>
        <v>0.21444066386554622</v>
      </c>
      <c r="Z523" s="42">
        <f t="shared" ca="1" si="105"/>
        <v>0.80921052631578949</v>
      </c>
      <c r="AA523" s="43">
        <f t="shared" ca="1" si="106"/>
        <v>0.59476986245024333</v>
      </c>
      <c r="AB523" s="202">
        <f t="shared" ca="1" si="107"/>
        <v>58</v>
      </c>
      <c r="AC523" s="44" t="str">
        <f t="shared" si="100"/>
        <v>NO</v>
      </c>
      <c r="AD523" s="765" t="s">
        <v>1713</v>
      </c>
      <c r="AE523" s="173" t="s">
        <v>1257</v>
      </c>
      <c r="AF523" s="284" t="s">
        <v>1302</v>
      </c>
      <c r="AG523" s="173" t="s">
        <v>1436</v>
      </c>
      <c r="AH523" s="284" t="s">
        <v>560</v>
      </c>
      <c r="AI523" s="174" t="s">
        <v>1387</v>
      </c>
      <c r="AJ523" s="308" t="s">
        <v>3835</v>
      </c>
      <c r="AK523" s="181" t="str">
        <f t="shared" ca="1" si="108"/>
        <v>EN EJECUCIÓN</v>
      </c>
      <c r="AL523" s="313" t="s">
        <v>574</v>
      </c>
      <c r="AM523" s="176" t="s">
        <v>390</v>
      </c>
      <c r="AN523" s="875" t="str">
        <f>IFERROR(VLOOKUP(E523,'liquidaciones '!$B$2:$C$1048576,2,0),"NO")</f>
        <v>NO</v>
      </c>
      <c r="AO523" s="983" t="str">
        <f>IFERROR(VLOOKUP(E523,'liquidaciones '!$B$2:$I$1048576,8,0),"")</f>
        <v/>
      </c>
      <c r="AP523" s="438"/>
      <c r="AQ523" s="177" t="s">
        <v>390</v>
      </c>
      <c r="AR523" s="438" t="s">
        <v>3074</v>
      </c>
      <c r="AS523" s="438" t="s">
        <v>1380</v>
      </c>
      <c r="AT523" s="1018" t="s">
        <v>3836</v>
      </c>
    </row>
    <row r="524" spans="3:46" ht="67.5" x14ac:dyDescent="0.25">
      <c r="C524" s="896"/>
      <c r="D524" s="896"/>
      <c r="E524" s="897" t="s">
        <v>2952</v>
      </c>
      <c r="F524" s="446" t="s">
        <v>2953</v>
      </c>
      <c r="G524" s="937">
        <v>1022375085</v>
      </c>
      <c r="H524" s="945" t="s">
        <v>2954</v>
      </c>
      <c r="I524" s="942">
        <v>38999997</v>
      </c>
      <c r="J524" s="902" t="s">
        <v>2952</v>
      </c>
      <c r="K524" s="298">
        <v>2017</v>
      </c>
      <c r="L524" s="551">
        <v>42871</v>
      </c>
      <c r="M524" s="899">
        <v>42872</v>
      </c>
      <c r="N524" s="899">
        <v>43148</v>
      </c>
      <c r="O524" s="127">
        <f>COUNTA(Modificaciones!I510,Modificaciones!K510,Modificaciones!M510,Modificaciones!O510)</f>
        <v>0</v>
      </c>
      <c r="P524" s="128">
        <f>VLOOKUP(E524,Modificaciones!$B$7:$Q$524,16,0)</f>
        <v>0</v>
      </c>
      <c r="Q524" s="129">
        <f>COUNTA(Modificaciones!S524,Modificaciones!U524,Modificaciones!W524,Modificaciones!Y524)</f>
        <v>0</v>
      </c>
      <c r="R524" s="130" t="str">
        <f>IF(Modificaciones!Z524=0,"",VLOOKUP(E524,Modificaciones!$B$7:$AA$500,25,0))</f>
        <v/>
      </c>
      <c r="S524" s="131" t="str">
        <f>IF(Modificaciones!AA524=0,"",VLOOKUP(E524,Modificaciones!$B$7:$AA$500,26,0))</f>
        <v/>
      </c>
      <c r="T524" s="884">
        <f t="shared" si="102"/>
        <v>43148</v>
      </c>
      <c r="U524" s="62">
        <f t="shared" si="103"/>
        <v>38999997</v>
      </c>
      <c r="V524" s="172">
        <f>VLOOKUP(E524,Modificaciones!$B$7:$AU$524,46,0)</f>
        <v>32355553</v>
      </c>
      <c r="W524" s="93">
        <f t="shared" si="101"/>
        <v>6644444</v>
      </c>
      <c r="X524" s="312" t="s">
        <v>1095</v>
      </c>
      <c r="Y524" s="881">
        <f t="shared" si="104"/>
        <v>0.82962962792022776</v>
      </c>
      <c r="Z524" s="42">
        <f t="shared" ca="1" si="105"/>
        <v>0.89130434782608692</v>
      </c>
      <c r="AA524" s="43">
        <f t="shared" ca="1" si="106"/>
        <v>6.1674719905859154E-2</v>
      </c>
      <c r="AB524" s="202">
        <f t="shared" ca="1" si="107"/>
        <v>30</v>
      </c>
      <c r="AC524" s="44" t="str">
        <f t="shared" si="100"/>
        <v>NO</v>
      </c>
      <c r="AD524" s="765" t="s">
        <v>1714</v>
      </c>
      <c r="AE524" s="173" t="s">
        <v>1257</v>
      </c>
      <c r="AF524" s="173" t="s">
        <v>2600</v>
      </c>
      <c r="AG524" s="173" t="s">
        <v>1178</v>
      </c>
      <c r="AH524" s="284" t="s">
        <v>559</v>
      </c>
      <c r="AI524" s="308"/>
      <c r="AJ524" s="308" t="s">
        <v>2850</v>
      </c>
      <c r="AK524" s="181" t="str">
        <f t="shared" ca="1" si="108"/>
        <v>EN EJECUCIÓN</v>
      </c>
      <c r="AL524" s="181" t="s">
        <v>582</v>
      </c>
      <c r="AM524" s="438" t="s">
        <v>391</v>
      </c>
      <c r="AN524" s="875" t="str">
        <f>IFERROR(VLOOKUP(E524,'liquidaciones '!$B$2:$C$1048576,2,0),"NO")</f>
        <v>NO</v>
      </c>
      <c r="AO524" s="983" t="str">
        <f>IFERROR(VLOOKUP(E524,'liquidaciones '!$B$2:$I$1048576,8,0),"")</f>
        <v/>
      </c>
      <c r="AP524" s="438"/>
      <c r="AQ524" s="177" t="s">
        <v>390</v>
      </c>
      <c r="AR524" s="438" t="s">
        <v>3074</v>
      </c>
      <c r="AS524" s="438"/>
      <c r="AT524" s="1018" t="s">
        <v>3754</v>
      </c>
    </row>
    <row r="525" spans="3:46" ht="33.75" x14ac:dyDescent="0.25">
      <c r="C525" s="896"/>
      <c r="D525" s="896"/>
      <c r="E525" s="897" t="s">
        <v>2955</v>
      </c>
      <c r="F525" s="446" t="s">
        <v>2956</v>
      </c>
      <c r="G525" s="937">
        <v>80880912</v>
      </c>
      <c r="H525" s="947" t="s">
        <v>2957</v>
      </c>
      <c r="I525" s="942">
        <v>16875000</v>
      </c>
      <c r="J525" s="902" t="s">
        <v>2955</v>
      </c>
      <c r="K525" s="298">
        <v>2017</v>
      </c>
      <c r="L525" s="551">
        <v>42870</v>
      </c>
      <c r="M525" s="899">
        <v>42874</v>
      </c>
      <c r="N525" s="899">
        <v>43150</v>
      </c>
      <c r="O525" s="127">
        <f>COUNTA(Modificaciones!I511,Modificaciones!K511,Modificaciones!M511,Modificaciones!O511)</f>
        <v>0</v>
      </c>
      <c r="P525" s="128">
        <f>VLOOKUP(E525,Modificaciones!$B$7:$Q$525,16,0)</f>
        <v>0</v>
      </c>
      <c r="Q525" s="129">
        <f>COUNTA(Modificaciones!S525,Modificaciones!U525,Modificaciones!W525,Modificaciones!Y525)</f>
        <v>0</v>
      </c>
      <c r="R525" s="130" t="str">
        <f>IF(Modificaciones!Z525=0,"",VLOOKUP(E525,Modificaciones!$B$7:$AA$500,25,0))</f>
        <v/>
      </c>
      <c r="S525" s="131" t="str">
        <f>IF(Modificaciones!AA525=0,"",VLOOKUP(E525,Modificaciones!$B$7:$AA$500,26,0))</f>
        <v/>
      </c>
      <c r="T525" s="884">
        <f t="shared" si="102"/>
        <v>43150</v>
      </c>
      <c r="U525" s="62">
        <f t="shared" si="103"/>
        <v>16875000</v>
      </c>
      <c r="V525" s="172">
        <f>VLOOKUP(E525,Modificaciones!$B$7:$AU$525,46,0)</f>
        <v>12000000</v>
      </c>
      <c r="W525" s="93">
        <f t="shared" si="101"/>
        <v>4875000</v>
      </c>
      <c r="X525" s="312" t="s">
        <v>1095</v>
      </c>
      <c r="Y525" s="881">
        <f t="shared" si="104"/>
        <v>0.71111111111111114</v>
      </c>
      <c r="Z525" s="42">
        <f t="shared" ca="1" si="105"/>
        <v>0.88405797101449279</v>
      </c>
      <c r="AA525" s="43">
        <f t="shared" ca="1" si="106"/>
        <v>0.17294685990338166</v>
      </c>
      <c r="AB525" s="202">
        <f t="shared" ca="1" si="107"/>
        <v>32</v>
      </c>
      <c r="AC525" s="44" t="str">
        <f t="shared" si="100"/>
        <v>NO</v>
      </c>
      <c r="AD525" s="765" t="s">
        <v>1714</v>
      </c>
      <c r="AE525" s="173" t="s">
        <v>1257</v>
      </c>
      <c r="AF525" s="930" t="s">
        <v>2958</v>
      </c>
      <c r="AG525" s="173" t="s">
        <v>1178</v>
      </c>
      <c r="AH525" s="284" t="s">
        <v>559</v>
      </c>
      <c r="AI525" s="897"/>
      <c r="AJ525" s="308" t="s">
        <v>2850</v>
      </c>
      <c r="AK525" s="181" t="str">
        <f t="shared" ca="1" si="108"/>
        <v>EN EJECUCIÓN</v>
      </c>
      <c r="AL525" s="181" t="s">
        <v>582</v>
      </c>
      <c r="AM525" s="438" t="s">
        <v>391</v>
      </c>
      <c r="AN525" s="875" t="str">
        <f>IFERROR(VLOOKUP(E525,'liquidaciones '!$B$2:$C$1048576,2,0),"NO")</f>
        <v>NO</v>
      </c>
      <c r="AO525" s="983" t="str">
        <f>IFERROR(VLOOKUP(E525,'liquidaciones '!$B$2:$I$1048576,8,0),"")</f>
        <v/>
      </c>
      <c r="AP525" s="438"/>
      <c r="AQ525" s="177" t="s">
        <v>390</v>
      </c>
      <c r="AR525" s="438" t="s">
        <v>3074</v>
      </c>
      <c r="AS525" s="438"/>
      <c r="AT525" s="1018" t="s">
        <v>3754</v>
      </c>
    </row>
    <row r="526" spans="3:46" ht="33.75" x14ac:dyDescent="0.25">
      <c r="C526" s="896">
        <v>149</v>
      </c>
      <c r="D526" s="896"/>
      <c r="E526" s="897" t="s">
        <v>2959</v>
      </c>
      <c r="F526" s="446" t="s">
        <v>2960</v>
      </c>
      <c r="G526" s="937">
        <v>52144330</v>
      </c>
      <c r="H526" s="947" t="s">
        <v>3069</v>
      </c>
      <c r="I526" s="942">
        <v>51300000</v>
      </c>
      <c r="J526" s="902" t="s">
        <v>2959</v>
      </c>
      <c r="K526" s="298">
        <v>2017</v>
      </c>
      <c r="L526" s="551">
        <v>42871</v>
      </c>
      <c r="M526" s="899">
        <v>42873</v>
      </c>
      <c r="N526" s="899">
        <v>43149</v>
      </c>
      <c r="O526" s="127">
        <f>COUNTA(Modificaciones!I512,Modificaciones!K512,Modificaciones!M512,Modificaciones!O512)</f>
        <v>0</v>
      </c>
      <c r="P526" s="128">
        <f>VLOOKUP(E526,Modificaciones!$B$7:$Q$526,16,0)</f>
        <v>0</v>
      </c>
      <c r="Q526" s="129">
        <f>COUNTA(Modificaciones!S526,Modificaciones!U526,Modificaciones!W526,Modificaciones!Y526)</f>
        <v>0</v>
      </c>
      <c r="R526" s="130" t="str">
        <f>IF(Modificaciones!Z526=0,"",VLOOKUP(E526,Modificaciones!$B$7:$AA$500,25,0))</f>
        <v/>
      </c>
      <c r="S526" s="131" t="str">
        <f>IF(Modificaciones!AA526=0,"",VLOOKUP(E526,Modificaciones!$B$7:$AA$500,26,0))</f>
        <v/>
      </c>
      <c r="T526" s="884">
        <f t="shared" si="102"/>
        <v>43149</v>
      </c>
      <c r="U526" s="62">
        <f t="shared" si="103"/>
        <v>51300000</v>
      </c>
      <c r="V526" s="172">
        <f>VLOOKUP(E526,Modificaciones!$B$7:$AU$526,46,0)</f>
        <v>42370000</v>
      </c>
      <c r="W526" s="93">
        <f t="shared" si="101"/>
        <v>8930000</v>
      </c>
      <c r="X526" s="312" t="s">
        <v>1095</v>
      </c>
      <c r="Y526" s="881">
        <f t="shared" si="104"/>
        <v>0.82592592592592595</v>
      </c>
      <c r="Z526" s="42">
        <f t="shared" ca="1" si="105"/>
        <v>0.8876811594202898</v>
      </c>
      <c r="AA526" s="43">
        <f t="shared" ca="1" si="106"/>
        <v>6.1755233494363848E-2</v>
      </c>
      <c r="AB526" s="202">
        <f t="shared" ca="1" si="107"/>
        <v>31</v>
      </c>
      <c r="AC526" s="44" t="str">
        <f t="shared" si="100"/>
        <v>NO</v>
      </c>
      <c r="AD526" s="765" t="s">
        <v>1714</v>
      </c>
      <c r="AE526" s="173" t="s">
        <v>1257</v>
      </c>
      <c r="AF526" s="173" t="s">
        <v>2501</v>
      </c>
      <c r="AG526" s="173" t="s">
        <v>2508</v>
      </c>
      <c r="AH526" s="284" t="s">
        <v>565</v>
      </c>
      <c r="AI526" s="308"/>
      <c r="AJ526" s="308" t="s">
        <v>2850</v>
      </c>
      <c r="AK526" s="181" t="str">
        <f t="shared" ca="1" si="108"/>
        <v>EN EJECUCIÓN</v>
      </c>
      <c r="AL526" s="313" t="s">
        <v>582</v>
      </c>
      <c r="AM526" s="176" t="s">
        <v>391</v>
      </c>
      <c r="AN526" s="875" t="str">
        <f>IFERROR(VLOOKUP(E526,'liquidaciones '!$B$2:$C$1048576,2,0),"NO")</f>
        <v>NO</v>
      </c>
      <c r="AO526" s="983" t="str">
        <f>IFERROR(VLOOKUP(E526,'liquidaciones '!$B$2:$I$1048576,8,0),"")</f>
        <v/>
      </c>
      <c r="AP526" s="438"/>
      <c r="AQ526" s="177" t="s">
        <v>390</v>
      </c>
      <c r="AR526" s="438" t="s">
        <v>3074</v>
      </c>
      <c r="AS526" s="438"/>
      <c r="AT526" s="1018" t="s">
        <v>3754</v>
      </c>
    </row>
    <row r="527" spans="3:46" ht="45" x14ac:dyDescent="0.25">
      <c r="C527" s="896">
        <v>163</v>
      </c>
      <c r="D527" s="896"/>
      <c r="E527" s="897" t="s">
        <v>2961</v>
      </c>
      <c r="F527" s="446" t="s">
        <v>2962</v>
      </c>
      <c r="G527" s="937">
        <v>1126599090</v>
      </c>
      <c r="H527" s="947" t="s">
        <v>2963</v>
      </c>
      <c r="I527" s="942">
        <v>13500000</v>
      </c>
      <c r="J527" s="902" t="s">
        <v>2961</v>
      </c>
      <c r="K527" s="298">
        <v>2017</v>
      </c>
      <c r="L527" s="551">
        <v>42872</v>
      </c>
      <c r="M527" s="899">
        <v>42887</v>
      </c>
      <c r="N527" s="899">
        <v>43160</v>
      </c>
      <c r="O527" s="127">
        <f>COUNTA(Modificaciones!I513,Modificaciones!K513,Modificaciones!M513,Modificaciones!O513)</f>
        <v>0</v>
      </c>
      <c r="P527" s="128">
        <f>VLOOKUP(E527,Modificaciones!$B$7:$Q$527,16,0)</f>
        <v>0</v>
      </c>
      <c r="Q527" s="129">
        <f>COUNTA(Modificaciones!S527,Modificaciones!U527,Modificaciones!W527,Modificaciones!Y527)</f>
        <v>0</v>
      </c>
      <c r="R527" s="130" t="str">
        <f>IF(Modificaciones!Z527=0,"",VLOOKUP(E527,Modificaciones!$B$7:$AA$500,25,0))</f>
        <v/>
      </c>
      <c r="S527" s="131" t="str">
        <f>IF(Modificaciones!AA527=0,"",VLOOKUP(E527,Modificaciones!$B$7:$AA$500,26,0))</f>
        <v/>
      </c>
      <c r="T527" s="884">
        <f t="shared" si="102"/>
        <v>43160</v>
      </c>
      <c r="U527" s="62">
        <f t="shared" si="103"/>
        <v>13500000</v>
      </c>
      <c r="V527" s="172">
        <f>VLOOKUP(E527,Modificaciones!$B$7:$AU$527,46,0)</f>
        <v>9000000</v>
      </c>
      <c r="W527" s="93">
        <f t="shared" si="101"/>
        <v>4500000</v>
      </c>
      <c r="X527" s="312" t="s">
        <v>2621</v>
      </c>
      <c r="Y527" s="881">
        <f t="shared" si="104"/>
        <v>0.66666666666666663</v>
      </c>
      <c r="Z527" s="42">
        <f t="shared" ca="1" si="105"/>
        <v>0.84615384615384615</v>
      </c>
      <c r="AA527" s="43">
        <f t="shared" ca="1" si="106"/>
        <v>0.17948717948717952</v>
      </c>
      <c r="AB527" s="202">
        <f t="shared" ca="1" si="107"/>
        <v>42</v>
      </c>
      <c r="AC527" s="44" t="str">
        <f t="shared" si="100"/>
        <v>NO</v>
      </c>
      <c r="AD527" s="765" t="s">
        <v>1714</v>
      </c>
      <c r="AE527" s="173" t="s">
        <v>1257</v>
      </c>
      <c r="AF527" s="284" t="s">
        <v>2649</v>
      </c>
      <c r="AG527" s="173" t="s">
        <v>1178</v>
      </c>
      <c r="AH527" s="284" t="s">
        <v>559</v>
      </c>
      <c r="AI527" s="308"/>
      <c r="AJ527" s="308" t="s">
        <v>2850</v>
      </c>
      <c r="AK527" s="181" t="str">
        <f t="shared" ca="1" si="108"/>
        <v>EN EJECUCIÓN</v>
      </c>
      <c r="AL527" s="181" t="s">
        <v>582</v>
      </c>
      <c r="AM527" s="176" t="s">
        <v>391</v>
      </c>
      <c r="AN527" s="875" t="str">
        <f>IFERROR(VLOOKUP(E527,'liquidaciones '!$B$2:$C$1048576,2,0),"NO")</f>
        <v>NO</v>
      </c>
      <c r="AO527" s="983" t="str">
        <f>IFERROR(VLOOKUP(E527,'liquidaciones '!$B$2:$I$1048576,8,0),"")</f>
        <v/>
      </c>
      <c r="AP527" s="438"/>
      <c r="AQ527" s="177" t="s">
        <v>390</v>
      </c>
      <c r="AR527" s="438" t="s">
        <v>3074</v>
      </c>
      <c r="AS527" s="438"/>
      <c r="AT527" s="1018" t="s">
        <v>3754</v>
      </c>
    </row>
    <row r="528" spans="3:46" ht="45" x14ac:dyDescent="0.25">
      <c r="C528" s="896">
        <v>147</v>
      </c>
      <c r="D528" s="896"/>
      <c r="E528" s="897" t="s">
        <v>2964</v>
      </c>
      <c r="F528" s="446" t="s">
        <v>2965</v>
      </c>
      <c r="G528" s="937">
        <v>79436393</v>
      </c>
      <c r="H528" s="947" t="s">
        <v>2847</v>
      </c>
      <c r="I528" s="942">
        <v>34326000</v>
      </c>
      <c r="J528" s="902" t="s">
        <v>2964</v>
      </c>
      <c r="K528" s="298">
        <v>2017</v>
      </c>
      <c r="L528" s="551">
        <v>42873</v>
      </c>
      <c r="M528" s="931">
        <v>42878</v>
      </c>
      <c r="N528" s="931">
        <v>43154</v>
      </c>
      <c r="O528" s="127">
        <f>COUNTA(Modificaciones!I514,Modificaciones!K514,Modificaciones!M514,Modificaciones!O514)</f>
        <v>0</v>
      </c>
      <c r="P528" s="128">
        <f>VLOOKUP(E528,Modificaciones!$B$7:$Q$528,16,0)</f>
        <v>0</v>
      </c>
      <c r="Q528" s="129">
        <f>COUNTA(Modificaciones!S528,Modificaciones!U528,Modificaciones!W528,Modificaciones!Y528)</f>
        <v>0</v>
      </c>
      <c r="R528" s="130" t="str">
        <f>IF(Modificaciones!Z528=0,"",VLOOKUP(E528,Modificaciones!$B$7:$AA$500,25,0))</f>
        <v/>
      </c>
      <c r="S528" s="131" t="str">
        <f>IF(Modificaciones!AA528=0,"",VLOOKUP(E528,Modificaciones!$B$7:$AA$500,26,0))</f>
        <v/>
      </c>
      <c r="T528" s="884">
        <f t="shared" si="102"/>
        <v>43154</v>
      </c>
      <c r="U528" s="62">
        <f t="shared" si="103"/>
        <v>34326000</v>
      </c>
      <c r="V528" s="172">
        <f>VLOOKUP(E528,Modificaciones!$B$7:$AU$528,46,0)</f>
        <v>27715067</v>
      </c>
      <c r="W528" s="93">
        <f t="shared" si="101"/>
        <v>6610933</v>
      </c>
      <c r="X528" s="312" t="s">
        <v>1095</v>
      </c>
      <c r="Y528" s="881">
        <f t="shared" si="104"/>
        <v>0.80740741711821939</v>
      </c>
      <c r="Z528" s="42">
        <f t="shared" ca="1" si="105"/>
        <v>0.86956521739130432</v>
      </c>
      <c r="AA528" s="43">
        <f t="shared" ca="1" si="106"/>
        <v>6.2157800273084929E-2</v>
      </c>
      <c r="AB528" s="202">
        <f t="shared" ca="1" si="107"/>
        <v>36</v>
      </c>
      <c r="AC528" s="44" t="str">
        <f t="shared" si="100"/>
        <v>NO</v>
      </c>
      <c r="AD528" s="765" t="s">
        <v>1714</v>
      </c>
      <c r="AE528" s="173" t="s">
        <v>1257</v>
      </c>
      <c r="AF528" s="284" t="s">
        <v>2063</v>
      </c>
      <c r="AG528" s="173" t="s">
        <v>1438</v>
      </c>
      <c r="AH528" s="284" t="s">
        <v>561</v>
      </c>
      <c r="AI528" s="308"/>
      <c r="AJ528" s="308" t="s">
        <v>3837</v>
      </c>
      <c r="AK528" s="181" t="str">
        <f t="shared" ca="1" si="108"/>
        <v>EN EJECUCIÓN</v>
      </c>
      <c r="AL528" s="313" t="s">
        <v>582</v>
      </c>
      <c r="AM528" s="438" t="s">
        <v>391</v>
      </c>
      <c r="AN528" s="875" t="str">
        <f>IFERROR(VLOOKUP(E528,'liquidaciones '!$B$2:$C$1048576,2,0),"NO")</f>
        <v>NO</v>
      </c>
      <c r="AO528" s="983" t="str">
        <f>IFERROR(VLOOKUP(E528,'liquidaciones '!$B$2:$I$1048576,8,0),"")</f>
        <v/>
      </c>
      <c r="AP528" s="438"/>
      <c r="AQ528" s="177" t="s">
        <v>390</v>
      </c>
      <c r="AR528" s="438" t="s">
        <v>1511</v>
      </c>
      <c r="AS528" s="438"/>
      <c r="AT528" s="1018" t="s">
        <v>3757</v>
      </c>
    </row>
    <row r="529" spans="3:46" ht="112.5" x14ac:dyDescent="0.25">
      <c r="C529" s="896">
        <v>82</v>
      </c>
      <c r="D529" s="896"/>
      <c r="E529" s="897" t="s">
        <v>2966</v>
      </c>
      <c r="F529" s="446" t="s">
        <v>22</v>
      </c>
      <c r="G529" s="937">
        <v>830112518</v>
      </c>
      <c r="H529" s="947" t="s">
        <v>2967</v>
      </c>
      <c r="I529" s="942">
        <v>49980000</v>
      </c>
      <c r="J529" s="902" t="s">
        <v>2966</v>
      </c>
      <c r="K529" s="298">
        <v>2017</v>
      </c>
      <c r="L529" s="551">
        <v>42871</v>
      </c>
      <c r="M529" s="899">
        <v>42874</v>
      </c>
      <c r="N529" s="899">
        <v>43239</v>
      </c>
      <c r="O529" s="127">
        <f>COUNTA(Modificaciones!I515,Modificaciones!K515,Modificaciones!M515,Modificaciones!O515)</f>
        <v>0</v>
      </c>
      <c r="P529" s="128">
        <f>VLOOKUP(E529,Modificaciones!$B$7:$Q$529,16,0)</f>
        <v>0</v>
      </c>
      <c r="Q529" s="129">
        <f>COUNTA(Modificaciones!S529,Modificaciones!U529,Modificaciones!W529,Modificaciones!Y529)</f>
        <v>0</v>
      </c>
      <c r="R529" s="130" t="str">
        <f>IF(Modificaciones!Z529=0,"",VLOOKUP(E529,Modificaciones!$B$7:$AA$500,25,0))</f>
        <v/>
      </c>
      <c r="S529" s="131" t="str">
        <f>IF(Modificaciones!AA529=0,"",VLOOKUP(E529,Modificaciones!$B$7:$AA$500,26,0))</f>
        <v/>
      </c>
      <c r="T529" s="884">
        <f t="shared" si="102"/>
        <v>43239</v>
      </c>
      <c r="U529" s="62">
        <f t="shared" si="103"/>
        <v>49980000</v>
      </c>
      <c r="V529" s="172">
        <f>VLOOKUP(E529,Modificaciones!$B$7:$AU$529,46,0)</f>
        <v>32130000</v>
      </c>
      <c r="W529" s="93">
        <f t="shared" si="101"/>
        <v>17850000</v>
      </c>
      <c r="X529" s="318" t="s">
        <v>2968</v>
      </c>
      <c r="Y529" s="881">
        <f t="shared" si="104"/>
        <v>0.6428571428571429</v>
      </c>
      <c r="Z529" s="42">
        <f t="shared" ca="1" si="105"/>
        <v>0.66849315068493154</v>
      </c>
      <c r="AA529" s="43">
        <f t="shared" ca="1" si="106"/>
        <v>2.5636007827788632E-2</v>
      </c>
      <c r="AB529" s="202">
        <f t="shared" ca="1" si="107"/>
        <v>121</v>
      </c>
      <c r="AC529" s="44" t="str">
        <f t="shared" si="100"/>
        <v>NO</v>
      </c>
      <c r="AD529" s="897"/>
      <c r="AE529" s="173" t="s">
        <v>1258</v>
      </c>
      <c r="AF529" s="173" t="s">
        <v>1175</v>
      </c>
      <c r="AG529" s="173" t="s">
        <v>1440</v>
      </c>
      <c r="AH529" s="284" t="s">
        <v>560</v>
      </c>
      <c r="AI529" s="174" t="s">
        <v>1510</v>
      </c>
      <c r="AJ529" s="308" t="s">
        <v>3835</v>
      </c>
      <c r="AK529" s="181" t="str">
        <f t="shared" ca="1" si="108"/>
        <v>EN EJECUCIÓN</v>
      </c>
      <c r="AL529" s="181" t="s">
        <v>582</v>
      </c>
      <c r="AM529" s="176" t="s">
        <v>390</v>
      </c>
      <c r="AN529" s="875" t="str">
        <f>IFERROR(VLOOKUP(E529,'liquidaciones '!$B$2:$C$1048576,2,0),"NO")</f>
        <v>NO</v>
      </c>
      <c r="AO529" s="983" t="str">
        <f>IFERROR(VLOOKUP(E529,'liquidaciones '!$B$2:$I$1048576,8,0),"")</f>
        <v/>
      </c>
      <c r="AP529" s="438"/>
      <c r="AQ529" s="177" t="s">
        <v>390</v>
      </c>
      <c r="AR529" s="438" t="s">
        <v>3541</v>
      </c>
      <c r="AS529" s="438" t="s">
        <v>3818</v>
      </c>
      <c r="AT529" s="1018" t="s">
        <v>3836</v>
      </c>
    </row>
    <row r="530" spans="3:46" ht="33.75" x14ac:dyDescent="0.25">
      <c r="C530" s="896">
        <v>185</v>
      </c>
      <c r="D530" s="896"/>
      <c r="E530" s="897" t="s">
        <v>2969</v>
      </c>
      <c r="F530" s="446" t="s">
        <v>2606</v>
      </c>
      <c r="G530" s="937">
        <v>900462717</v>
      </c>
      <c r="H530" s="947" t="s">
        <v>2970</v>
      </c>
      <c r="I530" s="942">
        <v>1802850</v>
      </c>
      <c r="J530" s="902" t="s">
        <v>2971</v>
      </c>
      <c r="K530" s="298">
        <v>2017</v>
      </c>
      <c r="L530" s="551">
        <v>42877</v>
      </c>
      <c r="M530" s="899">
        <v>42887</v>
      </c>
      <c r="N530" s="899">
        <v>43191</v>
      </c>
      <c r="O530" s="127">
        <f>COUNTA(Modificaciones!I516,Modificaciones!K516,Modificaciones!M516,Modificaciones!O516)</f>
        <v>0</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4">
        <f t="shared" si="102"/>
        <v>43191</v>
      </c>
      <c r="U530" s="62">
        <f t="shared" si="103"/>
        <v>1802850</v>
      </c>
      <c r="V530" s="172">
        <f>VLOOKUP(E530,Modificaciones!$B$7:$AU$530,46,0)</f>
        <v>0</v>
      </c>
      <c r="W530" s="93">
        <f t="shared" si="101"/>
        <v>1802850</v>
      </c>
      <c r="X530" s="312" t="s">
        <v>1632</v>
      </c>
      <c r="Y530" s="881">
        <f t="shared" si="104"/>
        <v>0</v>
      </c>
      <c r="Z530" s="42">
        <f t="shared" ca="1" si="105"/>
        <v>0.75986842105263153</v>
      </c>
      <c r="AA530" s="43">
        <f t="shared" ca="1" si="106"/>
        <v>0.75986842105263153</v>
      </c>
      <c r="AB530" s="202">
        <f t="shared" ca="1" si="107"/>
        <v>73</v>
      </c>
      <c r="AC530" s="44" t="str">
        <f t="shared" ref="AC530:AC561" si="109">IF(Y530&lt;=99.9%,"NO","SI")</f>
        <v>NO</v>
      </c>
      <c r="AD530" s="897"/>
      <c r="AE530" s="173" t="s">
        <v>1257</v>
      </c>
      <c r="AF530" s="284" t="s">
        <v>1283</v>
      </c>
      <c r="AG530" s="173"/>
      <c r="AH530" s="284" t="s">
        <v>560</v>
      </c>
      <c r="AI530" s="308" t="s">
        <v>1381</v>
      </c>
      <c r="AJ530" s="308" t="s">
        <v>3837</v>
      </c>
      <c r="AK530" s="181" t="str">
        <f t="shared" ca="1" si="108"/>
        <v>EN EJECUCIÓN</v>
      </c>
      <c r="AL530" s="313" t="s">
        <v>576</v>
      </c>
      <c r="AM530" s="438" t="s">
        <v>390</v>
      </c>
      <c r="AN530" s="875" t="str">
        <f>IFERROR(VLOOKUP(E530,'liquidaciones '!$B$2:$C$1048576,2,0),"NO")</f>
        <v>NO</v>
      </c>
      <c r="AO530" s="983" t="str">
        <f>IFERROR(VLOOKUP(E530,'liquidaciones '!$B$2:$I$1048576,8,0),"")</f>
        <v/>
      </c>
      <c r="AP530" s="438"/>
      <c r="AQ530" s="438" t="s">
        <v>390</v>
      </c>
      <c r="AR530" s="177" t="s">
        <v>2982</v>
      </c>
      <c r="AS530" s="438" t="s">
        <v>2767</v>
      </c>
      <c r="AT530" s="1018" t="s">
        <v>3758</v>
      </c>
    </row>
    <row r="531" spans="3:46" ht="45" x14ac:dyDescent="0.25">
      <c r="C531" s="896">
        <v>75</v>
      </c>
      <c r="D531" s="896"/>
      <c r="E531" s="897" t="s">
        <v>2974</v>
      </c>
      <c r="F531" s="446" t="s">
        <v>2100</v>
      </c>
      <c r="G531" s="937">
        <v>830099766</v>
      </c>
      <c r="H531" s="947" t="s">
        <v>2651</v>
      </c>
      <c r="I531" s="942">
        <v>63846922</v>
      </c>
      <c r="J531" s="902" t="s">
        <v>2974</v>
      </c>
      <c r="K531" s="298">
        <v>2017</v>
      </c>
      <c r="L531" s="551">
        <v>42887</v>
      </c>
      <c r="M531" s="899">
        <v>42898</v>
      </c>
      <c r="N531" s="899">
        <v>43202</v>
      </c>
      <c r="O531" s="127">
        <f>COUNTA(Modificaciones!I517,Modificaciones!K517,Modificaciones!M517,Modificaciones!O517)</f>
        <v>0</v>
      </c>
      <c r="P531" s="128">
        <f>VLOOKUP(E531,Modificaciones!$B$7:$Q$531,16,0)</f>
        <v>0</v>
      </c>
      <c r="Q531" s="129">
        <f>COUNTA(Modificaciones!S531,Modificaciones!U531,Modificaciones!W531,Modificaciones!Y531)</f>
        <v>0</v>
      </c>
      <c r="R531" s="130" t="str">
        <f>IF(Modificaciones!Z531=0,"",VLOOKUP(E531,Modificaciones!$B$7:$AA$500,25,0))</f>
        <v/>
      </c>
      <c r="S531" s="131" t="str">
        <f>IF(Modificaciones!AA531=0,"",VLOOKUP(E531,Modificaciones!$B$7:$AA$500,26,0))</f>
        <v/>
      </c>
      <c r="T531" s="884">
        <f t="shared" si="102"/>
        <v>43202</v>
      </c>
      <c r="U531" s="62">
        <f t="shared" si="103"/>
        <v>63846922</v>
      </c>
      <c r="V531" s="172">
        <f>VLOOKUP(E531,Modificaciones!$B$7:$AU$531,46,0)</f>
        <v>49777486</v>
      </c>
      <c r="W531" s="93">
        <f t="shared" si="101"/>
        <v>14069436</v>
      </c>
      <c r="X531" s="316" t="s">
        <v>2975</v>
      </c>
      <c r="Y531" s="881">
        <f t="shared" si="104"/>
        <v>0.77963799100605036</v>
      </c>
      <c r="Z531" s="42">
        <f t="shared" ca="1" si="105"/>
        <v>0.72368421052631582</v>
      </c>
      <c r="AA531" s="43">
        <f t="shared" ca="1" si="106"/>
        <v>-5.5953780479734538E-2</v>
      </c>
      <c r="AB531" s="202">
        <f t="shared" ca="1" si="107"/>
        <v>84</v>
      </c>
      <c r="AC531" s="44" t="str">
        <f t="shared" si="109"/>
        <v>NO</v>
      </c>
      <c r="AD531" s="765" t="s">
        <v>1713</v>
      </c>
      <c r="AE531" s="173" t="s">
        <v>1258</v>
      </c>
      <c r="AF531" s="284" t="s">
        <v>2103</v>
      </c>
      <c r="AG531" s="173" t="s">
        <v>1440</v>
      </c>
      <c r="AH531" s="284" t="s">
        <v>560</v>
      </c>
      <c r="AI531" s="308" t="s">
        <v>1510</v>
      </c>
      <c r="AJ531" s="308" t="s">
        <v>3835</v>
      </c>
      <c r="AK531" s="181" t="str">
        <f t="shared" ca="1" si="108"/>
        <v>EN EJECUCIÓN</v>
      </c>
      <c r="AL531" s="313" t="s">
        <v>582</v>
      </c>
      <c r="AM531" s="176" t="s">
        <v>390</v>
      </c>
      <c r="AN531" s="875" t="str">
        <f>IFERROR(VLOOKUP(E531,'liquidaciones '!$B$2:$C$1048576,2,0),"NO")</f>
        <v>NO</v>
      </c>
      <c r="AO531" s="983" t="str">
        <f>IFERROR(VLOOKUP(E531,'liquidaciones '!$B$2:$I$1048576,8,0),"")</f>
        <v/>
      </c>
      <c r="AP531" s="438"/>
      <c r="AQ531" s="438" t="s">
        <v>390</v>
      </c>
      <c r="AR531" s="438" t="s">
        <v>3541</v>
      </c>
      <c r="AS531" s="438" t="s">
        <v>3818</v>
      </c>
      <c r="AT531" s="1018" t="s">
        <v>3836</v>
      </c>
    </row>
    <row r="532" spans="3:46" ht="45" x14ac:dyDescent="0.25">
      <c r="C532" s="896">
        <v>211</v>
      </c>
      <c r="D532" s="896"/>
      <c r="E532" s="897" t="s">
        <v>2976</v>
      </c>
      <c r="F532" s="446" t="s">
        <v>2977</v>
      </c>
      <c r="G532" s="937">
        <v>900170405</v>
      </c>
      <c r="H532" s="947" t="s">
        <v>2978</v>
      </c>
      <c r="I532" s="942">
        <v>56122000</v>
      </c>
      <c r="J532" s="902" t="s">
        <v>2979</v>
      </c>
      <c r="K532" s="298">
        <v>2017</v>
      </c>
      <c r="L532" s="551">
        <v>42888</v>
      </c>
      <c r="M532" s="899">
        <v>42898</v>
      </c>
      <c r="N532" s="899">
        <v>43263</v>
      </c>
      <c r="O532" s="127">
        <f>COUNTA(Modificaciones!I518,Modificaciones!K518,Modificaciones!M518,Modificaciones!O518)</f>
        <v>0</v>
      </c>
      <c r="P532" s="128">
        <f>VLOOKUP(E532,Modificaciones!$B$7:$Q$900,16,0)</f>
        <v>0</v>
      </c>
      <c r="Q532" s="129">
        <f>COUNTA(Modificaciones!S532,Modificaciones!U532,Modificaciones!W532,Modificaciones!Y532)</f>
        <v>0</v>
      </c>
      <c r="R532" s="130" t="str">
        <f>IF(Modificaciones!Z532=0,"",VLOOKUP(E532,Modificaciones!$B$7:$AA$500,25,0))</f>
        <v/>
      </c>
      <c r="S532" s="131" t="str">
        <f>IF(Modificaciones!AA532=0,"",VLOOKUP(E532,Modificaciones!$B$7:$AA$500,26,0))</f>
        <v/>
      </c>
      <c r="T532" s="884">
        <f t="shared" si="102"/>
        <v>43263</v>
      </c>
      <c r="U532" s="62">
        <f t="shared" si="103"/>
        <v>56122000</v>
      </c>
      <c r="V532" s="172">
        <f>VLOOKUP(E532,Modificaciones!$B$7:$AU$900,46,0)</f>
        <v>19654500</v>
      </c>
      <c r="W532" s="93">
        <f t="shared" si="101"/>
        <v>36467500</v>
      </c>
      <c r="X532" s="318" t="s">
        <v>2529</v>
      </c>
      <c r="Y532" s="881">
        <f t="shared" si="104"/>
        <v>0.35021025622750435</v>
      </c>
      <c r="Z532" s="42">
        <f t="shared" ca="1" si="105"/>
        <v>0.60273972602739723</v>
      </c>
      <c r="AA532" s="43">
        <f t="shared" ca="1" si="106"/>
        <v>0.25252946979989288</v>
      </c>
      <c r="AB532" s="202">
        <f t="shared" ca="1" si="107"/>
        <v>145</v>
      </c>
      <c r="AC532" s="44" t="str">
        <f t="shared" si="109"/>
        <v>NO</v>
      </c>
      <c r="AD532" s="765" t="s">
        <v>1713</v>
      </c>
      <c r="AE532" s="173" t="s">
        <v>1257</v>
      </c>
      <c r="AF532" s="304" t="s">
        <v>1176</v>
      </c>
      <c r="AG532" s="173" t="s">
        <v>1436</v>
      </c>
      <c r="AH532" s="284" t="s">
        <v>560</v>
      </c>
      <c r="AI532" s="174" t="s">
        <v>1390</v>
      </c>
      <c r="AJ532" s="308" t="s">
        <v>3835</v>
      </c>
      <c r="AK532" s="181" t="str">
        <f t="shared" ca="1" si="108"/>
        <v>EN EJECUCIÓN</v>
      </c>
      <c r="AL532" s="173" t="s">
        <v>577</v>
      </c>
      <c r="AM532" s="176" t="s">
        <v>390</v>
      </c>
      <c r="AN532" s="875" t="str">
        <f>IFERROR(VLOOKUP(E532,'liquidaciones '!$B$2:$C$1048576,2,0),"NO")</f>
        <v>NO</v>
      </c>
      <c r="AO532" s="983" t="str">
        <f>IFERROR(VLOOKUP(E532,'liquidaciones '!$B$2:$I$1048576,8,0),"")</f>
        <v/>
      </c>
      <c r="AP532" s="438"/>
      <c r="AQ532" s="438" t="s">
        <v>390</v>
      </c>
      <c r="AR532" s="438" t="s">
        <v>1511</v>
      </c>
      <c r="AS532" s="438" t="s">
        <v>3823</v>
      </c>
      <c r="AT532" s="1018" t="s">
        <v>3836</v>
      </c>
    </row>
    <row r="533" spans="3:46" ht="45" x14ac:dyDescent="0.25">
      <c r="C533" s="896">
        <v>191</v>
      </c>
      <c r="D533" s="896"/>
      <c r="E533" s="897" t="s">
        <v>2980</v>
      </c>
      <c r="F533" s="446" t="s">
        <v>2981</v>
      </c>
      <c r="G533" s="937">
        <v>900062917</v>
      </c>
      <c r="H533" s="947" t="s">
        <v>3070</v>
      </c>
      <c r="I533" s="942">
        <v>35763045</v>
      </c>
      <c r="J533" s="902" t="s">
        <v>2980</v>
      </c>
      <c r="K533" s="298">
        <v>2017</v>
      </c>
      <c r="L533" s="551">
        <v>42887</v>
      </c>
      <c r="M533" s="899">
        <v>42899</v>
      </c>
      <c r="N533" s="899">
        <v>43186</v>
      </c>
      <c r="O533" s="127">
        <f>COUNTA(Modificaciones!I519,Modificaciones!K519,Modificaciones!M519,Modificaciones!O519)</f>
        <v>0</v>
      </c>
      <c r="P533" s="128">
        <f>VLOOKUP(E533,Modificaciones!$B$7:$Q$900,16,0)</f>
        <v>0</v>
      </c>
      <c r="Q533" s="129">
        <f>COUNTA(Modificaciones!S533,Modificaciones!U533,Modificaciones!W533,Modificaciones!Y533)</f>
        <v>0</v>
      </c>
      <c r="R533" s="130" t="str">
        <f>IF(Modificaciones!Z533=0,"",VLOOKUP(E533,Modificaciones!$B$7:$AA$500,25,0))</f>
        <v/>
      </c>
      <c r="S533" s="131" t="str">
        <f>IF(Modificaciones!AA533=0,"",VLOOKUP(E533,Modificaciones!$B$7:$AA$500,26,0))</f>
        <v/>
      </c>
      <c r="T533" s="884">
        <f t="shared" si="102"/>
        <v>43186</v>
      </c>
      <c r="U533" s="62">
        <f t="shared" si="103"/>
        <v>35763045</v>
      </c>
      <c r="V533" s="172">
        <f>VLOOKUP(E533,Modificaciones!$B$7:$AU$900,46,0)</f>
        <v>10314249</v>
      </c>
      <c r="W533" s="93">
        <f t="shared" si="101"/>
        <v>25448796</v>
      </c>
      <c r="X533" s="312" t="s">
        <v>1868</v>
      </c>
      <c r="Y533" s="881">
        <f t="shared" si="104"/>
        <v>0.28840522388404005</v>
      </c>
      <c r="Z533" s="42">
        <f t="shared" ca="1" si="105"/>
        <v>0.76306620209059228</v>
      </c>
      <c r="AA533" s="43">
        <f t="shared" ca="1" si="106"/>
        <v>0.47466097820655223</v>
      </c>
      <c r="AB533" s="202">
        <f t="shared" ca="1" si="107"/>
        <v>68</v>
      </c>
      <c r="AC533" s="44" t="str">
        <f t="shared" si="109"/>
        <v>NO</v>
      </c>
      <c r="AD533" s="765" t="s">
        <v>1713</v>
      </c>
      <c r="AE533" s="173" t="s">
        <v>1257</v>
      </c>
      <c r="AF533" s="284" t="s">
        <v>1138</v>
      </c>
      <c r="AG533" s="173" t="s">
        <v>1437</v>
      </c>
      <c r="AH533" s="284" t="s">
        <v>562</v>
      </c>
      <c r="AI533" s="174" t="s">
        <v>1386</v>
      </c>
      <c r="AJ533" s="308" t="s">
        <v>3835</v>
      </c>
      <c r="AK533" s="181" t="str">
        <f t="shared" ca="1" si="108"/>
        <v>EN EJECUCIÓN</v>
      </c>
      <c r="AL533" s="313" t="s">
        <v>575</v>
      </c>
      <c r="AM533" s="176" t="s">
        <v>390</v>
      </c>
      <c r="AN533" s="875" t="str">
        <f>IFERROR(VLOOKUP(E533,'liquidaciones '!$B$2:$C$1048576,2,0),"NO")</f>
        <v>NO</v>
      </c>
      <c r="AO533" s="983" t="str">
        <f>IFERROR(VLOOKUP(E533,'liquidaciones '!$B$2:$I$1048576,8,0),"")</f>
        <v/>
      </c>
      <c r="AP533" s="438"/>
      <c r="AQ533" s="177" t="s">
        <v>390</v>
      </c>
      <c r="AR533" s="177" t="s">
        <v>2982</v>
      </c>
      <c r="AS533" s="438" t="s">
        <v>3821</v>
      </c>
      <c r="AT533" s="1018" t="s">
        <v>3836</v>
      </c>
    </row>
    <row r="534" spans="3:46" ht="67.5" x14ac:dyDescent="0.25">
      <c r="C534" s="896">
        <v>261</v>
      </c>
      <c r="D534" s="896"/>
      <c r="E534" s="897" t="s">
        <v>2986</v>
      </c>
      <c r="F534" s="446" t="s">
        <v>152</v>
      </c>
      <c r="G534" s="937">
        <v>800015583</v>
      </c>
      <c r="H534" s="947" t="s">
        <v>3014</v>
      </c>
      <c r="I534" s="942">
        <v>50000000</v>
      </c>
      <c r="J534" s="902" t="s">
        <v>2990</v>
      </c>
      <c r="K534" s="298">
        <v>2017</v>
      </c>
      <c r="L534" s="551">
        <v>42885</v>
      </c>
      <c r="M534" s="932">
        <v>42913</v>
      </c>
      <c r="N534" s="932">
        <v>43278</v>
      </c>
      <c r="O534" s="127">
        <f>COUNTA(Modificaciones!I520,Modificaciones!K520,Modificaciones!M520,Modificaciones!O520)</f>
        <v>0</v>
      </c>
      <c r="P534" s="128">
        <f>VLOOKUP(E534,Modificaciones!$B$7:$Q$900,16,0)</f>
        <v>0</v>
      </c>
      <c r="Q534" s="129">
        <f>COUNTA(Modificaciones!S534,Modificaciones!U534,Modificaciones!W534,Modificaciones!Y534)</f>
        <v>0</v>
      </c>
      <c r="R534" s="130" t="str">
        <f>IF(Modificaciones!Z534=0,"",VLOOKUP(E534,Modificaciones!$B$7:$AA$500,25,0))</f>
        <v/>
      </c>
      <c r="S534" s="131" t="str">
        <f>IF(Modificaciones!AA534=0,"",VLOOKUP(E534,Modificaciones!$B$7:$AA$500,26,0))</f>
        <v/>
      </c>
      <c r="T534" s="884">
        <f t="shared" si="102"/>
        <v>43278</v>
      </c>
      <c r="U534" s="62">
        <f t="shared" si="103"/>
        <v>50000000</v>
      </c>
      <c r="V534" s="172">
        <f>VLOOKUP(E534,Modificaciones!$B$7:$AU$900,46,0)</f>
        <v>35600000</v>
      </c>
      <c r="W534" s="93">
        <f t="shared" si="101"/>
        <v>14400000</v>
      </c>
      <c r="X534" s="318" t="s">
        <v>2987</v>
      </c>
      <c r="Y534" s="881">
        <f t="shared" si="104"/>
        <v>0.71199999999999997</v>
      </c>
      <c r="Z534" s="42">
        <f t="shared" ca="1" si="105"/>
        <v>0.56164383561643838</v>
      </c>
      <c r="AA534" s="43">
        <f t="shared" ca="1" si="106"/>
        <v>-0.15035616438356159</v>
      </c>
      <c r="AB534" s="202">
        <f t="shared" ca="1" si="107"/>
        <v>160</v>
      </c>
      <c r="AC534" s="44" t="str">
        <f t="shared" si="109"/>
        <v>NO</v>
      </c>
      <c r="AD534" s="765" t="s">
        <v>1713</v>
      </c>
      <c r="AE534" s="900" t="s">
        <v>1258</v>
      </c>
      <c r="AF534" s="900" t="s">
        <v>2988</v>
      </c>
      <c r="AG534" s="173" t="s">
        <v>1440</v>
      </c>
      <c r="AH534" s="284" t="s">
        <v>560</v>
      </c>
      <c r="AI534" s="897"/>
      <c r="AJ534" s="308" t="s">
        <v>3835</v>
      </c>
      <c r="AK534" s="181" t="str">
        <f t="shared" ca="1" si="108"/>
        <v>EN EJECUCIÓN</v>
      </c>
      <c r="AL534" s="313" t="s">
        <v>576</v>
      </c>
      <c r="AM534" s="438" t="s">
        <v>390</v>
      </c>
      <c r="AN534" s="875" t="str">
        <f>IFERROR(VLOOKUP(E534,'liquidaciones '!$B$2:$C$1048576,2,0),"NO")</f>
        <v>NO</v>
      </c>
      <c r="AO534" s="983" t="str">
        <f>IFERROR(VLOOKUP(E534,'liquidaciones '!$B$2:$I$1048576,8,0),"")</f>
        <v/>
      </c>
      <c r="AP534" s="438"/>
      <c r="AQ534" s="177" t="s">
        <v>390</v>
      </c>
      <c r="AR534" s="438" t="s">
        <v>3541</v>
      </c>
      <c r="AS534" s="438" t="s">
        <v>3818</v>
      </c>
      <c r="AT534" s="1018" t="s">
        <v>3836</v>
      </c>
    </row>
    <row r="535" spans="3:46" ht="45" x14ac:dyDescent="0.25">
      <c r="C535" s="896">
        <v>77</v>
      </c>
      <c r="D535" s="896"/>
      <c r="E535" s="897" t="s">
        <v>2991</v>
      </c>
      <c r="F535" s="446" t="s">
        <v>2708</v>
      </c>
      <c r="G535" s="937">
        <v>900105979</v>
      </c>
      <c r="H535" s="947" t="s">
        <v>2992</v>
      </c>
      <c r="I535" s="942">
        <v>110600000</v>
      </c>
      <c r="J535" s="902" t="s">
        <v>2994</v>
      </c>
      <c r="K535" s="298">
        <v>2017</v>
      </c>
      <c r="L535" s="551">
        <v>42891</v>
      </c>
      <c r="M535" s="899">
        <v>42906</v>
      </c>
      <c r="N535" s="899">
        <v>43210</v>
      </c>
      <c r="O535" s="127">
        <f>COUNTA(Modificaciones!I521,Modificaciones!K521,Modificaciones!M521,Modificaciones!O521)</f>
        <v>0</v>
      </c>
      <c r="P535" s="128">
        <f>VLOOKUP(E535,Modificaciones!$B$7:$Q$900,16,0)</f>
        <v>0</v>
      </c>
      <c r="Q535" s="129">
        <f>COUNTA(Modificaciones!S535,Modificaciones!U535,Modificaciones!W535,Modificaciones!Y535)</f>
        <v>0</v>
      </c>
      <c r="R535" s="130" t="str">
        <f>IF(Modificaciones!Z535=0,"",VLOOKUP(E535,Modificaciones!$B$7:$AA$500,25,0))</f>
        <v/>
      </c>
      <c r="S535" s="131" t="str">
        <f>IF(Modificaciones!AA535=0,"",VLOOKUP(E535,Modificaciones!$B$7:$AA$500,26,0))</f>
        <v/>
      </c>
      <c r="T535" s="884">
        <f t="shared" si="102"/>
        <v>43210</v>
      </c>
      <c r="U535" s="62">
        <f t="shared" si="103"/>
        <v>110600000</v>
      </c>
      <c r="V535" s="172">
        <f>VLOOKUP(E535,Modificaciones!$B$7:$AU$900,46,0)</f>
        <v>55300000</v>
      </c>
      <c r="W535" s="93">
        <f t="shared" si="101"/>
        <v>55300000</v>
      </c>
      <c r="X535" s="318" t="s">
        <v>2529</v>
      </c>
      <c r="Y535" s="881">
        <f t="shared" si="104"/>
        <v>0.5</v>
      </c>
      <c r="Z535" s="42">
        <f t="shared" ca="1" si="105"/>
        <v>0.69736842105263153</v>
      </c>
      <c r="AA535" s="43">
        <f t="shared" ca="1" si="106"/>
        <v>0.19736842105263153</v>
      </c>
      <c r="AB535" s="202">
        <f t="shared" ca="1" si="107"/>
        <v>92</v>
      </c>
      <c r="AC535" s="44" t="str">
        <f t="shared" si="109"/>
        <v>NO</v>
      </c>
      <c r="AD535" s="765" t="s">
        <v>1713</v>
      </c>
      <c r="AE535" s="900" t="s">
        <v>1258</v>
      </c>
      <c r="AF535" s="900" t="s">
        <v>2988</v>
      </c>
      <c r="AG535" s="173" t="s">
        <v>1440</v>
      </c>
      <c r="AH535" s="284" t="s">
        <v>560</v>
      </c>
      <c r="AI535" s="897"/>
      <c r="AJ535" s="308" t="s">
        <v>3835</v>
      </c>
      <c r="AK535" s="181" t="str">
        <f t="shared" ca="1" si="108"/>
        <v>EN EJECUCIÓN</v>
      </c>
      <c r="AL535" s="446" t="s">
        <v>2993</v>
      </c>
      <c r="AM535" s="438" t="s">
        <v>390</v>
      </c>
      <c r="AN535" s="875" t="str">
        <f>IFERROR(VLOOKUP(E535,'liquidaciones '!$B$2:$C$1048576,2,0),"NO")</f>
        <v>NO</v>
      </c>
      <c r="AO535" s="983" t="str">
        <f>IFERROR(VLOOKUP(E535,'liquidaciones '!$B$2:$I$1048576,8,0),"")</f>
        <v/>
      </c>
      <c r="AP535" s="438"/>
      <c r="AQ535" s="177" t="str">
        <f ca="1">IF((TODAY()-T535&lt;900),"SI","NO")</f>
        <v>SI</v>
      </c>
      <c r="AR535" s="438" t="s">
        <v>3541</v>
      </c>
      <c r="AS535" s="438" t="s">
        <v>3818</v>
      </c>
      <c r="AT535" s="1018" t="s">
        <v>3836</v>
      </c>
    </row>
    <row r="536" spans="3:46" ht="30" x14ac:dyDescent="0.25">
      <c r="C536" s="896">
        <v>88</v>
      </c>
      <c r="D536" s="896"/>
      <c r="E536" s="897" t="s">
        <v>3000</v>
      </c>
      <c r="F536" s="446" t="s">
        <v>3001</v>
      </c>
      <c r="G536" s="937" t="s">
        <v>3002</v>
      </c>
      <c r="H536" s="947" t="s">
        <v>3003</v>
      </c>
      <c r="I536" s="942">
        <v>4361500</v>
      </c>
      <c r="J536" s="902" t="s">
        <v>3004</v>
      </c>
      <c r="K536" s="298">
        <v>2017</v>
      </c>
      <c r="L536" s="551">
        <v>42909</v>
      </c>
      <c r="M536" s="903">
        <v>42922</v>
      </c>
      <c r="N536" s="903">
        <v>42984</v>
      </c>
      <c r="O536" s="127">
        <f>COUNTA(Modificaciones!I522,Modificaciones!K522,Modificaciones!M522,Modificaciones!O522)</f>
        <v>0</v>
      </c>
      <c r="P536" s="128">
        <f>VLOOKUP(E536,Modificaciones!$B$7:$Q$900,16,0)</f>
        <v>0</v>
      </c>
      <c r="Q536" s="129">
        <f>COUNTA(Modificaciones!S536,Modificaciones!U536,Modificaciones!W536,Modificaciones!Y536)</f>
        <v>0</v>
      </c>
      <c r="R536" s="130" t="str">
        <f>IF(Modificaciones!Z536=0,"",VLOOKUP(E536,Modificaciones!$B$7:$AA$500,25,0))</f>
        <v/>
      </c>
      <c r="S536" s="131" t="str">
        <f>IF(Modificaciones!AA536=0,"",VLOOKUP(E536,Modificaciones!$B$7:$AA$500,26,0))</f>
        <v/>
      </c>
      <c r="T536" s="884">
        <f t="shared" si="102"/>
        <v>42984</v>
      </c>
      <c r="U536" s="62">
        <f t="shared" si="103"/>
        <v>4361500</v>
      </c>
      <c r="V536" s="172">
        <f>VLOOKUP(E536,Modificaciones!$B$7:$AU$900,46,0)</f>
        <v>4361500</v>
      </c>
      <c r="W536" s="93">
        <f t="shared" si="101"/>
        <v>0</v>
      </c>
      <c r="X536" s="312" t="s">
        <v>1823</v>
      </c>
      <c r="Y536" s="881">
        <f t="shared" si="104"/>
        <v>1</v>
      </c>
      <c r="Z536" s="42">
        <f t="shared" ca="1" si="105"/>
        <v>1</v>
      </c>
      <c r="AA536" s="43">
        <f t="shared" ca="1" si="106"/>
        <v>0</v>
      </c>
      <c r="AB536" s="202" t="str">
        <f t="shared" ca="1" si="107"/>
        <v/>
      </c>
      <c r="AC536" s="44" t="str">
        <f t="shared" si="109"/>
        <v>SI</v>
      </c>
      <c r="AD536" s="765" t="s">
        <v>1715</v>
      </c>
      <c r="AE536" s="173" t="s">
        <v>1258</v>
      </c>
      <c r="AF536" s="284" t="s">
        <v>1312</v>
      </c>
      <c r="AG536" s="173" t="s">
        <v>1440</v>
      </c>
      <c r="AH536" s="284" t="s">
        <v>560</v>
      </c>
      <c r="AI536" s="308" t="s">
        <v>1510</v>
      </c>
      <c r="AJ536" s="308" t="s">
        <v>2850</v>
      </c>
      <c r="AK536" s="181" t="str">
        <f t="shared" ca="1" si="108"/>
        <v>TERMINO</v>
      </c>
      <c r="AL536" s="313" t="s">
        <v>576</v>
      </c>
      <c r="AM536" s="176" t="s">
        <v>391</v>
      </c>
      <c r="AN536" s="875" t="str">
        <f>IFERROR(VLOOKUP(E536,'liquidaciones '!$B$2:$C$1048576,2,0),"NO")</f>
        <v>NO</v>
      </c>
      <c r="AO536" s="983" t="str">
        <f>IFERROR(VLOOKUP(E536,'liquidaciones '!$B$2:$I$1048576,8,0),"")</f>
        <v/>
      </c>
      <c r="AP536" s="438"/>
      <c r="AQ536" s="438" t="s">
        <v>390</v>
      </c>
      <c r="AR536" s="438" t="s">
        <v>3541</v>
      </c>
      <c r="AS536" s="438"/>
      <c r="AT536" s="1018"/>
    </row>
    <row r="537" spans="3:46" ht="78.75" x14ac:dyDescent="0.25">
      <c r="C537" s="896">
        <v>200</v>
      </c>
      <c r="D537" s="896"/>
      <c r="E537" s="897" t="s">
        <v>3005</v>
      </c>
      <c r="F537" s="446" t="s">
        <v>2158</v>
      </c>
      <c r="G537" s="937" t="s">
        <v>3006</v>
      </c>
      <c r="H537" s="945" t="s">
        <v>3582</v>
      </c>
      <c r="I537" s="942">
        <v>4491000</v>
      </c>
      <c r="J537" s="902" t="s">
        <v>3013</v>
      </c>
      <c r="K537" s="298">
        <v>2017</v>
      </c>
      <c r="L537" s="551">
        <v>42894</v>
      </c>
      <c r="M537" s="903">
        <v>42920</v>
      </c>
      <c r="N537" s="903">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IF(Modificaciones!Z537=0,"",VLOOKUP(E537,Modificaciones!$B$7:$AA$500,25,0))</f>
        <v/>
      </c>
      <c r="S537" s="131" t="str">
        <f>IF(Modificaciones!AA537=0,"",VLOOKUP(E537,Modificaciones!$B$7:$AA$500,26,0))</f>
        <v/>
      </c>
      <c r="T537" s="884">
        <f t="shared" si="102"/>
        <v>43255</v>
      </c>
      <c r="U537" s="62">
        <f t="shared" si="103"/>
        <v>4491000</v>
      </c>
      <c r="V537" s="172">
        <f>VLOOKUP(E537,Modificaciones!$B$7:$AU$900,46,0)</f>
        <v>780000</v>
      </c>
      <c r="W537" s="93">
        <f t="shared" si="101"/>
        <v>3711000</v>
      </c>
      <c r="X537" s="312" t="s">
        <v>3007</v>
      </c>
      <c r="Y537" s="881">
        <f t="shared" si="104"/>
        <v>0.17368069472277889</v>
      </c>
      <c r="Z537" s="42">
        <f t="shared" ca="1" si="105"/>
        <v>0.59104477611940298</v>
      </c>
      <c r="AA537" s="43">
        <f t="shared" ca="1" si="106"/>
        <v>0.41736408139662406</v>
      </c>
      <c r="AB537" s="202">
        <f t="shared" ca="1" si="107"/>
        <v>137</v>
      </c>
      <c r="AC537" s="44" t="str">
        <f t="shared" si="109"/>
        <v>NO</v>
      </c>
      <c r="AD537" s="765" t="s">
        <v>1713</v>
      </c>
      <c r="AE537" s="173" t="s">
        <v>1257</v>
      </c>
      <c r="AF537" s="284" t="s">
        <v>1173</v>
      </c>
      <c r="AG537" s="173" t="s">
        <v>1443</v>
      </c>
      <c r="AH537" s="284" t="s">
        <v>560</v>
      </c>
      <c r="AI537" s="174" t="s">
        <v>1381</v>
      </c>
      <c r="AJ537" s="308" t="s">
        <v>3835</v>
      </c>
      <c r="AK537" s="181" t="str">
        <f t="shared" ca="1" si="108"/>
        <v>EN EJECUCIÓN</v>
      </c>
      <c r="AL537" s="181" t="s">
        <v>576</v>
      </c>
      <c r="AM537" s="176" t="s">
        <v>390</v>
      </c>
      <c r="AN537" s="875" t="str">
        <f>IFERROR(VLOOKUP(E537,'liquidaciones '!$B$2:$C$1048576,2,0),"NO")</f>
        <v>NO</v>
      </c>
      <c r="AO537" s="983" t="str">
        <f>IFERROR(VLOOKUP(E537,'liquidaciones '!$B$2:$I$1048576,8,0),"")</f>
        <v/>
      </c>
      <c r="AP537" s="438"/>
      <c r="AQ537" s="438" t="s">
        <v>390</v>
      </c>
      <c r="AR537" s="438" t="s">
        <v>1511</v>
      </c>
      <c r="AS537" s="438" t="s">
        <v>3814</v>
      </c>
      <c r="AT537" s="1018" t="s">
        <v>3836</v>
      </c>
    </row>
    <row r="538" spans="3:46" ht="45" x14ac:dyDescent="0.25">
      <c r="C538" s="896">
        <v>193</v>
      </c>
      <c r="D538" s="896"/>
      <c r="E538" s="897" t="s">
        <v>3008</v>
      </c>
      <c r="F538" s="446" t="s">
        <v>3009</v>
      </c>
      <c r="G538" s="937" t="s">
        <v>3010</v>
      </c>
      <c r="H538" s="945" t="s">
        <v>3071</v>
      </c>
      <c r="I538" s="942">
        <v>29000000</v>
      </c>
      <c r="J538" s="902" t="s">
        <v>3011</v>
      </c>
      <c r="K538" s="298">
        <v>2017</v>
      </c>
      <c r="L538" s="551">
        <v>42893</v>
      </c>
      <c r="M538" s="903">
        <v>42920</v>
      </c>
      <c r="N538" s="903">
        <v>43194</v>
      </c>
      <c r="O538" s="127">
        <f>COUNTA(Modificaciones!I524,Modificaciones!K524,Modificaciones!M524,Modificaciones!O524)</f>
        <v>0</v>
      </c>
      <c r="P538" s="128">
        <f>VLOOKUP(E538,Modificaciones!$B$7:$Q$900,16,0)</f>
        <v>0</v>
      </c>
      <c r="Q538" s="129">
        <f>COUNTA(Modificaciones!S538,Modificaciones!U538,Modificaciones!W538,Modificaciones!Y538)</f>
        <v>0</v>
      </c>
      <c r="R538" s="130" t="str">
        <f>IF(Modificaciones!Z538=0,"",VLOOKUP(E538,Modificaciones!$B$7:$AA$500,25,0))</f>
        <v/>
      </c>
      <c r="S538" s="131" t="str">
        <f>IF(Modificaciones!AA538=0,"",VLOOKUP(E538,Modificaciones!$B$7:$AA$500,26,0))</f>
        <v/>
      </c>
      <c r="T538" s="884">
        <f t="shared" si="102"/>
        <v>43194</v>
      </c>
      <c r="U538" s="62">
        <f t="shared" si="103"/>
        <v>29000000</v>
      </c>
      <c r="V538" s="172">
        <f>VLOOKUP(E538,Modificaciones!$B$7:$AU$900,46,0)</f>
        <v>24892141</v>
      </c>
      <c r="W538" s="93">
        <f t="shared" si="101"/>
        <v>4107859</v>
      </c>
      <c r="X538" s="312" t="s">
        <v>3012</v>
      </c>
      <c r="Y538" s="881">
        <f t="shared" si="104"/>
        <v>0.85834968965517244</v>
      </c>
      <c r="Z538" s="42">
        <f t="shared" ca="1" si="105"/>
        <v>0.72262773722627738</v>
      </c>
      <c r="AA538" s="43">
        <f t="shared" ca="1" si="106"/>
        <v>-0.13572195242889507</v>
      </c>
      <c r="AB538" s="202">
        <f t="shared" ca="1" si="107"/>
        <v>76</v>
      </c>
      <c r="AC538" s="44" t="str">
        <f t="shared" si="109"/>
        <v>NO</v>
      </c>
      <c r="AD538" s="765" t="s">
        <v>1713</v>
      </c>
      <c r="AE538" s="173" t="s">
        <v>1257</v>
      </c>
      <c r="AF538" s="284" t="s">
        <v>1299</v>
      </c>
      <c r="AG538" s="173" t="s">
        <v>1443</v>
      </c>
      <c r="AH538" s="284" t="s">
        <v>560</v>
      </c>
      <c r="AI538" s="174" t="s">
        <v>1381</v>
      </c>
      <c r="AJ538" s="308" t="s">
        <v>3835</v>
      </c>
      <c r="AK538" s="181" t="str">
        <f t="shared" ca="1" si="108"/>
        <v>EN EJECUCIÓN</v>
      </c>
      <c r="AL538" s="181" t="s">
        <v>576</v>
      </c>
      <c r="AM538" s="438" t="s">
        <v>390</v>
      </c>
      <c r="AN538" s="875" t="str">
        <f>IFERROR(VLOOKUP(E538,'liquidaciones '!$B$2:$C$1048576,2,0),"NO")</f>
        <v>NO</v>
      </c>
      <c r="AO538" s="983" t="str">
        <f>IFERROR(VLOOKUP(E538,'liquidaciones '!$B$2:$I$1048576,8,0),"")</f>
        <v/>
      </c>
      <c r="AP538" s="438"/>
      <c r="AQ538" s="438" t="s">
        <v>390</v>
      </c>
      <c r="AR538" s="438" t="s">
        <v>3074</v>
      </c>
      <c r="AS538" s="438" t="s">
        <v>3814</v>
      </c>
      <c r="AT538" s="1018" t="s">
        <v>3836</v>
      </c>
    </row>
    <row r="539" spans="3:46" ht="67.5" x14ac:dyDescent="0.25">
      <c r="C539" s="896">
        <v>196</v>
      </c>
      <c r="D539" s="896"/>
      <c r="E539" s="897" t="s">
        <v>3015</v>
      </c>
      <c r="F539" s="446" t="s">
        <v>3016</v>
      </c>
      <c r="G539" s="937" t="s">
        <v>3017</v>
      </c>
      <c r="H539" s="947" t="s">
        <v>3018</v>
      </c>
      <c r="I539" s="942">
        <v>578014000</v>
      </c>
      <c r="J539" s="902" t="s">
        <v>3023</v>
      </c>
      <c r="K539" s="298">
        <v>2017</v>
      </c>
      <c r="L539" s="551">
        <v>42929</v>
      </c>
      <c r="M539" s="903">
        <v>42933</v>
      </c>
      <c r="N539" s="903">
        <v>43117</v>
      </c>
      <c r="O539" s="127">
        <f>COUNTA(Modificaciones!I525,Modificaciones!K525,Modificaciones!M525,Modificaciones!O525)</f>
        <v>0</v>
      </c>
      <c r="P539" s="128">
        <f>VLOOKUP(E539,Modificaciones!$B$7:$Q$900,16,0)</f>
        <v>0</v>
      </c>
      <c r="Q539" s="129">
        <f>COUNTA(Modificaciones!S539,Modificaciones!U539,Modificaciones!W539,Modificaciones!Y539)</f>
        <v>1</v>
      </c>
      <c r="R539" s="130" t="str">
        <f>IF(Modificaciones!Z539=0,"",VLOOKUP(E539,Modificaciones!$B$7:$AA$1000,25,0))</f>
        <v xml:space="preserve"> 17 días</v>
      </c>
      <c r="S539" s="131">
        <f>IF(Modificaciones!AA539=0,"",VLOOKUP(E539,Modificaciones!$B$7:$AA$1000,26,0))</f>
        <v>43134</v>
      </c>
      <c r="T539" s="884">
        <f t="shared" si="102"/>
        <v>43134</v>
      </c>
      <c r="U539" s="62">
        <f t="shared" si="103"/>
        <v>578014000</v>
      </c>
      <c r="V539" s="172">
        <f>VLOOKUP(E539,Modificaciones!$B$7:$AU$900,46,0)</f>
        <v>215270640</v>
      </c>
      <c r="W539" s="93">
        <f t="shared" si="101"/>
        <v>362743360</v>
      </c>
      <c r="X539" s="93" t="s">
        <v>1881</v>
      </c>
      <c r="Y539" s="881">
        <f t="shared" si="104"/>
        <v>0.3724315328002436</v>
      </c>
      <c r="Z539" s="42">
        <f t="shared" ca="1" si="105"/>
        <v>0.92039800995024879</v>
      </c>
      <c r="AA539" s="43">
        <f t="shared" ca="1" si="106"/>
        <v>0.54796647715000524</v>
      </c>
      <c r="AB539" s="202">
        <f t="shared" ca="1" si="107"/>
        <v>16</v>
      </c>
      <c r="AC539" s="44" t="str">
        <f t="shared" si="109"/>
        <v>NO</v>
      </c>
      <c r="AD539" s="765" t="s">
        <v>1713</v>
      </c>
      <c r="AE539" s="173" t="s">
        <v>1257</v>
      </c>
      <c r="AF539" s="284" t="s">
        <v>1128</v>
      </c>
      <c r="AG539" s="173"/>
      <c r="AH539" s="284" t="s">
        <v>560</v>
      </c>
      <c r="AI539" s="308"/>
      <c r="AJ539" s="308" t="s">
        <v>3835</v>
      </c>
      <c r="AK539" s="181" t="str">
        <f t="shared" ca="1" si="108"/>
        <v>EN EJECUCIÓN</v>
      </c>
      <c r="AL539" s="313" t="s">
        <v>575</v>
      </c>
      <c r="AM539" s="438" t="s">
        <v>390</v>
      </c>
      <c r="AN539" s="875" t="str">
        <f>IFERROR(VLOOKUP(E539,'liquidaciones '!$B$2:$C$1048576,2,0),"NO")</f>
        <v>NO</v>
      </c>
      <c r="AO539" s="983" t="str">
        <f>IFERROR(VLOOKUP(E539,'liquidaciones '!$B$2:$I$1048576,8,0),"")</f>
        <v/>
      </c>
      <c r="AP539" s="438"/>
      <c r="AQ539" s="438" t="s">
        <v>390</v>
      </c>
      <c r="AR539" s="438" t="s">
        <v>3074</v>
      </c>
      <c r="AS539" s="438" t="s">
        <v>1380</v>
      </c>
      <c r="AT539" s="1018" t="s">
        <v>3836</v>
      </c>
    </row>
    <row r="540" spans="3:46" ht="45" x14ac:dyDescent="0.25">
      <c r="C540" s="896"/>
      <c r="D540" s="896"/>
      <c r="E540" s="897" t="s">
        <v>3019</v>
      </c>
      <c r="F540" s="446" t="s">
        <v>1602</v>
      </c>
      <c r="G540" s="937" t="s">
        <v>3020</v>
      </c>
      <c r="H540" s="947" t="s">
        <v>3021</v>
      </c>
      <c r="I540" s="942">
        <v>70086000</v>
      </c>
      <c r="J540" s="902" t="s">
        <v>3024</v>
      </c>
      <c r="K540" s="298">
        <v>2017</v>
      </c>
      <c r="L540" s="551">
        <v>42921</v>
      </c>
      <c r="M540" s="903">
        <v>42930</v>
      </c>
      <c r="N540" s="903">
        <v>43053</v>
      </c>
      <c r="O540" s="127">
        <f>COUNTA(Modificaciones!I526,Modificaciones!K526,Modificaciones!M526,Modificaciones!O526)</f>
        <v>0</v>
      </c>
      <c r="P540" s="128">
        <f>VLOOKUP(E540,Modificaciones!$B$7:$Q$900,16,0)</f>
        <v>0</v>
      </c>
      <c r="Q540" s="129">
        <f>COUNTA(Modificaciones!S540,Modificaciones!U540,Modificaciones!W540,Modificaciones!Y540)</f>
        <v>0</v>
      </c>
      <c r="R540" s="130" t="str">
        <f>IF(Modificaciones!Z540=0,"",VLOOKUP(E540,Modificaciones!$B$7:$AA$500,25,0))</f>
        <v/>
      </c>
      <c r="S540" s="131" t="str">
        <f>IF(Modificaciones!AA540=0,"",VLOOKUP(E540,Modificaciones!$B$7:$AA$500,26,0))</f>
        <v/>
      </c>
      <c r="T540" s="884">
        <f t="shared" si="102"/>
        <v>43053</v>
      </c>
      <c r="U540" s="62">
        <f t="shared" si="103"/>
        <v>70086000</v>
      </c>
      <c r="V540" s="172">
        <f>VLOOKUP(E540,Modificaciones!$B$7:$AU$900,46,0)</f>
        <v>70086000</v>
      </c>
      <c r="W540" s="93">
        <f t="shared" si="101"/>
        <v>0</v>
      </c>
      <c r="X540" s="312" t="s">
        <v>3022</v>
      </c>
      <c r="Y540" s="881">
        <f t="shared" si="104"/>
        <v>1</v>
      </c>
      <c r="Z540" s="42">
        <f t="shared" ca="1" si="105"/>
        <v>1</v>
      </c>
      <c r="AA540" s="43">
        <f t="shared" ca="1" si="106"/>
        <v>0</v>
      </c>
      <c r="AB540" s="202" t="str">
        <f t="shared" ca="1" si="107"/>
        <v/>
      </c>
      <c r="AC540" s="44" t="str">
        <f t="shared" si="109"/>
        <v>SI</v>
      </c>
      <c r="AD540" s="765" t="s">
        <v>1713</v>
      </c>
      <c r="AE540" s="173" t="s">
        <v>1258</v>
      </c>
      <c r="AF540" s="284" t="s">
        <v>1605</v>
      </c>
      <c r="AG540" s="173" t="s">
        <v>1440</v>
      </c>
      <c r="AH540" s="284" t="s">
        <v>560</v>
      </c>
      <c r="AI540" s="308" t="s">
        <v>1510</v>
      </c>
      <c r="AJ540" s="308" t="s">
        <v>3835</v>
      </c>
      <c r="AK540" s="181" t="str">
        <f t="shared" ca="1" si="108"/>
        <v>TERMINO</v>
      </c>
      <c r="AL540" s="181" t="s">
        <v>576</v>
      </c>
      <c r="AM540" s="438" t="s">
        <v>390</v>
      </c>
      <c r="AN540" s="875" t="str">
        <f>IFERROR(VLOOKUP(E540,'liquidaciones '!$B$2:$C$1048576,2,0),"NO")</f>
        <v>NO</v>
      </c>
      <c r="AO540" s="983" t="str">
        <f>IFERROR(VLOOKUP(E540,'liquidaciones '!$B$2:$I$1048576,8,0),"")</f>
        <v/>
      </c>
      <c r="AP540" s="438"/>
      <c r="AQ540" s="438" t="s">
        <v>390</v>
      </c>
      <c r="AR540" s="438" t="s">
        <v>3541</v>
      </c>
      <c r="AS540" s="438"/>
      <c r="AT540" s="1018" t="s">
        <v>3836</v>
      </c>
    </row>
    <row r="541" spans="3:46" ht="33.75" x14ac:dyDescent="0.25">
      <c r="C541" s="896">
        <v>199</v>
      </c>
      <c r="D541" s="896"/>
      <c r="E541" s="897" t="s">
        <v>3072</v>
      </c>
      <c r="F541" s="446" t="s">
        <v>1860</v>
      </c>
      <c r="G541" s="922">
        <v>860025639</v>
      </c>
      <c r="H541" s="943" t="s">
        <v>3073</v>
      </c>
      <c r="I541" s="93">
        <v>15000000</v>
      </c>
      <c r="J541" s="902" t="s">
        <v>3072</v>
      </c>
      <c r="K541" s="298">
        <v>2017</v>
      </c>
      <c r="L541" s="551">
        <v>42906</v>
      </c>
      <c r="M541" s="932">
        <v>42948</v>
      </c>
      <c r="N541" s="932">
        <v>43236</v>
      </c>
      <c r="O541" s="127">
        <f>COUNTA(Modificaciones!I527,Modificaciones!K527,Modificaciones!M527,Modificaciones!O527)</f>
        <v>0</v>
      </c>
      <c r="P541" s="128">
        <f>VLOOKUP(E541,Modificaciones!$B$7:$Q$900,16,0)</f>
        <v>0</v>
      </c>
      <c r="Q541" s="129">
        <f>COUNTA(Modificaciones!S541,Modificaciones!U541,Modificaciones!W541,Modificaciones!Y541)</f>
        <v>0</v>
      </c>
      <c r="R541" s="130" t="str">
        <f>IF(Modificaciones!Z541=0,"",VLOOKUP(E541,Modificaciones!$B$7:$AA$500,25,0))</f>
        <v/>
      </c>
      <c r="S541" s="131" t="str">
        <f>IF(Modificaciones!AA541=0,"",VLOOKUP(E541,Modificaciones!$B$7:$AA$500,26,0))</f>
        <v/>
      </c>
      <c r="T541" s="884">
        <f t="shared" si="102"/>
        <v>43236</v>
      </c>
      <c r="U541" s="62">
        <f t="shared" si="103"/>
        <v>15000000</v>
      </c>
      <c r="V541" s="172">
        <f>VLOOKUP(E541,Modificaciones!$B$7:$AU$900,46,0)</f>
        <v>0</v>
      </c>
      <c r="W541" s="93">
        <f t="shared" si="101"/>
        <v>15000000</v>
      </c>
      <c r="X541" s="312" t="s">
        <v>3012</v>
      </c>
      <c r="Y541" s="881">
        <f t="shared" si="104"/>
        <v>0</v>
      </c>
      <c r="Z541" s="42">
        <f t="shared" ca="1" si="105"/>
        <v>0.59027777777777779</v>
      </c>
      <c r="AA541" s="43">
        <f t="shared" ca="1" si="106"/>
        <v>0.59027777777777779</v>
      </c>
      <c r="AB541" s="202">
        <f t="shared" ca="1" si="107"/>
        <v>118</v>
      </c>
      <c r="AC541" s="44" t="str">
        <f t="shared" si="109"/>
        <v>NO</v>
      </c>
      <c r="AD541" s="765" t="s">
        <v>1713</v>
      </c>
      <c r="AE541" s="173" t="s">
        <v>1257</v>
      </c>
      <c r="AF541" s="284" t="s">
        <v>1171</v>
      </c>
      <c r="AG541" s="173" t="s">
        <v>1443</v>
      </c>
      <c r="AH541" s="284" t="s">
        <v>560</v>
      </c>
      <c r="AI541" s="308"/>
      <c r="AJ541" s="308" t="s">
        <v>2850</v>
      </c>
      <c r="AK541" s="181" t="str">
        <f t="shared" ca="1" si="108"/>
        <v>EN EJECUCIÓN</v>
      </c>
      <c r="AL541" s="181" t="s">
        <v>582</v>
      </c>
      <c r="AM541" s="438" t="s">
        <v>390</v>
      </c>
      <c r="AN541" s="875" t="str">
        <f>IFERROR(VLOOKUP(E541,'liquidaciones '!$B$2:$C$1048576,2,0),"NO")</f>
        <v>NO</v>
      </c>
      <c r="AO541" s="983" t="str">
        <f>IFERROR(VLOOKUP(E541,'liquidaciones '!$B$2:$I$1048576,8,0),"")</f>
        <v/>
      </c>
      <c r="AP541" s="438"/>
      <c r="AQ541" s="438" t="s">
        <v>390</v>
      </c>
      <c r="AR541" s="438" t="s">
        <v>2996</v>
      </c>
      <c r="AS541" s="438" t="s">
        <v>3814</v>
      </c>
      <c r="AT541" s="1018" t="s">
        <v>3754</v>
      </c>
    </row>
    <row r="542" spans="3:46" ht="45" x14ac:dyDescent="0.25">
      <c r="C542" s="896"/>
      <c r="D542" s="896"/>
      <c r="E542" s="897" t="s">
        <v>3075</v>
      </c>
      <c r="F542" s="446" t="s">
        <v>152</v>
      </c>
      <c r="G542" s="922" t="s">
        <v>2814</v>
      </c>
      <c r="H542" s="439" t="s">
        <v>3076</v>
      </c>
      <c r="I542" s="93">
        <v>196663000</v>
      </c>
      <c r="J542" s="902" t="s">
        <v>3079</v>
      </c>
      <c r="K542" s="298">
        <v>2017</v>
      </c>
      <c r="L542" s="551">
        <v>42927</v>
      </c>
      <c r="M542" s="903">
        <v>42937</v>
      </c>
      <c r="N542" s="903">
        <v>43180</v>
      </c>
      <c r="O542" s="127">
        <f>COUNTA(Modificaciones!I528,Modificaciones!K528,Modificaciones!M528,Modificaciones!O528)</f>
        <v>0</v>
      </c>
      <c r="P542" s="128">
        <f>VLOOKUP(E542,Modificaciones!$B$7:$Q$900,16,0)</f>
        <v>0</v>
      </c>
      <c r="Q542" s="129">
        <f>COUNTA(Modificaciones!S542,Modificaciones!U542,Modificaciones!W542,Modificaciones!Y542)</f>
        <v>0</v>
      </c>
      <c r="R542" s="130" t="str">
        <f>IF(Modificaciones!Z542=0,"",VLOOKUP(E542,Modificaciones!$B$7:$AA$500,25,0))</f>
        <v/>
      </c>
      <c r="S542" s="131" t="str">
        <f>IF(Modificaciones!AA542=0,"",VLOOKUP(E542,Modificaciones!$B$7:$AA$500,26,0))</f>
        <v/>
      </c>
      <c r="T542" s="884">
        <f t="shared" si="102"/>
        <v>43180</v>
      </c>
      <c r="U542" s="62">
        <f t="shared" si="103"/>
        <v>196663000</v>
      </c>
      <c r="V542" s="172">
        <f>VLOOKUP(E542,Modificaciones!$B$7:$AU$900,46,0)</f>
        <v>89023524</v>
      </c>
      <c r="W542" s="93">
        <f t="shared" si="101"/>
        <v>107639476</v>
      </c>
      <c r="X542" s="312" t="s">
        <v>3077</v>
      </c>
      <c r="Y542" s="881">
        <f t="shared" si="104"/>
        <v>0.45267042605879093</v>
      </c>
      <c r="Z542" s="42">
        <f t="shared" ca="1" si="105"/>
        <v>0.74485596707818935</v>
      </c>
      <c r="AA542" s="43">
        <f t="shared" ca="1" si="106"/>
        <v>0.29218554101939842</v>
      </c>
      <c r="AB542" s="202">
        <f t="shared" ca="1" si="107"/>
        <v>62</v>
      </c>
      <c r="AC542" s="44" t="str">
        <f t="shared" si="109"/>
        <v>NO</v>
      </c>
      <c r="AD542" s="765" t="s">
        <v>3078</v>
      </c>
      <c r="AE542" s="173" t="s">
        <v>1258</v>
      </c>
      <c r="AF542" s="284" t="s">
        <v>1939</v>
      </c>
      <c r="AG542" s="173" t="s">
        <v>1440</v>
      </c>
      <c r="AH542" s="284" t="s">
        <v>560</v>
      </c>
      <c r="AI542" s="308" t="s">
        <v>1510</v>
      </c>
      <c r="AJ542" s="308" t="s">
        <v>3835</v>
      </c>
      <c r="AK542" s="181" t="str">
        <f t="shared" ca="1" si="108"/>
        <v>EN EJECUCIÓN</v>
      </c>
      <c r="AL542" s="313" t="s">
        <v>575</v>
      </c>
      <c r="AM542" s="176" t="s">
        <v>390</v>
      </c>
      <c r="AN542" s="875" t="str">
        <f>IFERROR(VLOOKUP(E542,'liquidaciones '!$B$2:$C$1048576,2,0),"NO")</f>
        <v>NO</v>
      </c>
      <c r="AO542" s="983" t="str">
        <f>IFERROR(VLOOKUP(E542,'liquidaciones '!$B$2:$I$1048576,8,0),"")</f>
        <v/>
      </c>
      <c r="AP542" s="438"/>
      <c r="AQ542" s="438" t="s">
        <v>390</v>
      </c>
      <c r="AR542" s="438" t="s">
        <v>3541</v>
      </c>
      <c r="AS542" s="438" t="s">
        <v>3818</v>
      </c>
      <c r="AT542" s="1018" t="s">
        <v>3836</v>
      </c>
    </row>
    <row r="543" spans="3:46" ht="45" x14ac:dyDescent="0.25">
      <c r="C543" s="896">
        <v>178</v>
      </c>
      <c r="D543" s="896"/>
      <c r="E543" s="897" t="s">
        <v>3080</v>
      </c>
      <c r="F543" s="446" t="s">
        <v>73</v>
      </c>
      <c r="G543" s="922">
        <v>830012587</v>
      </c>
      <c r="H543" s="439" t="s">
        <v>3081</v>
      </c>
      <c r="I543" s="93">
        <v>909999990</v>
      </c>
      <c r="J543" s="902" t="s">
        <v>3080</v>
      </c>
      <c r="K543" s="298">
        <v>2017</v>
      </c>
      <c r="L543" s="551">
        <v>42933</v>
      </c>
      <c r="M543" s="903">
        <v>42948</v>
      </c>
      <c r="N543" s="903">
        <v>43221</v>
      </c>
      <c r="O543" s="127">
        <f>COUNTA(Modificaciones!I529,Modificaciones!K529,Modificaciones!M529,Modificaciones!O529)</f>
        <v>0</v>
      </c>
      <c r="P543" s="128">
        <f>VLOOKUP(E543,Modificaciones!$B$7:$Q$900,16,0)</f>
        <v>0</v>
      </c>
      <c r="Q543" s="129">
        <f>COUNTA(Modificaciones!S543,Modificaciones!U543,Modificaciones!W543,Modificaciones!Y543)</f>
        <v>0</v>
      </c>
      <c r="R543" s="130" t="str">
        <f>IF(Modificaciones!Z543=0,"",VLOOKUP(E543,Modificaciones!$B$7:$AA$500,25,0))</f>
        <v/>
      </c>
      <c r="S543" s="131" t="str">
        <f>IF(Modificaciones!AA543=0,"",VLOOKUP(E543,Modificaciones!$B$7:$AA$500,26,0))</f>
        <v/>
      </c>
      <c r="T543" s="884">
        <f t="shared" si="102"/>
        <v>43221</v>
      </c>
      <c r="U543" s="62">
        <f t="shared" si="103"/>
        <v>909999990</v>
      </c>
      <c r="V543" s="172">
        <f>VLOOKUP(E543,Modificaciones!$B$7:$AU$900,46,0)</f>
        <v>278461309</v>
      </c>
      <c r="W543" s="93">
        <f t="shared" si="101"/>
        <v>631538681</v>
      </c>
      <c r="X543" s="312" t="s">
        <v>1893</v>
      </c>
      <c r="Y543" s="881">
        <f t="shared" si="104"/>
        <v>0.30600144182419164</v>
      </c>
      <c r="Z543" s="42">
        <f t="shared" ca="1" si="105"/>
        <v>0.62271062271062272</v>
      </c>
      <c r="AA543" s="43">
        <f t="shared" ca="1" si="106"/>
        <v>0.31670918088643107</v>
      </c>
      <c r="AB543" s="202">
        <f t="shared" ca="1" si="107"/>
        <v>103</v>
      </c>
      <c r="AC543" s="44" t="str">
        <f t="shared" si="109"/>
        <v>NO</v>
      </c>
      <c r="AD543" s="765" t="s">
        <v>1722</v>
      </c>
      <c r="AE543" s="173" t="s">
        <v>1257</v>
      </c>
      <c r="AF543" s="173" t="s">
        <v>1293</v>
      </c>
      <c r="AG543" s="173" t="s">
        <v>1431</v>
      </c>
      <c r="AH543" s="284" t="s">
        <v>564</v>
      </c>
      <c r="AI543" s="308"/>
      <c r="AJ543" s="308" t="s">
        <v>2850</v>
      </c>
      <c r="AK543" s="181" t="str">
        <f t="shared" ca="1" si="108"/>
        <v>EN EJECUCIÓN</v>
      </c>
      <c r="AL543" s="313" t="s">
        <v>582</v>
      </c>
      <c r="AM543" s="438" t="s">
        <v>390</v>
      </c>
      <c r="AN543" s="875" t="str">
        <f>IFERROR(VLOOKUP(E543,'liquidaciones '!$B$2:$C$1048576,2,0),"NO")</f>
        <v>NO</v>
      </c>
      <c r="AO543" s="983" t="str">
        <f>IFERROR(VLOOKUP(E543,'liquidaciones '!$B$2:$I$1048576,8,0),"")</f>
        <v/>
      </c>
      <c r="AP543" s="438"/>
      <c r="AQ543" s="438" t="s">
        <v>390</v>
      </c>
      <c r="AR543" s="438" t="s">
        <v>2996</v>
      </c>
      <c r="AS543" s="438" t="s">
        <v>3822</v>
      </c>
      <c r="AT543" s="1018" t="s">
        <v>3753</v>
      </c>
    </row>
    <row r="544" spans="3:46" ht="30" x14ac:dyDescent="0.25">
      <c r="C544" s="896"/>
      <c r="D544" s="896"/>
      <c r="E544" s="897" t="s">
        <v>3082</v>
      </c>
      <c r="F544" s="446" t="s">
        <v>2515</v>
      </c>
      <c r="G544" s="934" t="s">
        <v>2516</v>
      </c>
      <c r="H544" s="439" t="s">
        <v>3083</v>
      </c>
      <c r="I544" s="93">
        <v>3007941</v>
      </c>
      <c r="J544" s="902" t="s">
        <v>3085</v>
      </c>
      <c r="K544" s="298">
        <v>2017</v>
      </c>
      <c r="L544" s="551">
        <v>42944</v>
      </c>
      <c r="M544" s="903">
        <v>42944</v>
      </c>
      <c r="N544" s="903">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4">
        <f t="shared" si="102"/>
        <v>43006</v>
      </c>
      <c r="U544" s="62">
        <f t="shared" si="103"/>
        <v>3007941</v>
      </c>
      <c r="V544" s="172">
        <f>VLOOKUP(E544,Modificaciones!$B$7:$AU$900,46,0)</f>
        <v>3007941</v>
      </c>
      <c r="W544" s="93">
        <f t="shared" si="101"/>
        <v>0</v>
      </c>
      <c r="X544" s="312" t="s">
        <v>2745</v>
      </c>
      <c r="Y544" s="881">
        <f t="shared" si="104"/>
        <v>1</v>
      </c>
      <c r="Z544" s="42">
        <f t="shared" ca="1" si="105"/>
        <v>1</v>
      </c>
      <c r="AA544" s="43">
        <f t="shared" ca="1" si="106"/>
        <v>0</v>
      </c>
      <c r="AB544" s="202" t="str">
        <f t="shared" ca="1" si="107"/>
        <v/>
      </c>
      <c r="AC544" s="44" t="str">
        <f t="shared" si="109"/>
        <v>SI</v>
      </c>
      <c r="AD544" s="897"/>
      <c r="AE544" s="900"/>
      <c r="AF544" s="900" t="s">
        <v>3084</v>
      </c>
      <c r="AG544" s="897"/>
      <c r="AH544" s="897"/>
      <c r="AI544" s="897"/>
      <c r="AJ544" s="308" t="s">
        <v>2850</v>
      </c>
      <c r="AK544" s="181" t="str">
        <f t="shared" ca="1" si="108"/>
        <v>TERMINO</v>
      </c>
      <c r="AL544" s="446" t="s">
        <v>2737</v>
      </c>
      <c r="AM544" s="438"/>
      <c r="AN544" s="875" t="str">
        <f>IFERROR(VLOOKUP(E544,'liquidaciones '!$B$2:$C$1048576,2,0),"NO")</f>
        <v>NO</v>
      </c>
      <c r="AO544" s="983" t="str">
        <f>IFERROR(VLOOKUP(E544,'liquidaciones '!$B$2:$I$1048576,8,0),"")</f>
        <v/>
      </c>
      <c r="AP544" s="438"/>
      <c r="AQ544" s="438"/>
      <c r="AR544" s="177" t="s">
        <v>2996</v>
      </c>
      <c r="AS544" s="438"/>
      <c r="AT544" s="1018"/>
    </row>
    <row r="545" spans="3:46" ht="33.75" x14ac:dyDescent="0.25">
      <c r="C545" s="896"/>
      <c r="D545" s="896"/>
      <c r="E545" s="897" t="s">
        <v>3086</v>
      </c>
      <c r="F545" s="446" t="s">
        <v>3087</v>
      </c>
      <c r="G545" s="922">
        <v>79983036</v>
      </c>
      <c r="H545" s="439" t="s">
        <v>3088</v>
      </c>
      <c r="I545" s="93">
        <v>13125000</v>
      </c>
      <c r="J545" s="902" t="s">
        <v>3086</v>
      </c>
      <c r="K545" s="298">
        <v>2017</v>
      </c>
      <c r="L545" s="551">
        <v>42944</v>
      </c>
      <c r="M545" s="903">
        <v>42949</v>
      </c>
      <c r="N545" s="903">
        <v>43161</v>
      </c>
      <c r="O545" s="127">
        <f>COUNTA(Modificaciones!I531,Modificaciones!K531,Modificaciones!M531,Modificaciones!O531)</f>
        <v>0</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4">
        <f t="shared" si="102"/>
        <v>43161</v>
      </c>
      <c r="U545" s="62">
        <f t="shared" si="103"/>
        <v>13125000</v>
      </c>
      <c r="V545" s="172">
        <f>VLOOKUP(E545,Modificaciones!$B$7:$AU$900,46,0)</f>
        <v>9312500</v>
      </c>
      <c r="W545" s="93">
        <f t="shared" si="101"/>
        <v>3812500</v>
      </c>
      <c r="X545" s="312" t="s">
        <v>3089</v>
      </c>
      <c r="Y545" s="881">
        <f t="shared" si="104"/>
        <v>0.70952380952380956</v>
      </c>
      <c r="Z545" s="42">
        <f t="shared" ca="1" si="105"/>
        <v>0.79716981132075471</v>
      </c>
      <c r="AA545" s="43">
        <f t="shared" ca="1" si="106"/>
        <v>8.764600179694515E-2</v>
      </c>
      <c r="AB545" s="202">
        <f t="shared" ca="1" si="107"/>
        <v>43</v>
      </c>
      <c r="AC545" s="44" t="str">
        <f t="shared" si="109"/>
        <v>NO</v>
      </c>
      <c r="AD545" s="765" t="s">
        <v>1714</v>
      </c>
      <c r="AE545" s="173" t="s">
        <v>1257</v>
      </c>
      <c r="AF545" s="284" t="s">
        <v>3090</v>
      </c>
      <c r="AG545" s="173" t="s">
        <v>1438</v>
      </c>
      <c r="AH545" s="284" t="s">
        <v>561</v>
      </c>
      <c r="AI545" s="897"/>
      <c r="AJ545" s="308" t="s">
        <v>3837</v>
      </c>
      <c r="AK545" s="181" t="str">
        <f t="shared" ca="1" si="108"/>
        <v>EN EJECUCIÓN</v>
      </c>
      <c r="AL545" s="313" t="s">
        <v>582</v>
      </c>
      <c r="AM545" s="438" t="s">
        <v>391</v>
      </c>
      <c r="AN545" s="875" t="str">
        <f>IFERROR(VLOOKUP(E545,'liquidaciones '!$B$2:$C$1048576,2,0),"NO")</f>
        <v>NO</v>
      </c>
      <c r="AO545" s="983" t="str">
        <f>IFERROR(VLOOKUP(E545,'liquidaciones '!$B$2:$I$1048576,8,0),"")</f>
        <v/>
      </c>
      <c r="AP545" s="438"/>
      <c r="AQ545" s="438" t="s">
        <v>390</v>
      </c>
      <c r="AR545" s="177" t="s">
        <v>3074</v>
      </c>
      <c r="AS545" s="438"/>
      <c r="AT545" s="1018" t="s">
        <v>3757</v>
      </c>
    </row>
    <row r="546" spans="3:46" ht="56.25" x14ac:dyDescent="0.25">
      <c r="C546" s="896">
        <v>73</v>
      </c>
      <c r="D546" s="896"/>
      <c r="E546" s="897" t="s">
        <v>3091</v>
      </c>
      <c r="F546" s="446" t="s">
        <v>2130</v>
      </c>
      <c r="G546" s="922">
        <v>830083523</v>
      </c>
      <c r="H546" s="439" t="s">
        <v>2666</v>
      </c>
      <c r="I546" s="93">
        <v>8320000</v>
      </c>
      <c r="J546" s="902" t="s">
        <v>3091</v>
      </c>
      <c r="K546" s="298">
        <v>2017</v>
      </c>
      <c r="L546" s="551">
        <v>42934</v>
      </c>
      <c r="M546" s="903">
        <v>42941</v>
      </c>
      <c r="N546" s="903">
        <v>43215</v>
      </c>
      <c r="O546" s="127">
        <f>COUNTA(Modificaciones!I532,Modificaciones!K532,Modificaciones!M532,Modificaciones!O532)</f>
        <v>0</v>
      </c>
      <c r="P546" s="128">
        <f>VLOOKUP(E546,Modificaciones!$B$7:$Q$900,16,0)</f>
        <v>0</v>
      </c>
      <c r="Q546" s="129">
        <f>COUNTA(Modificaciones!S546,Modificaciones!U546,Modificaciones!W546,Modificaciones!Y546)</f>
        <v>0</v>
      </c>
      <c r="R546" s="130" t="str">
        <f>IF(Modificaciones!Z546=0,"",VLOOKUP(E546,Modificaciones!$B$7:$AA$500,25,0))</f>
        <v/>
      </c>
      <c r="S546" s="131" t="str">
        <f>IF(Modificaciones!AA546=0,"",VLOOKUP(E546,Modificaciones!$B$7:$AA$500,26,0))</f>
        <v/>
      </c>
      <c r="T546" s="884">
        <f t="shared" si="102"/>
        <v>43215</v>
      </c>
      <c r="U546" s="62">
        <f t="shared" si="103"/>
        <v>8320000</v>
      </c>
      <c r="V546" s="172">
        <f>VLOOKUP(E546,Modificaciones!$B$7:$AU$900,46,0)</f>
        <v>4622220</v>
      </c>
      <c r="W546" s="93">
        <f t="shared" si="101"/>
        <v>3697780</v>
      </c>
      <c r="X546" s="312" t="s">
        <v>3092</v>
      </c>
      <c r="Y546" s="881">
        <f t="shared" si="104"/>
        <v>0.55555528846153845</v>
      </c>
      <c r="Z546" s="42">
        <f t="shared" ca="1" si="105"/>
        <v>0.64598540145985406</v>
      </c>
      <c r="AA546" s="43">
        <f t="shared" ca="1" si="106"/>
        <v>9.0430112998315604E-2</v>
      </c>
      <c r="AB546" s="202">
        <f t="shared" ca="1" si="107"/>
        <v>97</v>
      </c>
      <c r="AC546" s="44" t="str">
        <f t="shared" si="109"/>
        <v>NO</v>
      </c>
      <c r="AD546" s="897"/>
      <c r="AE546" s="173" t="s">
        <v>1258</v>
      </c>
      <c r="AF546" s="284" t="s">
        <v>2114</v>
      </c>
      <c r="AG546" s="173" t="s">
        <v>1440</v>
      </c>
      <c r="AH546" s="284" t="s">
        <v>560</v>
      </c>
      <c r="AI546" s="308" t="s">
        <v>1510</v>
      </c>
      <c r="AJ546" s="308" t="s">
        <v>3835</v>
      </c>
      <c r="AK546" s="181" t="str">
        <f t="shared" ca="1" si="108"/>
        <v>EN EJECUCIÓN</v>
      </c>
      <c r="AL546" s="313" t="s">
        <v>582</v>
      </c>
      <c r="AM546" s="438" t="s">
        <v>390</v>
      </c>
      <c r="AN546" s="875" t="str">
        <f>IFERROR(VLOOKUP(E546,'liquidaciones '!$B$2:$C$1048576,2,0),"NO")</f>
        <v>NO</v>
      </c>
      <c r="AO546" s="983" t="str">
        <f>IFERROR(VLOOKUP(E546,'liquidaciones '!$B$2:$I$1048576,8,0),"")</f>
        <v/>
      </c>
      <c r="AP546" s="438"/>
      <c r="AQ546" s="438" t="s">
        <v>390</v>
      </c>
      <c r="AR546" s="438" t="s">
        <v>3541</v>
      </c>
      <c r="AS546" s="438" t="s">
        <v>3818</v>
      </c>
      <c r="AT546" s="1018" t="s">
        <v>3836</v>
      </c>
    </row>
    <row r="547" spans="3:46" ht="51.75" customHeight="1" x14ac:dyDescent="0.25">
      <c r="C547" s="896">
        <v>299</v>
      </c>
      <c r="D547" s="896"/>
      <c r="E547" s="897" t="s">
        <v>3093</v>
      </c>
      <c r="F547" s="446" t="s">
        <v>22</v>
      </c>
      <c r="G547" s="922" t="s">
        <v>3094</v>
      </c>
      <c r="H547" s="439" t="s">
        <v>3095</v>
      </c>
      <c r="I547" s="93">
        <v>59500000</v>
      </c>
      <c r="J547" s="902" t="s">
        <v>3093</v>
      </c>
      <c r="K547" s="298">
        <v>2017</v>
      </c>
      <c r="L547" s="551">
        <v>42941</v>
      </c>
      <c r="M547" s="903">
        <v>42955</v>
      </c>
      <c r="N547" s="903">
        <v>43320</v>
      </c>
      <c r="O547" s="127">
        <f>COUNTA(Modificaciones!I533,Modificaciones!K533,Modificaciones!M533,Modificaciones!O533)</f>
        <v>0</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4">
        <f t="shared" si="102"/>
        <v>43320</v>
      </c>
      <c r="U547" s="62">
        <f t="shared" si="103"/>
        <v>59500000</v>
      </c>
      <c r="V547" s="172">
        <f>VLOOKUP(E547,Modificaciones!$B$7:$AU$900,46,0)</f>
        <v>52360000</v>
      </c>
      <c r="W547" s="93">
        <f t="shared" si="101"/>
        <v>7140000</v>
      </c>
      <c r="X547" s="929" t="s">
        <v>3096</v>
      </c>
      <c r="Y547" s="881">
        <f t="shared" si="104"/>
        <v>0.88</v>
      </c>
      <c r="Z547" s="42">
        <f t="shared" ca="1" si="105"/>
        <v>0.44657534246575342</v>
      </c>
      <c r="AA547" s="43">
        <f t="shared" ca="1" si="106"/>
        <v>-0.43342465753424658</v>
      </c>
      <c r="AB547" s="202">
        <f t="shared" ca="1" si="107"/>
        <v>202</v>
      </c>
      <c r="AC547" s="44" t="str">
        <f t="shared" si="109"/>
        <v>NO</v>
      </c>
      <c r="AD547" s="765" t="s">
        <v>1713</v>
      </c>
      <c r="AE547" s="173" t="s">
        <v>1258</v>
      </c>
      <c r="AF547" s="900" t="s">
        <v>3097</v>
      </c>
      <c r="AG547" s="173" t="s">
        <v>1440</v>
      </c>
      <c r="AH547" s="284" t="s">
        <v>560</v>
      </c>
      <c r="AI547" s="308" t="s">
        <v>1510</v>
      </c>
      <c r="AJ547" s="308" t="s">
        <v>3835</v>
      </c>
      <c r="AK547" s="181" t="str">
        <f t="shared" ca="1" si="108"/>
        <v>EN EJECUCIÓN</v>
      </c>
      <c r="AL547" s="313" t="s">
        <v>582</v>
      </c>
      <c r="AM547" s="438" t="s">
        <v>390</v>
      </c>
      <c r="AN547" s="875" t="str">
        <f>IFERROR(VLOOKUP(E547,'liquidaciones '!$B$2:$C$1048576,2,0),"NO")</f>
        <v>NO</v>
      </c>
      <c r="AO547" s="983" t="str">
        <f>IFERROR(VLOOKUP(E547,'liquidaciones '!$B$2:$I$1048576,8,0),"")</f>
        <v/>
      </c>
      <c r="AP547" s="438"/>
      <c r="AQ547" s="438" t="s">
        <v>390</v>
      </c>
      <c r="AR547" s="438" t="s">
        <v>3541</v>
      </c>
      <c r="AS547" s="438" t="s">
        <v>3818</v>
      </c>
      <c r="AT547" s="1018" t="s">
        <v>3836</v>
      </c>
    </row>
    <row r="548" spans="3:46" ht="67.5" x14ac:dyDescent="0.25">
      <c r="C548" s="896">
        <v>146</v>
      </c>
      <c r="D548" s="896"/>
      <c r="E548" s="897" t="s">
        <v>3098</v>
      </c>
      <c r="F548" s="446" t="s">
        <v>3099</v>
      </c>
      <c r="G548" s="922">
        <v>100392583</v>
      </c>
      <c r="H548" s="945" t="s">
        <v>3100</v>
      </c>
      <c r="I548" s="93">
        <v>39900000</v>
      </c>
      <c r="J548" s="902" t="s">
        <v>3098</v>
      </c>
      <c r="K548" s="298">
        <v>2017</v>
      </c>
      <c r="L548" s="551">
        <v>42961</v>
      </c>
      <c r="M548" s="903">
        <v>42969</v>
      </c>
      <c r="N548" s="903">
        <v>43181</v>
      </c>
      <c r="O548" s="127">
        <f>COUNTA(Modificaciones!I534,Modificaciones!K534,Modificaciones!M534,Modificaciones!O534)</f>
        <v>0</v>
      </c>
      <c r="P548" s="128">
        <f>VLOOKUP(E548,Modificaciones!$B$7:$Q$900,16,0)</f>
        <v>0</v>
      </c>
      <c r="Q548" s="129">
        <f>COUNTA(Modificaciones!S548,Modificaciones!U548,Modificaciones!W548,Modificaciones!Y548)</f>
        <v>0</v>
      </c>
      <c r="R548" s="130" t="str">
        <f>IF(Modificaciones!Z548=0,"",VLOOKUP(E548,Modificaciones!$B$7:$AA$500,25,0))</f>
        <v/>
      </c>
      <c r="S548" s="131" t="str">
        <f>IF(Modificaciones!AA548=0,"",VLOOKUP(E548,Modificaciones!$B$7:$AA$500,26,0))</f>
        <v/>
      </c>
      <c r="T548" s="884">
        <f t="shared" si="102"/>
        <v>43181</v>
      </c>
      <c r="U548" s="62">
        <f t="shared" si="103"/>
        <v>39900000</v>
      </c>
      <c r="V548" s="172">
        <f>VLOOKUP(E548,Modificaciones!$B$7:$AU$900,46,0)</f>
        <v>24510000</v>
      </c>
      <c r="W548" s="93">
        <f t="shared" si="101"/>
        <v>15390000</v>
      </c>
      <c r="X548" s="312" t="s">
        <v>1095</v>
      </c>
      <c r="Y548" s="881">
        <f t="shared" si="104"/>
        <v>0.61428571428571432</v>
      </c>
      <c r="Z548" s="42">
        <f t="shared" ca="1" si="105"/>
        <v>0.70283018867924529</v>
      </c>
      <c r="AA548" s="43">
        <f t="shared" ca="1" si="106"/>
        <v>8.854447439353097E-2</v>
      </c>
      <c r="AB548" s="202">
        <f t="shared" ca="1" si="107"/>
        <v>63</v>
      </c>
      <c r="AC548" s="44" t="str">
        <f t="shared" si="109"/>
        <v>NO</v>
      </c>
      <c r="AD548" s="765" t="s">
        <v>1714</v>
      </c>
      <c r="AE548" s="173" t="s">
        <v>1258</v>
      </c>
      <c r="AF548" s="173" t="s">
        <v>2177</v>
      </c>
      <c r="AG548" s="173" t="s">
        <v>1178</v>
      </c>
      <c r="AH548" s="284" t="s">
        <v>559</v>
      </c>
      <c r="AI548" s="308"/>
      <c r="AJ548" s="308" t="s">
        <v>2850</v>
      </c>
      <c r="AK548" s="181" t="str">
        <f t="shared" ca="1" si="108"/>
        <v>EN EJECUCIÓN</v>
      </c>
      <c r="AL548" s="181" t="s">
        <v>582</v>
      </c>
      <c r="AM548" s="438" t="s">
        <v>391</v>
      </c>
      <c r="AN548" s="875" t="str">
        <f>IFERROR(VLOOKUP(E548,'liquidaciones '!$B$2:$C$1048576,2,0),"NO")</f>
        <v>NO</v>
      </c>
      <c r="AO548" s="983" t="str">
        <f>IFERROR(VLOOKUP(E548,'liquidaciones '!$B$2:$I$1048576,8,0),"")</f>
        <v/>
      </c>
      <c r="AP548" s="438"/>
      <c r="AQ548" s="438" t="s">
        <v>390</v>
      </c>
      <c r="AR548" s="177" t="s">
        <v>3074</v>
      </c>
      <c r="AS548" s="438"/>
      <c r="AT548" s="1018" t="s">
        <v>3754</v>
      </c>
    </row>
    <row r="549" spans="3:46" ht="45" x14ac:dyDescent="0.25">
      <c r="C549" s="896">
        <v>168</v>
      </c>
      <c r="D549" s="896"/>
      <c r="E549" s="897" t="s">
        <v>3101</v>
      </c>
      <c r="F549" s="446" t="s">
        <v>15</v>
      </c>
      <c r="G549" s="938">
        <v>830067096</v>
      </c>
      <c r="H549" s="945" t="s">
        <v>3102</v>
      </c>
      <c r="I549" s="93">
        <v>8010000</v>
      </c>
      <c r="J549" s="902" t="s">
        <v>3101</v>
      </c>
      <c r="K549" s="298">
        <v>2017</v>
      </c>
      <c r="L549" s="551">
        <v>42962</v>
      </c>
      <c r="M549" s="903">
        <v>42965</v>
      </c>
      <c r="N549" s="903">
        <v>43330</v>
      </c>
      <c r="O549" s="127">
        <f>COUNTA(Modificaciones!I535,Modificaciones!K535,Modificaciones!M535,Modificaciones!O535)</f>
        <v>0</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4">
        <f t="shared" si="102"/>
        <v>43330</v>
      </c>
      <c r="U549" s="62">
        <f t="shared" si="103"/>
        <v>8010000</v>
      </c>
      <c r="V549" s="172">
        <f>VLOOKUP(E549,Modificaciones!$B$7:$AU$900,46,0)</f>
        <v>8010000</v>
      </c>
      <c r="W549" s="93">
        <f t="shared" si="101"/>
        <v>0</v>
      </c>
      <c r="X549" s="312" t="s">
        <v>1898</v>
      </c>
      <c r="Y549" s="881">
        <f t="shared" si="104"/>
        <v>1</v>
      </c>
      <c r="Z549" s="42">
        <f t="shared" ca="1" si="105"/>
        <v>0.41917808219178082</v>
      </c>
      <c r="AA549" s="43">
        <f t="shared" ca="1" si="106"/>
        <v>-0.58082191780821923</v>
      </c>
      <c r="AB549" s="202">
        <f t="shared" ca="1" si="107"/>
        <v>212</v>
      </c>
      <c r="AC549" s="44" t="str">
        <f t="shared" si="109"/>
        <v>SI</v>
      </c>
      <c r="AD549" s="765" t="s">
        <v>1717</v>
      </c>
      <c r="AE549" s="173"/>
      <c r="AF549" s="304" t="s">
        <v>1126</v>
      </c>
      <c r="AG549" s="173" t="s">
        <v>1431</v>
      </c>
      <c r="AH549" s="284" t="s">
        <v>564</v>
      </c>
      <c r="AI549" s="308"/>
      <c r="AJ549" s="308" t="s">
        <v>2850</v>
      </c>
      <c r="AK549" s="181" t="str">
        <f t="shared" ca="1" si="108"/>
        <v>EN EJECUCIÓN</v>
      </c>
      <c r="AL549" s="313" t="s">
        <v>582</v>
      </c>
      <c r="AM549" s="438" t="s">
        <v>390</v>
      </c>
      <c r="AN549" s="875" t="str">
        <f>IFERROR(VLOOKUP(E549,'liquidaciones '!$B$2:$C$1048576,2,0),"NO")</f>
        <v>NO</v>
      </c>
      <c r="AO549" s="983" t="str">
        <f>IFERROR(VLOOKUP(E549,'liquidaciones '!$B$2:$I$1048576,8,0),"")</f>
        <v/>
      </c>
      <c r="AP549" s="438"/>
      <c r="AQ549" s="438" t="s">
        <v>390</v>
      </c>
      <c r="AR549" s="177" t="s">
        <v>3074</v>
      </c>
      <c r="AS549" s="438"/>
      <c r="AT549" s="1018" t="s">
        <v>3753</v>
      </c>
    </row>
    <row r="550" spans="3:46" ht="33.75" x14ac:dyDescent="0.25">
      <c r="C550" s="896"/>
      <c r="D550" s="896"/>
      <c r="E550" s="897" t="s">
        <v>3531</v>
      </c>
      <c r="F550" s="446" t="s">
        <v>3532</v>
      </c>
      <c r="G550" s="922">
        <v>1030659160</v>
      </c>
      <c r="H550" s="439" t="s">
        <v>3533</v>
      </c>
      <c r="I550" s="93">
        <v>15750000</v>
      </c>
      <c r="J550" s="902" t="s">
        <v>3531</v>
      </c>
      <c r="K550" s="298">
        <v>2017</v>
      </c>
      <c r="L550" s="551">
        <v>42963</v>
      </c>
      <c r="M550" s="903">
        <v>42971</v>
      </c>
      <c r="N550" s="903">
        <v>43183</v>
      </c>
      <c r="O550" s="127">
        <f>COUNTA(Modificaciones!I536,Modificaciones!K536,Modificaciones!M536,Modificaciones!O536)</f>
        <v>0</v>
      </c>
      <c r="P550" s="128">
        <f>VLOOKUP(E550,Modificaciones!$B$7:$Q$900,16,0)</f>
        <v>0</v>
      </c>
      <c r="Q550" s="129">
        <f>COUNTA(Modificaciones!S550,Modificaciones!U550,Modificaciones!W550,Modificaciones!Y550)</f>
        <v>0</v>
      </c>
      <c r="R550" s="130" t="str">
        <f>IF(Modificaciones!Z550=0,"",VLOOKUP(E550,Modificaciones!$B$7:$AA$500,25,0))</f>
        <v/>
      </c>
      <c r="S550" s="131" t="str">
        <f>IF(Modificaciones!AA550=0,"",VLOOKUP(E550,Modificaciones!$B$7:$AA$500,26,0))</f>
        <v/>
      </c>
      <c r="T550" s="884">
        <f t="shared" si="102"/>
        <v>43183</v>
      </c>
      <c r="U550" s="62">
        <f t="shared" si="103"/>
        <v>15750000</v>
      </c>
      <c r="V550" s="172">
        <f>VLOOKUP(E550,Modificaciones!$B$7:$AU$900,46,0)</f>
        <v>9525000</v>
      </c>
      <c r="W550" s="93">
        <f t="shared" si="101"/>
        <v>6225000</v>
      </c>
      <c r="X550" s="312" t="s">
        <v>1095</v>
      </c>
      <c r="Y550" s="881">
        <f t="shared" si="104"/>
        <v>0.60476190476190472</v>
      </c>
      <c r="Z550" s="42">
        <f t="shared" ca="1" si="105"/>
        <v>0.69339622641509435</v>
      </c>
      <c r="AA550" s="43">
        <f t="shared" ca="1" si="106"/>
        <v>8.8634321653189629E-2</v>
      </c>
      <c r="AB550" s="202">
        <f t="shared" ca="1" si="107"/>
        <v>65</v>
      </c>
      <c r="AC550" s="44" t="str">
        <f t="shared" si="109"/>
        <v>NO</v>
      </c>
      <c r="AD550" s="765" t="s">
        <v>1714</v>
      </c>
      <c r="AE550" s="900" t="s">
        <v>1257</v>
      </c>
      <c r="AF550" s="284" t="s">
        <v>3090</v>
      </c>
      <c r="AG550" s="173" t="s">
        <v>1438</v>
      </c>
      <c r="AH550" s="284" t="s">
        <v>561</v>
      </c>
      <c r="AI550" s="897"/>
      <c r="AJ550" s="308" t="s">
        <v>3837</v>
      </c>
      <c r="AK550" s="181" t="str">
        <f t="shared" ca="1" si="108"/>
        <v>EN EJECUCIÓN</v>
      </c>
      <c r="AL550" s="313" t="s">
        <v>582</v>
      </c>
      <c r="AM550" s="438" t="s">
        <v>391</v>
      </c>
      <c r="AN550" s="875" t="str">
        <f>IFERROR(VLOOKUP(E550,'liquidaciones '!$B$2:$C$1048576,2,0),"NO")</f>
        <v>NO</v>
      </c>
      <c r="AO550" s="983" t="str">
        <f>IFERROR(VLOOKUP(E550,'liquidaciones '!$B$2:$I$1048576,8,0),"")</f>
        <v/>
      </c>
      <c r="AP550" s="438"/>
      <c r="AQ550" s="438" t="s">
        <v>390</v>
      </c>
      <c r="AR550" s="177" t="s">
        <v>3074</v>
      </c>
      <c r="AS550" s="438"/>
      <c r="AT550" s="1018" t="s">
        <v>3757</v>
      </c>
    </row>
    <row r="551" spans="3:46" ht="45" x14ac:dyDescent="0.25">
      <c r="C551" s="896">
        <v>165</v>
      </c>
      <c r="D551" s="896"/>
      <c r="E551" s="897" t="s">
        <v>3542</v>
      </c>
      <c r="F551" s="446" t="s">
        <v>12</v>
      </c>
      <c r="G551" s="922">
        <v>805006014</v>
      </c>
      <c r="H551" s="439" t="s">
        <v>3543</v>
      </c>
      <c r="I551" s="93">
        <v>1878120</v>
      </c>
      <c r="J551" s="902" t="s">
        <v>3544</v>
      </c>
      <c r="K551" s="298">
        <v>2017</v>
      </c>
      <c r="L551" s="551">
        <v>42961</v>
      </c>
      <c r="M551" s="903">
        <v>42963</v>
      </c>
      <c r="N551" s="903">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4">
        <f t="shared" si="102"/>
        <v>43327</v>
      </c>
      <c r="U551" s="62">
        <f t="shared" si="103"/>
        <v>1878120</v>
      </c>
      <c r="V551" s="172">
        <f>VLOOKUP(E551,Modificaciones!$B$7:$AU$900,46,0)</f>
        <v>1878120</v>
      </c>
      <c r="W551" s="93">
        <f t="shared" si="101"/>
        <v>0</v>
      </c>
      <c r="X551" s="312" t="s">
        <v>1898</v>
      </c>
      <c r="Y551" s="881">
        <f t="shared" si="104"/>
        <v>1</v>
      </c>
      <c r="Z551" s="42">
        <f t="shared" ca="1" si="105"/>
        <v>0.42582417582417581</v>
      </c>
      <c r="AA551" s="43">
        <f t="shared" ca="1" si="106"/>
        <v>-0.57417582417582413</v>
      </c>
      <c r="AB551" s="202">
        <f t="shared" ca="1" si="107"/>
        <v>209</v>
      </c>
      <c r="AC551" s="44" t="str">
        <f t="shared" si="109"/>
        <v>SI</v>
      </c>
      <c r="AD551" s="765" t="s">
        <v>1717</v>
      </c>
      <c r="AE551" s="173" t="s">
        <v>1257</v>
      </c>
      <c r="AF551" s="173" t="s">
        <v>1134</v>
      </c>
      <c r="AG551" s="173" t="s">
        <v>1443</v>
      </c>
      <c r="AH551" s="284" t="s">
        <v>560</v>
      </c>
      <c r="AI551" s="308"/>
      <c r="AJ551" s="308" t="s">
        <v>2850</v>
      </c>
      <c r="AK551" s="181" t="str">
        <f t="shared" ca="1" si="108"/>
        <v>EN EJECUCIÓN</v>
      </c>
      <c r="AL551" s="181" t="s">
        <v>576</v>
      </c>
      <c r="AM551" s="176" t="s">
        <v>390</v>
      </c>
      <c r="AN551" s="875" t="str">
        <f>IFERROR(VLOOKUP(E551,'liquidaciones '!$B$2:$C$1048576,2,0),"NO")</f>
        <v>NO</v>
      </c>
      <c r="AO551" s="983" t="str">
        <f>IFERROR(VLOOKUP(E551,'liquidaciones '!$B$2:$I$1048576,8,0),"")</f>
        <v/>
      </c>
      <c r="AP551" s="438"/>
      <c r="AQ551" s="177" t="s">
        <v>390</v>
      </c>
      <c r="AR551" s="177" t="s">
        <v>2996</v>
      </c>
      <c r="AS551" s="438"/>
      <c r="AT551" s="1018" t="s">
        <v>3753</v>
      </c>
    </row>
    <row r="552" spans="3:46" ht="45" x14ac:dyDescent="0.25">
      <c r="C552" s="896">
        <v>210</v>
      </c>
      <c r="D552" s="896"/>
      <c r="E552" s="897" t="s">
        <v>3579</v>
      </c>
      <c r="F552" s="446" t="s">
        <v>3580</v>
      </c>
      <c r="G552" s="922">
        <v>900207129</v>
      </c>
      <c r="H552" s="439" t="s">
        <v>3581</v>
      </c>
      <c r="I552" s="93">
        <v>3790032</v>
      </c>
      <c r="J552" s="902" t="s">
        <v>3737</v>
      </c>
      <c r="K552" s="298">
        <v>2017</v>
      </c>
      <c r="L552" s="551">
        <v>42971</v>
      </c>
      <c r="M552" s="932">
        <v>42982</v>
      </c>
      <c r="N552" s="932">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4">
        <f t="shared" si="102"/>
        <v>43073</v>
      </c>
      <c r="U552" s="62">
        <f t="shared" si="103"/>
        <v>3790032</v>
      </c>
      <c r="V552" s="172">
        <f>VLOOKUP(E552,Modificaciones!$B$7:$AU$900,46,0)</f>
        <v>0</v>
      </c>
      <c r="W552" s="93">
        <f t="shared" si="101"/>
        <v>3790032</v>
      </c>
      <c r="X552" s="312" t="s">
        <v>1898</v>
      </c>
      <c r="Y552" s="881">
        <f t="shared" si="104"/>
        <v>0</v>
      </c>
      <c r="Z552" s="42">
        <f t="shared" ca="1" si="105"/>
        <v>1</v>
      </c>
      <c r="AA552" s="43">
        <f t="shared" ca="1" si="106"/>
        <v>1</v>
      </c>
      <c r="AB552" s="202" t="str">
        <f t="shared" ca="1" si="107"/>
        <v/>
      </c>
      <c r="AC552" s="44" t="str">
        <f t="shared" si="109"/>
        <v>NO</v>
      </c>
      <c r="AD552" s="765" t="s">
        <v>1715</v>
      </c>
      <c r="AE552" s="173" t="s">
        <v>1257</v>
      </c>
      <c r="AF552" s="284" t="s">
        <v>1303</v>
      </c>
      <c r="AG552" s="173" t="s">
        <v>1436</v>
      </c>
      <c r="AH552" s="284" t="s">
        <v>560</v>
      </c>
      <c r="AI552" s="308" t="s">
        <v>1390</v>
      </c>
      <c r="AJ552" s="308" t="s">
        <v>3835</v>
      </c>
      <c r="AK552" s="181" t="str">
        <f t="shared" ca="1" si="108"/>
        <v>TERMINO</v>
      </c>
      <c r="AL552" s="313" t="s">
        <v>576</v>
      </c>
      <c r="AM552" s="438" t="s">
        <v>391</v>
      </c>
      <c r="AN552" s="875" t="str">
        <f>IFERROR(VLOOKUP(E552,'liquidaciones '!$B$2:$C$1048576,2,0),"NO")</f>
        <v>NO</v>
      </c>
      <c r="AO552" s="983" t="str">
        <f>IFERROR(VLOOKUP(E552,'liquidaciones '!$B$2:$I$1048576,8,0),"")</f>
        <v/>
      </c>
      <c r="AP552" s="438"/>
      <c r="AQ552" s="438" t="s">
        <v>390</v>
      </c>
      <c r="AR552" s="177" t="s">
        <v>3074</v>
      </c>
      <c r="AS552" s="438"/>
      <c r="AT552" s="1018" t="s">
        <v>3836</v>
      </c>
    </row>
    <row r="553" spans="3:46" ht="56.25" x14ac:dyDescent="0.25">
      <c r="C553" s="896">
        <v>151</v>
      </c>
      <c r="D553" s="896"/>
      <c r="E553" s="897" t="s">
        <v>3583</v>
      </c>
      <c r="F553" s="446" t="s">
        <v>3425</v>
      </c>
      <c r="G553" s="922" t="s">
        <v>3584</v>
      </c>
      <c r="H553" s="439" t="s">
        <v>3585</v>
      </c>
      <c r="I553" s="93">
        <v>6956740</v>
      </c>
      <c r="J553" s="902" t="s">
        <v>3583</v>
      </c>
      <c r="K553" s="298">
        <v>2017</v>
      </c>
      <c r="L553" s="551">
        <v>42964</v>
      </c>
      <c r="M553" s="903">
        <v>42986</v>
      </c>
      <c r="N553" s="903">
        <v>43108</v>
      </c>
      <c r="O553" s="127">
        <f>COUNTA(Modificaciones!I539,Modificaciones!K539,Modificaciones!M539,Modificaciones!O539)</f>
        <v>0</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4">
        <f t="shared" si="102"/>
        <v>43108</v>
      </c>
      <c r="U553" s="62">
        <f t="shared" si="103"/>
        <v>6956740</v>
      </c>
      <c r="V553" s="172">
        <f>VLOOKUP(E553,Modificaciones!$B$7:$AU$900,46,0)</f>
        <v>0</v>
      </c>
      <c r="W553" s="93">
        <f t="shared" si="101"/>
        <v>6956740</v>
      </c>
      <c r="X553" s="312" t="s">
        <v>3586</v>
      </c>
      <c r="Y553" s="881">
        <f t="shared" si="104"/>
        <v>0</v>
      </c>
      <c r="Z553" s="42">
        <f t="shared" ca="1" si="105"/>
        <v>1</v>
      </c>
      <c r="AA553" s="43">
        <f t="shared" ca="1" si="106"/>
        <v>1</v>
      </c>
      <c r="AB553" s="202" t="str">
        <f t="shared" ca="1" si="107"/>
        <v/>
      </c>
      <c r="AC553" s="44" t="str">
        <f t="shared" si="109"/>
        <v>NO</v>
      </c>
      <c r="AD553" s="765" t="s">
        <v>2578</v>
      </c>
      <c r="AE553" s="173" t="s">
        <v>1257</v>
      </c>
      <c r="AF553" s="284" t="s">
        <v>1977</v>
      </c>
      <c r="AG553" s="173"/>
      <c r="AH553" s="284" t="s">
        <v>563</v>
      </c>
      <c r="AI553" s="308" t="s">
        <v>1978</v>
      </c>
      <c r="AJ553" s="308" t="s">
        <v>3838</v>
      </c>
      <c r="AK553" s="181" t="str">
        <f t="shared" ca="1" si="108"/>
        <v>TERMINO</v>
      </c>
      <c r="AL553" s="313" t="s">
        <v>582</v>
      </c>
      <c r="AM553" s="438" t="s">
        <v>390</v>
      </c>
      <c r="AN553" s="875" t="str">
        <f>IFERROR(VLOOKUP(E553,'liquidaciones '!$B$2:$C$1048576,2,0),"NO")</f>
        <v>NO</v>
      </c>
      <c r="AO553" s="983" t="str">
        <f>IFERROR(VLOOKUP(E553,'liquidaciones '!$B$2:$I$1048576,8,0),"")</f>
        <v/>
      </c>
      <c r="AP553" s="438"/>
      <c r="AQ553" s="438" t="s">
        <v>390</v>
      </c>
      <c r="AR553" s="177" t="s">
        <v>2996</v>
      </c>
      <c r="AS553" s="438"/>
      <c r="AT553" s="1018" t="s">
        <v>3759</v>
      </c>
    </row>
    <row r="554" spans="3:46" ht="45" x14ac:dyDescent="0.25">
      <c r="C554" s="896"/>
      <c r="D554" s="896"/>
      <c r="E554" s="897" t="s">
        <v>3587</v>
      </c>
      <c r="F554" s="893" t="s">
        <v>203</v>
      </c>
      <c r="G554" s="934">
        <v>860049921</v>
      </c>
      <c r="H554" s="439" t="s">
        <v>3674</v>
      </c>
      <c r="I554" s="93">
        <v>5217555</v>
      </c>
      <c r="J554" s="902" t="s">
        <v>3587</v>
      </c>
      <c r="K554" s="298">
        <v>2017</v>
      </c>
      <c r="L554" s="551">
        <v>42970</v>
      </c>
      <c r="M554" s="903">
        <v>42986</v>
      </c>
      <c r="N554" s="903">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4">
        <f t="shared" si="102"/>
        <v>43108</v>
      </c>
      <c r="U554" s="62">
        <f t="shared" si="103"/>
        <v>5217555</v>
      </c>
      <c r="V554" s="172">
        <f>VLOOKUP(E554,Modificaciones!$B$7:$AU$900,46,0)</f>
        <v>0</v>
      </c>
      <c r="W554" s="93">
        <f t="shared" si="101"/>
        <v>5217555</v>
      </c>
      <c r="X554" s="312" t="s">
        <v>3588</v>
      </c>
      <c r="Y554" s="881">
        <f t="shared" si="104"/>
        <v>0</v>
      </c>
      <c r="Z554" s="42">
        <f t="shared" ca="1" si="105"/>
        <v>1</v>
      </c>
      <c r="AA554" s="43">
        <f t="shared" ca="1" si="106"/>
        <v>1</v>
      </c>
      <c r="AB554" s="202" t="str">
        <f t="shared" ca="1" si="107"/>
        <v/>
      </c>
      <c r="AC554" s="44" t="str">
        <f t="shared" si="109"/>
        <v>NO</v>
      </c>
      <c r="AD554" s="765" t="s">
        <v>1713</v>
      </c>
      <c r="AE554" s="173" t="s">
        <v>1257</v>
      </c>
      <c r="AF554" s="304" t="s">
        <v>1351</v>
      </c>
      <c r="AG554" s="173" t="s">
        <v>1432</v>
      </c>
      <c r="AH554" s="284" t="s">
        <v>563</v>
      </c>
      <c r="AI554" s="308"/>
      <c r="AJ554" s="308" t="s">
        <v>3838</v>
      </c>
      <c r="AK554" s="181" t="str">
        <f t="shared" ca="1" si="108"/>
        <v>TERMINO</v>
      </c>
      <c r="AL554" s="181" t="s">
        <v>582</v>
      </c>
      <c r="AM554" s="438" t="s">
        <v>390</v>
      </c>
      <c r="AN554" s="875" t="str">
        <f>IFERROR(VLOOKUP(E554,'liquidaciones '!$B$2:$C$1048576,2,0),"NO")</f>
        <v>NO</v>
      </c>
      <c r="AO554" s="983" t="str">
        <f>IFERROR(VLOOKUP(E554,'liquidaciones '!$B$2:$I$1048576,8,0),"")</f>
        <v/>
      </c>
      <c r="AP554" s="438"/>
      <c r="AQ554" s="438" t="s">
        <v>390</v>
      </c>
      <c r="AR554" s="177" t="s">
        <v>2996</v>
      </c>
      <c r="AS554" s="438"/>
      <c r="AT554" s="1018" t="s">
        <v>3759</v>
      </c>
    </row>
    <row r="555" spans="3:46" ht="78.75" x14ac:dyDescent="0.25">
      <c r="C555" s="896">
        <v>197</v>
      </c>
      <c r="D555" s="896"/>
      <c r="E555" s="897" t="s">
        <v>3589</v>
      </c>
      <c r="F555" s="446" t="s">
        <v>3590</v>
      </c>
      <c r="G555" s="922" t="s">
        <v>3591</v>
      </c>
      <c r="H555" s="439" t="s">
        <v>3592</v>
      </c>
      <c r="I555" s="93">
        <v>259000000</v>
      </c>
      <c r="J555" s="902" t="s">
        <v>3593</v>
      </c>
      <c r="K555" s="298">
        <v>2017</v>
      </c>
      <c r="L555" s="551">
        <v>42975</v>
      </c>
      <c r="M555" s="903">
        <v>42990</v>
      </c>
      <c r="N555" s="903">
        <v>43324</v>
      </c>
      <c r="O555" s="127">
        <f>COUNTA(Modificaciones!I541,Modificaciones!K541,Modificaciones!M541,Modificaciones!O541)</f>
        <v>0</v>
      </c>
      <c r="P555" s="128">
        <f>VLOOKUP(E555,Modificaciones!$B$7:$Q$900,16,0)</f>
        <v>0</v>
      </c>
      <c r="Q555" s="129">
        <f>COUNTA(Modificaciones!S555,Modificaciones!U555,Modificaciones!W555,Modificaciones!Y555)</f>
        <v>0</v>
      </c>
      <c r="R555" s="130" t="str">
        <f>IF(Modificaciones!Z555=0,"",VLOOKUP(E555,Modificaciones!$B$7:$AA$500,25,0))</f>
        <v/>
      </c>
      <c r="S555" s="131" t="str">
        <f>IF(Modificaciones!AA555=0,"",VLOOKUP(E555,Modificaciones!$B$7:$AA$500,26,0))</f>
        <v/>
      </c>
      <c r="T555" s="884">
        <f t="shared" si="102"/>
        <v>43324</v>
      </c>
      <c r="U555" s="62">
        <f t="shared" si="103"/>
        <v>259000000</v>
      </c>
      <c r="V555" s="172">
        <f>VLOOKUP(E555,Modificaciones!$B$7:$AU$900,46,0)</f>
        <v>9084052</v>
      </c>
      <c r="W555" s="93">
        <f t="shared" si="101"/>
        <v>249915948</v>
      </c>
      <c r="X555" s="312"/>
      <c r="Y555" s="881">
        <f t="shared" si="104"/>
        <v>3.5073559845559849E-2</v>
      </c>
      <c r="Z555" s="42">
        <f t="shared" ca="1" si="105"/>
        <v>0.38323353293413176</v>
      </c>
      <c r="AA555" s="43">
        <f t="shared" ca="1" si="106"/>
        <v>0.34815997308857194</v>
      </c>
      <c r="AB555" s="202">
        <f t="shared" ca="1" si="107"/>
        <v>206</v>
      </c>
      <c r="AC555" s="44" t="str">
        <f t="shared" si="109"/>
        <v>NO</v>
      </c>
      <c r="AD555" s="765" t="s">
        <v>1720</v>
      </c>
      <c r="AE555" s="173" t="s">
        <v>1257</v>
      </c>
      <c r="AF555" s="284" t="s">
        <v>2564</v>
      </c>
      <c r="AG555" s="173"/>
      <c r="AH555" s="284"/>
      <c r="AI555" s="308" t="s">
        <v>1381</v>
      </c>
      <c r="AJ555" s="308" t="s">
        <v>2850</v>
      </c>
      <c r="AK555" s="181" t="str">
        <f t="shared" ca="1" si="108"/>
        <v>EN EJECUCIÓN</v>
      </c>
      <c r="AL555" s="313" t="s">
        <v>574</v>
      </c>
      <c r="AM555" s="176" t="s">
        <v>390</v>
      </c>
      <c r="AN555" s="875" t="str">
        <f>IFERROR(VLOOKUP(E555,'liquidaciones '!$B$2:$C$1048576,2,0),"NO")</f>
        <v>NO</v>
      </c>
      <c r="AO555" s="983" t="str">
        <f>IFERROR(VLOOKUP(E555,'liquidaciones '!$B$2:$I$1048576,8,0),"")</f>
        <v/>
      </c>
      <c r="AP555" s="438"/>
      <c r="AQ555" s="177" t="s">
        <v>390</v>
      </c>
      <c r="AR555" s="177" t="s">
        <v>3596</v>
      </c>
      <c r="AS555" s="438"/>
      <c r="AT555" s="1018" t="s">
        <v>3754</v>
      </c>
    </row>
    <row r="556" spans="3:46" ht="45" x14ac:dyDescent="0.25">
      <c r="C556" s="896">
        <v>170</v>
      </c>
      <c r="D556" s="896"/>
      <c r="E556" s="897" t="s">
        <v>3598</v>
      </c>
      <c r="F556" s="446" t="s">
        <v>3599</v>
      </c>
      <c r="G556" s="922">
        <v>901017183</v>
      </c>
      <c r="H556" s="439" t="s">
        <v>3600</v>
      </c>
      <c r="I556" s="93">
        <v>840000</v>
      </c>
      <c r="J556" s="902" t="s">
        <v>3598</v>
      </c>
      <c r="K556" s="298">
        <v>2017</v>
      </c>
      <c r="L556" s="551">
        <v>42983</v>
      </c>
      <c r="M556" s="903">
        <v>43069</v>
      </c>
      <c r="N556" s="903">
        <v>43434</v>
      </c>
      <c r="O556" s="127">
        <f>COUNTA(Modificaciones!I542,Modificaciones!K542,Modificaciones!M542,Modificaciones!O542)</f>
        <v>0</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4">
        <f t="shared" si="102"/>
        <v>43434</v>
      </c>
      <c r="U556" s="62">
        <f t="shared" si="103"/>
        <v>840000</v>
      </c>
      <c r="V556" s="172">
        <f>VLOOKUP(E556,Modificaciones!$B$7:$AU$900,46,0)</f>
        <v>840000</v>
      </c>
      <c r="W556" s="93">
        <f t="shared" si="101"/>
        <v>0</v>
      </c>
      <c r="X556" s="312" t="s">
        <v>2119</v>
      </c>
      <c r="Y556" s="881">
        <f t="shared" si="104"/>
        <v>1</v>
      </c>
      <c r="Z556" s="42">
        <f t="shared" ca="1" si="105"/>
        <v>0.13424657534246576</v>
      </c>
      <c r="AA556" s="43">
        <f t="shared" ca="1" si="106"/>
        <v>-0.86575342465753424</v>
      </c>
      <c r="AB556" s="202">
        <f t="shared" ca="1" si="107"/>
        <v>316</v>
      </c>
      <c r="AC556" s="44" t="str">
        <f t="shared" si="109"/>
        <v>SI</v>
      </c>
      <c r="AD556" s="765" t="s">
        <v>1717</v>
      </c>
      <c r="AE556" s="173" t="s">
        <v>1257</v>
      </c>
      <c r="AF556" s="284" t="s">
        <v>1126</v>
      </c>
      <c r="AG556" s="173" t="s">
        <v>1431</v>
      </c>
      <c r="AH556" s="284" t="s">
        <v>564</v>
      </c>
      <c r="AI556" s="308"/>
      <c r="AJ556" s="308" t="s">
        <v>3839</v>
      </c>
      <c r="AK556" s="181" t="str">
        <f t="shared" ca="1" si="108"/>
        <v>EN EJECUCIÓN</v>
      </c>
      <c r="AL556" s="313" t="s">
        <v>582</v>
      </c>
      <c r="AM556" s="176" t="s">
        <v>390</v>
      </c>
      <c r="AN556" s="875" t="str">
        <f>IFERROR(VLOOKUP(E556,'liquidaciones '!$B$2:$C$1048576,2,0),"NO")</f>
        <v>NO</v>
      </c>
      <c r="AO556" s="983" t="str">
        <f>IFERROR(VLOOKUP(E556,'liquidaciones '!$B$2:$I$1048576,8,0),"")</f>
        <v/>
      </c>
      <c r="AP556" s="438"/>
      <c r="AQ556" s="438" t="s">
        <v>390</v>
      </c>
      <c r="AR556" s="177" t="s">
        <v>2982</v>
      </c>
      <c r="AS556" s="438"/>
      <c r="AT556" s="1018" t="s">
        <v>3753</v>
      </c>
    </row>
    <row r="557" spans="3:46" ht="45" x14ac:dyDescent="0.25">
      <c r="C557" s="896">
        <v>206</v>
      </c>
      <c r="D557" s="896"/>
      <c r="E557" s="897" t="s">
        <v>3601</v>
      </c>
      <c r="F557" s="446" t="s">
        <v>3602</v>
      </c>
      <c r="G557" s="922" t="s">
        <v>3603</v>
      </c>
      <c r="H557" s="439" t="s">
        <v>3604</v>
      </c>
      <c r="I557" s="93">
        <v>855382000</v>
      </c>
      <c r="J557" s="902" t="s">
        <v>3605</v>
      </c>
      <c r="K557" s="298">
        <v>2017</v>
      </c>
      <c r="L557" s="551">
        <v>42984</v>
      </c>
      <c r="M557" s="903">
        <v>42999</v>
      </c>
      <c r="N557" s="903">
        <v>43241</v>
      </c>
      <c r="O557" s="127">
        <f>COUNTA(Modificaciones!I543,Modificaciones!K543,Modificaciones!M543,Modificaciones!O543)</f>
        <v>0</v>
      </c>
      <c r="P557" s="128">
        <f>VLOOKUP(E557,Modificaciones!$B$7:$Q$900,16,0)</f>
        <v>0</v>
      </c>
      <c r="Q557" s="129">
        <f>COUNTA(Modificaciones!S557,Modificaciones!U557,Modificaciones!W557,Modificaciones!Y557)</f>
        <v>0</v>
      </c>
      <c r="R557" s="130" t="str">
        <f>IF(Modificaciones!Z557=0,"",VLOOKUP(E557,Modificaciones!$B$7:$AA$500,25,0))</f>
        <v/>
      </c>
      <c r="S557" s="131" t="str">
        <f>IF(Modificaciones!AA557=0,"",VLOOKUP(E557,Modificaciones!$B$7:$AA$500,26,0))</f>
        <v/>
      </c>
      <c r="T557" s="884">
        <f t="shared" si="102"/>
        <v>43241</v>
      </c>
      <c r="U557" s="62">
        <f t="shared" si="103"/>
        <v>855382000</v>
      </c>
      <c r="V557" s="172">
        <f>VLOOKUP(E557,Modificaciones!$B$7:$AU$900,46,0)</f>
        <v>0</v>
      </c>
      <c r="W557" s="93">
        <f t="shared" si="101"/>
        <v>855382000</v>
      </c>
      <c r="X557" s="312" t="s">
        <v>2672</v>
      </c>
      <c r="Y557" s="881">
        <f t="shared" si="104"/>
        <v>0</v>
      </c>
      <c r="Z557" s="42">
        <f t="shared" ca="1" si="105"/>
        <v>0.49173553719008267</v>
      </c>
      <c r="AA557" s="43">
        <f t="shared" ca="1" si="106"/>
        <v>0.49173553719008267</v>
      </c>
      <c r="AB557" s="202">
        <f t="shared" ca="1" si="107"/>
        <v>123</v>
      </c>
      <c r="AC557" s="44" t="str">
        <f t="shared" si="109"/>
        <v>NO</v>
      </c>
      <c r="AD557" s="765" t="s">
        <v>1713</v>
      </c>
      <c r="AE557" s="173" t="s">
        <v>1257</v>
      </c>
      <c r="AF557" s="284" t="s">
        <v>1281</v>
      </c>
      <c r="AG557" s="173" t="s">
        <v>1436</v>
      </c>
      <c r="AH557" s="284" t="s">
        <v>560</v>
      </c>
      <c r="AI557" s="308" t="s">
        <v>1387</v>
      </c>
      <c r="AJ557" s="308" t="s">
        <v>3835</v>
      </c>
      <c r="AK557" s="181" t="str">
        <f t="shared" ca="1" si="108"/>
        <v>EN EJECUCIÓN</v>
      </c>
      <c r="AL557" s="313" t="s">
        <v>573</v>
      </c>
      <c r="AM557" s="438" t="s">
        <v>390</v>
      </c>
      <c r="AN557" s="875" t="str">
        <f>IFERROR(VLOOKUP(E557,'liquidaciones '!$B$2:$C$1048576,2,0),"NO")</f>
        <v>NO</v>
      </c>
      <c r="AO557" s="983" t="str">
        <f>IFERROR(VLOOKUP(E557,'liquidaciones '!$B$2:$I$1048576,8,0),"")</f>
        <v/>
      </c>
      <c r="AP557" s="438"/>
      <c r="AQ557" s="438" t="s">
        <v>390</v>
      </c>
      <c r="AR557" s="177" t="s">
        <v>1511</v>
      </c>
      <c r="AS557" s="438" t="s">
        <v>3819</v>
      </c>
      <c r="AT557" s="1018" t="s">
        <v>3836</v>
      </c>
    </row>
    <row r="558" spans="3:46" ht="45" x14ac:dyDescent="0.25">
      <c r="C558" s="896">
        <v>154</v>
      </c>
      <c r="D558" s="896"/>
      <c r="E558" s="897" t="s">
        <v>3606</v>
      </c>
      <c r="F558" s="446" t="s">
        <v>3607</v>
      </c>
      <c r="G558" s="922">
        <v>52733413</v>
      </c>
      <c r="H558" s="945" t="s">
        <v>2511</v>
      </c>
      <c r="I558" s="93">
        <v>22800000</v>
      </c>
      <c r="J558" s="902" t="s">
        <v>3606</v>
      </c>
      <c r="K558" s="298">
        <v>2017</v>
      </c>
      <c r="L558" s="551">
        <v>42984</v>
      </c>
      <c r="M558" s="903">
        <v>42997</v>
      </c>
      <c r="N558" s="903">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4">
        <f t="shared" si="102"/>
        <v>43119</v>
      </c>
      <c r="U558" s="62">
        <f t="shared" si="103"/>
        <v>22800000</v>
      </c>
      <c r="V558" s="172">
        <f>VLOOKUP(E558,Modificaciones!$B$7:$AU$900,46,0)</f>
        <v>19380000</v>
      </c>
      <c r="W558" s="93">
        <f t="shared" si="101"/>
        <v>3420000</v>
      </c>
      <c r="X558" s="312" t="s">
        <v>1970</v>
      </c>
      <c r="Y558" s="881">
        <f t="shared" si="104"/>
        <v>0.85</v>
      </c>
      <c r="Z558" s="42">
        <f t="shared" ca="1" si="105"/>
        <v>0.99180327868852458</v>
      </c>
      <c r="AA558" s="43">
        <f t="shared" ca="1" si="106"/>
        <v>0.1418032786885246</v>
      </c>
      <c r="AB558" s="202">
        <f t="shared" ca="1" si="107"/>
        <v>1</v>
      </c>
      <c r="AC558" s="44" t="str">
        <f t="shared" si="109"/>
        <v>NO</v>
      </c>
      <c r="AD558" s="765" t="s">
        <v>1714</v>
      </c>
      <c r="AE558" s="173" t="s">
        <v>1257</v>
      </c>
      <c r="AF558" s="284" t="s">
        <v>1971</v>
      </c>
      <c r="AG558" s="173" t="s">
        <v>1430</v>
      </c>
      <c r="AH558" s="284" t="s">
        <v>563</v>
      </c>
      <c r="AI558" s="308"/>
      <c r="AJ558" s="308" t="s">
        <v>3835</v>
      </c>
      <c r="AK558" s="181" t="str">
        <f t="shared" ca="1" si="108"/>
        <v>EN EJECUCIÓN</v>
      </c>
      <c r="AL558" s="313" t="s">
        <v>582</v>
      </c>
      <c r="AM558" s="438" t="s">
        <v>391</v>
      </c>
      <c r="AN558" s="875" t="str">
        <f>IFERROR(VLOOKUP(E558,'liquidaciones '!$B$2:$C$1048576,2,0),"NO")</f>
        <v>NO</v>
      </c>
      <c r="AO558" s="983" t="str">
        <f>IFERROR(VLOOKUP(E558,'liquidaciones '!$B$2:$I$1048576,8,0),"")</f>
        <v/>
      </c>
      <c r="AP558" s="438"/>
      <c r="AQ558" s="438" t="s">
        <v>390</v>
      </c>
      <c r="AR558" s="177" t="s">
        <v>3074</v>
      </c>
      <c r="AS558" s="438"/>
      <c r="AT558" s="1018" t="s">
        <v>3836</v>
      </c>
    </row>
    <row r="559" spans="3:46" ht="123.75" x14ac:dyDescent="0.25">
      <c r="C559" s="896">
        <v>226</v>
      </c>
      <c r="D559" s="896"/>
      <c r="E559" s="897" t="s">
        <v>3613</v>
      </c>
      <c r="F559" s="446" t="s">
        <v>3614</v>
      </c>
      <c r="G559" s="922">
        <v>900446648</v>
      </c>
      <c r="H559" s="439" t="s">
        <v>3615</v>
      </c>
      <c r="I559" s="93">
        <v>12595436</v>
      </c>
      <c r="J559" s="902" t="s">
        <v>3617</v>
      </c>
      <c r="K559" s="298">
        <v>2017</v>
      </c>
      <c r="L559" s="551">
        <v>42993</v>
      </c>
      <c r="M559" s="903">
        <v>42999</v>
      </c>
      <c r="N559" s="903">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4">
        <f t="shared" si="102"/>
        <v>43364</v>
      </c>
      <c r="U559" s="62">
        <f t="shared" si="103"/>
        <v>12595436</v>
      </c>
      <c r="V559" s="172">
        <f>VLOOKUP(E559,Modificaciones!$B$7:$AU$900,46,0)</f>
        <v>12595436</v>
      </c>
      <c r="W559" s="93">
        <f t="shared" si="101"/>
        <v>0</v>
      </c>
      <c r="X559" s="318" t="s">
        <v>3616</v>
      </c>
      <c r="Y559" s="881">
        <f t="shared" si="104"/>
        <v>1</v>
      </c>
      <c r="Z559" s="42">
        <f t="shared" ca="1" si="105"/>
        <v>0.32602739726027397</v>
      </c>
      <c r="AA559" s="43">
        <f t="shared" ca="1" si="106"/>
        <v>-0.67397260273972603</v>
      </c>
      <c r="AB559" s="202">
        <f t="shared" ca="1" si="107"/>
        <v>246</v>
      </c>
      <c r="AC559" s="44" t="str">
        <f t="shared" si="109"/>
        <v>SI</v>
      </c>
      <c r="AD559" s="897" t="s">
        <v>1715</v>
      </c>
      <c r="AE559" s="900" t="s">
        <v>1258</v>
      </c>
      <c r="AF559" s="900" t="s">
        <v>1175</v>
      </c>
      <c r="AG559" s="173" t="s">
        <v>1440</v>
      </c>
      <c r="AH559" s="284" t="s">
        <v>560</v>
      </c>
      <c r="AI559" s="308" t="s">
        <v>1510</v>
      </c>
      <c r="AJ559" s="308" t="s">
        <v>3835</v>
      </c>
      <c r="AK559" s="181" t="str">
        <f t="shared" ca="1" si="108"/>
        <v>EN EJECUCIÓN</v>
      </c>
      <c r="AL559" s="446" t="s">
        <v>2923</v>
      </c>
      <c r="AM559" s="438" t="s">
        <v>390</v>
      </c>
      <c r="AN559" s="875" t="str">
        <f>IFERROR(VLOOKUP(E559,'liquidaciones '!$B$2:$C$1048576,2,0),"NO")</f>
        <v>NO</v>
      </c>
      <c r="AO559" s="983" t="str">
        <f>IFERROR(VLOOKUP(E559,'liquidaciones '!$B$2:$I$1048576,8,0),"")</f>
        <v/>
      </c>
      <c r="AP559" s="438"/>
      <c r="AQ559" s="438" t="s">
        <v>390</v>
      </c>
      <c r="AR559" s="177" t="s">
        <v>3817</v>
      </c>
      <c r="AS559" s="438"/>
      <c r="AT559" s="1018" t="s">
        <v>3836</v>
      </c>
    </row>
    <row r="560" spans="3:46" ht="45" x14ac:dyDescent="0.25">
      <c r="C560" s="896">
        <v>187</v>
      </c>
      <c r="D560" s="896"/>
      <c r="E560" s="897" t="s">
        <v>3618</v>
      </c>
      <c r="F560" s="446" t="s">
        <v>3619</v>
      </c>
      <c r="G560" s="922">
        <v>830085106</v>
      </c>
      <c r="H560" s="439" t="s">
        <v>3620</v>
      </c>
      <c r="I560" s="93">
        <v>6711600</v>
      </c>
      <c r="J560" s="902" t="s">
        <v>3622</v>
      </c>
      <c r="K560" s="298">
        <v>2017</v>
      </c>
      <c r="L560" s="551">
        <v>42996</v>
      </c>
      <c r="M560" s="903">
        <v>43004</v>
      </c>
      <c r="N560" s="903">
        <v>43185</v>
      </c>
      <c r="O560" s="127">
        <f>COUNTA(Modificaciones!I546,Modificaciones!K546,Modificaciones!M546,Modificaciones!O546)</f>
        <v>0</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4">
        <f t="shared" si="102"/>
        <v>43185</v>
      </c>
      <c r="U560" s="62">
        <f t="shared" si="103"/>
        <v>6711600</v>
      </c>
      <c r="V560" s="172">
        <f>VLOOKUP(E560,Modificaciones!$B$7:$AU$900,46,0)</f>
        <v>3213000</v>
      </c>
      <c r="W560" s="93">
        <f t="shared" si="101"/>
        <v>3498600</v>
      </c>
      <c r="X560" s="312" t="s">
        <v>1961</v>
      </c>
      <c r="Y560" s="881">
        <f t="shared" si="104"/>
        <v>0.47872340425531917</v>
      </c>
      <c r="Z560" s="42">
        <f t="shared" ca="1" si="105"/>
        <v>0.62983425414364635</v>
      </c>
      <c r="AA560" s="43">
        <f t="shared" ca="1" si="106"/>
        <v>0.15111084988832718</v>
      </c>
      <c r="AB560" s="202">
        <f t="shared" ca="1" si="107"/>
        <v>67</v>
      </c>
      <c r="AC560" s="44" t="str">
        <f t="shared" si="109"/>
        <v>NO</v>
      </c>
      <c r="AD560" s="765" t="s">
        <v>1716</v>
      </c>
      <c r="AE560" s="173" t="s">
        <v>1257</v>
      </c>
      <c r="AF560" s="284" t="s">
        <v>1962</v>
      </c>
      <c r="AG560" s="173" t="s">
        <v>1443</v>
      </c>
      <c r="AH560" s="284" t="s">
        <v>560</v>
      </c>
      <c r="AI560" s="308"/>
      <c r="AJ560" s="308" t="s">
        <v>3835</v>
      </c>
      <c r="AK560" s="181" t="str">
        <f t="shared" ca="1" si="108"/>
        <v>EN EJECUCIÓN</v>
      </c>
      <c r="AL560" s="313" t="s">
        <v>576</v>
      </c>
      <c r="AM560" s="176" t="s">
        <v>390</v>
      </c>
      <c r="AN560" s="875" t="str">
        <f>IFERROR(VLOOKUP(E560,'liquidaciones '!$B$2:$C$1048576,2,0),"NO")</f>
        <v>NO</v>
      </c>
      <c r="AO560" s="983" t="str">
        <f>IFERROR(VLOOKUP(E560,'liquidaciones '!$B$2:$I$1048576,8,0),"")</f>
        <v/>
      </c>
      <c r="AP560" s="438"/>
      <c r="AQ560" s="438" t="s">
        <v>390</v>
      </c>
      <c r="AR560" s="177" t="s">
        <v>1511</v>
      </c>
      <c r="AS560" s="438"/>
      <c r="AT560" s="1018" t="s">
        <v>3836</v>
      </c>
    </row>
    <row r="561" spans="3:46" ht="45" x14ac:dyDescent="0.25">
      <c r="C561" s="896">
        <v>171</v>
      </c>
      <c r="D561" s="896"/>
      <c r="E561" s="897" t="s">
        <v>3621</v>
      </c>
      <c r="F561" s="446" t="s">
        <v>2121</v>
      </c>
      <c r="G561" s="934">
        <v>860007590</v>
      </c>
      <c r="H561" s="945" t="s">
        <v>2657</v>
      </c>
      <c r="I561" s="93">
        <v>1185000</v>
      </c>
      <c r="J561" s="902" t="s">
        <v>3621</v>
      </c>
      <c r="K561" s="298">
        <v>2017</v>
      </c>
      <c r="L561" s="551">
        <v>42998</v>
      </c>
      <c r="M561" s="903">
        <v>43010</v>
      </c>
      <c r="N561" s="903">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4">
        <f t="shared" si="102"/>
        <v>43375</v>
      </c>
      <c r="U561" s="62">
        <f t="shared" si="103"/>
        <v>1185000</v>
      </c>
      <c r="V561" s="172">
        <f>VLOOKUP(E561,Modificaciones!$B$7:$AU$900,46,0)</f>
        <v>1185000</v>
      </c>
      <c r="W561" s="93">
        <f t="shared" si="101"/>
        <v>0</v>
      </c>
      <c r="X561" s="312" t="s">
        <v>2097</v>
      </c>
      <c r="Y561" s="881">
        <f t="shared" si="104"/>
        <v>1</v>
      </c>
      <c r="Z561" s="42">
        <f t="shared" ca="1" si="105"/>
        <v>0.29589041095890412</v>
      </c>
      <c r="AA561" s="43">
        <f t="shared" ca="1" si="106"/>
        <v>-0.70410958904109588</v>
      </c>
      <c r="AB561" s="202">
        <f t="shared" ca="1" si="107"/>
        <v>257</v>
      </c>
      <c r="AC561" s="44" t="str">
        <f t="shared" si="109"/>
        <v>SI</v>
      </c>
      <c r="AD561" s="765" t="s">
        <v>1717</v>
      </c>
      <c r="AE561" s="173" t="s">
        <v>1257</v>
      </c>
      <c r="AF561" s="284" t="s">
        <v>1126</v>
      </c>
      <c r="AG561" s="173" t="s">
        <v>1431</v>
      </c>
      <c r="AH561" s="284" t="s">
        <v>564</v>
      </c>
      <c r="AI561" s="308"/>
      <c r="AJ561" s="308" t="s">
        <v>3839</v>
      </c>
      <c r="AK561" s="181" t="str">
        <f t="shared" ca="1" si="108"/>
        <v>EN EJECUCIÓN</v>
      </c>
      <c r="AL561" s="313" t="s">
        <v>582</v>
      </c>
      <c r="AM561" s="176" t="s">
        <v>390</v>
      </c>
      <c r="AN561" s="875" t="str">
        <f>IFERROR(VLOOKUP(E561,'liquidaciones '!$B$2:$C$1048576,2,0),"NO")</f>
        <v>NO</v>
      </c>
      <c r="AO561" s="983" t="str">
        <f>IFERROR(VLOOKUP(E561,'liquidaciones '!$B$2:$I$1048576,8,0),"")</f>
        <v/>
      </c>
      <c r="AP561" s="438"/>
      <c r="AQ561" s="177" t="s">
        <v>390</v>
      </c>
      <c r="AR561" s="177" t="s">
        <v>3074</v>
      </c>
      <c r="AS561" s="438"/>
      <c r="AT561" s="1018" t="s">
        <v>3753</v>
      </c>
    </row>
    <row r="562" spans="3:46" ht="45" x14ac:dyDescent="0.25">
      <c r="C562" s="896"/>
      <c r="D562" s="896"/>
      <c r="E562" s="897" t="s">
        <v>3624</v>
      </c>
      <c r="F562" s="446" t="s">
        <v>3625</v>
      </c>
      <c r="G562" s="922">
        <v>1022949330</v>
      </c>
      <c r="H562" s="439" t="s">
        <v>3626</v>
      </c>
      <c r="I562" s="93">
        <v>7500000</v>
      </c>
      <c r="J562" s="902" t="s">
        <v>3624</v>
      </c>
      <c r="K562" s="298">
        <v>2017</v>
      </c>
      <c r="L562" s="551">
        <v>42999</v>
      </c>
      <c r="M562" s="903">
        <v>43006</v>
      </c>
      <c r="N562" s="903">
        <v>43100</v>
      </c>
      <c r="O562" s="127">
        <f>COUNTA(Modificaciones!I548,Modificaciones!K548,Modificaciones!M548,Modificaciones!O548)</f>
        <v>0</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4">
        <f t="shared" si="102"/>
        <v>43125</v>
      </c>
      <c r="U562" s="62">
        <f t="shared" si="103"/>
        <v>7500000</v>
      </c>
      <c r="V562" s="172">
        <f>VLOOKUP(E562,Modificaciones!$B$7:$AU$900,46,0)</f>
        <v>5812500</v>
      </c>
      <c r="W562" s="93">
        <f t="shared" si="101"/>
        <v>1687500</v>
      </c>
      <c r="X562" s="312" t="s">
        <v>1970</v>
      </c>
      <c r="Y562" s="881">
        <f t="shared" si="104"/>
        <v>0.77500000000000002</v>
      </c>
      <c r="Z562" s="42">
        <f t="shared" ca="1" si="105"/>
        <v>0.94117647058823528</v>
      </c>
      <c r="AA562" s="43">
        <f t="shared" ca="1" si="106"/>
        <v>0.16617647058823526</v>
      </c>
      <c r="AB562" s="202">
        <f t="shared" ca="1" si="107"/>
        <v>7</v>
      </c>
      <c r="AC562" s="44" t="str">
        <f t="shared" ref="AC562:AC593" si="110">IF(Y562&lt;=99.9%,"NO","SI")</f>
        <v>NO</v>
      </c>
      <c r="AD562" s="765" t="s">
        <v>1714</v>
      </c>
      <c r="AE562" s="173" t="s">
        <v>1257</v>
      </c>
      <c r="AF562" s="284" t="s">
        <v>3627</v>
      </c>
      <c r="AG562" s="897" t="s">
        <v>3628</v>
      </c>
      <c r="AH562" s="284" t="s">
        <v>560</v>
      </c>
      <c r="AI562" s="897" t="s">
        <v>3629</v>
      </c>
      <c r="AJ562" s="308" t="s">
        <v>3835</v>
      </c>
      <c r="AK562" s="181" t="str">
        <f t="shared" ca="1" si="108"/>
        <v>EN EJECUCIÓN</v>
      </c>
      <c r="AL562" s="313" t="s">
        <v>582</v>
      </c>
      <c r="AM562" s="438" t="s">
        <v>391</v>
      </c>
      <c r="AN562" s="875" t="str">
        <f>IFERROR(VLOOKUP(E562,'liquidaciones '!$B$2:$C$1048576,2,0),"NO")</f>
        <v>NO</v>
      </c>
      <c r="AO562" s="983" t="str">
        <f>IFERROR(VLOOKUP(E562,'liquidaciones '!$B$2:$I$1048576,8,0),"")</f>
        <v/>
      </c>
      <c r="AP562" s="438"/>
      <c r="AQ562" s="438" t="s">
        <v>390</v>
      </c>
      <c r="AR562" s="177" t="s">
        <v>3074</v>
      </c>
      <c r="AS562" s="438"/>
      <c r="AT562" s="1018" t="s">
        <v>3836</v>
      </c>
    </row>
    <row r="563" spans="3:46" ht="56.25" x14ac:dyDescent="0.25">
      <c r="C563" s="896">
        <v>86</v>
      </c>
      <c r="D563" s="896"/>
      <c r="E563" s="897" t="s">
        <v>3630</v>
      </c>
      <c r="F563" s="446" t="s">
        <v>1865</v>
      </c>
      <c r="G563" s="922">
        <v>830124848</v>
      </c>
      <c r="H563" s="945" t="s">
        <v>3631</v>
      </c>
      <c r="I563" s="93">
        <v>30000000</v>
      </c>
      <c r="J563" s="902" t="s">
        <v>3632</v>
      </c>
      <c r="K563" s="298">
        <v>2017</v>
      </c>
      <c r="L563" s="551">
        <v>42993</v>
      </c>
      <c r="M563" s="903">
        <v>43020</v>
      </c>
      <c r="N563" s="903">
        <v>43202</v>
      </c>
      <c r="O563" s="127">
        <f>COUNTA(Modificaciones!I549,Modificaciones!K549,Modificaciones!M549,Modificaciones!O549)</f>
        <v>0</v>
      </c>
      <c r="P563" s="128">
        <f>VLOOKUP(E563,Modificaciones!$B$7:$Q$900,16,0)</f>
        <v>0</v>
      </c>
      <c r="Q563" s="129">
        <f>COUNTA(Modificaciones!S563,Modificaciones!U563,Modificaciones!W563,Modificaciones!Y563)</f>
        <v>0</v>
      </c>
      <c r="R563" s="130" t="str">
        <f>IF(Modificaciones!Z563=0,"",VLOOKUP(E563,Modificaciones!$B$7:$AA$500,25,0))</f>
        <v/>
      </c>
      <c r="S563" s="131" t="str">
        <f>IF(Modificaciones!AA563=0,"",VLOOKUP(E563,Modificaciones!$B$7:$AA$500,26,0))</f>
        <v/>
      </c>
      <c r="T563" s="884">
        <f t="shared" si="102"/>
        <v>43202</v>
      </c>
      <c r="U563" s="62">
        <f t="shared" si="103"/>
        <v>30000000</v>
      </c>
      <c r="V563" s="172">
        <f>VLOOKUP(E563,Modificaciones!$B$7:$AU$900,46,0)</f>
        <v>0</v>
      </c>
      <c r="W563" s="93">
        <f t="shared" si="101"/>
        <v>30000000</v>
      </c>
      <c r="X563" s="312" t="s">
        <v>1867</v>
      </c>
      <c r="Y563" s="881">
        <f t="shared" si="104"/>
        <v>0</v>
      </c>
      <c r="Z563" s="42">
        <f t="shared" ca="1" si="105"/>
        <v>0.53846153846153844</v>
      </c>
      <c r="AA563" s="43">
        <f t="shared" ca="1" si="106"/>
        <v>0.53846153846153844</v>
      </c>
      <c r="AB563" s="202">
        <f t="shared" ca="1" si="107"/>
        <v>84</v>
      </c>
      <c r="AC563" s="44" t="str">
        <f t="shared" si="110"/>
        <v>NO</v>
      </c>
      <c r="AD563" s="765" t="s">
        <v>1713</v>
      </c>
      <c r="AE563" s="173" t="s">
        <v>1258</v>
      </c>
      <c r="AF563" s="304" t="s">
        <v>1167</v>
      </c>
      <c r="AG563" s="173" t="s">
        <v>1440</v>
      </c>
      <c r="AH563" s="284" t="s">
        <v>560</v>
      </c>
      <c r="AI563" s="308" t="s">
        <v>1510</v>
      </c>
      <c r="AJ563" s="308" t="s">
        <v>3835</v>
      </c>
      <c r="AK563" s="181" t="str">
        <f t="shared" ca="1" si="108"/>
        <v>EN EJECUCIÓN</v>
      </c>
      <c r="AL563" s="313" t="s">
        <v>576</v>
      </c>
      <c r="AM563" s="438" t="s">
        <v>390</v>
      </c>
      <c r="AN563" s="875" t="str">
        <f>IFERROR(VLOOKUP(E563,'liquidaciones '!$B$2:$C$1048576,2,0),"NO")</f>
        <v>NO</v>
      </c>
      <c r="AO563" s="983" t="str">
        <f>IFERROR(VLOOKUP(E563,'liquidaciones '!$B$2:$I$1048576,8,0),"")</f>
        <v/>
      </c>
      <c r="AP563" s="438"/>
      <c r="AQ563" s="438" t="s">
        <v>390</v>
      </c>
      <c r="AR563" s="438" t="s">
        <v>3541</v>
      </c>
      <c r="AS563" s="438"/>
      <c r="AT563" s="1018" t="s">
        <v>3836</v>
      </c>
    </row>
    <row r="564" spans="3:46" ht="101.25" x14ac:dyDescent="0.25">
      <c r="C564" s="896">
        <v>166</v>
      </c>
      <c r="D564" s="896"/>
      <c r="E564" s="897" t="s">
        <v>3633</v>
      </c>
      <c r="F564" s="446" t="s">
        <v>3634</v>
      </c>
      <c r="G564" s="922">
        <v>800109177</v>
      </c>
      <c r="H564" s="945" t="s">
        <v>3056</v>
      </c>
      <c r="I564" s="93">
        <v>975000</v>
      </c>
      <c r="J564" s="902" t="s">
        <v>3635</v>
      </c>
      <c r="K564" s="298">
        <v>2017</v>
      </c>
      <c r="L564" s="551">
        <v>43003</v>
      </c>
      <c r="M564" s="903">
        <v>43034</v>
      </c>
      <c r="N564" s="903">
        <v>43399</v>
      </c>
      <c r="O564" s="127">
        <f>COUNTA(Modificaciones!I550,Modificaciones!K550,Modificaciones!M550,Modificaciones!O550)</f>
        <v>0</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4">
        <f t="shared" si="102"/>
        <v>43399</v>
      </c>
      <c r="U564" s="62">
        <f t="shared" si="103"/>
        <v>975000</v>
      </c>
      <c r="V564" s="172">
        <f>VLOOKUP(E564,Modificaciones!$B$7:$AU$900,46,0)</f>
        <v>0</v>
      </c>
      <c r="W564" s="93">
        <f t="shared" si="101"/>
        <v>975000</v>
      </c>
      <c r="X564" s="318" t="s">
        <v>1232</v>
      </c>
      <c r="Y564" s="881">
        <f t="shared" si="104"/>
        <v>0</v>
      </c>
      <c r="Z564" s="42">
        <f t="shared" ca="1" si="105"/>
        <v>0.23013698630136986</v>
      </c>
      <c r="AA564" s="43">
        <f t="shared" ca="1" si="106"/>
        <v>0.23013698630136986</v>
      </c>
      <c r="AB564" s="202">
        <f t="shared" ca="1" si="107"/>
        <v>281</v>
      </c>
      <c r="AC564" s="44" t="str">
        <f t="shared" si="110"/>
        <v>NO</v>
      </c>
      <c r="AD564" s="897"/>
      <c r="AE564" s="173" t="s">
        <v>1258</v>
      </c>
      <c r="AF564" s="304" t="s">
        <v>1143</v>
      </c>
      <c r="AG564" s="173" t="s">
        <v>1431</v>
      </c>
      <c r="AH564" s="284" t="s">
        <v>564</v>
      </c>
      <c r="AI564" s="174"/>
      <c r="AJ564" s="308" t="s">
        <v>2850</v>
      </c>
      <c r="AK564" s="181" t="str">
        <f t="shared" ca="1" si="108"/>
        <v>EN EJECUCIÓN</v>
      </c>
      <c r="AL564" s="181" t="s">
        <v>576</v>
      </c>
      <c r="AM564" s="438" t="s">
        <v>390</v>
      </c>
      <c r="AN564" s="875" t="str">
        <f>IFERROR(VLOOKUP(E564,'liquidaciones '!$B$2:$C$1048576,2,0),"NO")</f>
        <v>NO</v>
      </c>
      <c r="AO564" s="983" t="str">
        <f>IFERROR(VLOOKUP(E564,'liquidaciones '!$B$2:$I$1048576,8,0),"")</f>
        <v/>
      </c>
      <c r="AP564" s="438"/>
      <c r="AQ564" s="438" t="s">
        <v>390</v>
      </c>
      <c r="AR564" s="177" t="s">
        <v>3817</v>
      </c>
      <c r="AS564" s="438"/>
      <c r="AT564" s="1018" t="s">
        <v>3754</v>
      </c>
    </row>
    <row r="565" spans="3:46" ht="168.75" x14ac:dyDescent="0.25">
      <c r="C565" s="896">
        <v>179</v>
      </c>
      <c r="D565" s="896"/>
      <c r="E565" s="897" t="s">
        <v>3636</v>
      </c>
      <c r="F565" s="446" t="s">
        <v>3641</v>
      </c>
      <c r="G565" s="922">
        <v>900749719</v>
      </c>
      <c r="H565" s="439" t="s">
        <v>3637</v>
      </c>
      <c r="I565" s="93">
        <v>241357373</v>
      </c>
      <c r="J565" s="902" t="s">
        <v>3638</v>
      </c>
      <c r="K565" s="298">
        <v>2017</v>
      </c>
      <c r="L565" s="551">
        <v>42993</v>
      </c>
      <c r="M565" s="903">
        <v>43053</v>
      </c>
      <c r="N565" s="903">
        <v>43172</v>
      </c>
      <c r="O565" s="127">
        <f>COUNTA(Modificaciones!I551,Modificaciones!K551,Modificaciones!M551,Modificaciones!O551)</f>
        <v>0</v>
      </c>
      <c r="P565" s="128">
        <f>VLOOKUP(E565,Modificaciones!$B$7:$Q$900,16,0)</f>
        <v>0</v>
      </c>
      <c r="Q565" s="129">
        <f>COUNTA(Modificaciones!S565,Modificaciones!U565,Modificaciones!W565,Modificaciones!Y565)</f>
        <v>0</v>
      </c>
      <c r="R565" s="130" t="str">
        <f>IF(Modificaciones!Z565=0,"",VLOOKUP(E565,Modificaciones!$B$7:$AA$500,25,0))</f>
        <v/>
      </c>
      <c r="S565" s="131" t="str">
        <f>IF(Modificaciones!AA565=0,"",VLOOKUP(E565,Modificaciones!$B$7:$AA$500,26,0))</f>
        <v/>
      </c>
      <c r="T565" s="884">
        <f t="shared" si="102"/>
        <v>43172</v>
      </c>
      <c r="U565" s="62">
        <f t="shared" si="103"/>
        <v>241357373</v>
      </c>
      <c r="V565" s="172">
        <f>VLOOKUP(E565,Modificaciones!$B$7:$AU$900,46,0)</f>
        <v>0</v>
      </c>
      <c r="W565" s="93">
        <f t="shared" si="101"/>
        <v>241357373</v>
      </c>
      <c r="X565" s="318" t="s">
        <v>3639</v>
      </c>
      <c r="Y565" s="881">
        <f t="shared" si="104"/>
        <v>0</v>
      </c>
      <c r="Z565" s="42">
        <f t="shared" ca="1" si="105"/>
        <v>0.54621848739495793</v>
      </c>
      <c r="AA565" s="43">
        <f t="shared" ca="1" si="106"/>
        <v>0.54621848739495793</v>
      </c>
      <c r="AB565" s="202">
        <f t="shared" ca="1" si="107"/>
        <v>54</v>
      </c>
      <c r="AC565" s="44" t="str">
        <f t="shared" si="110"/>
        <v>NO</v>
      </c>
      <c r="AD565" s="765" t="s">
        <v>1720</v>
      </c>
      <c r="AE565" s="173" t="s">
        <v>1257</v>
      </c>
      <c r="AF565" s="284" t="s">
        <v>3640</v>
      </c>
      <c r="AG565" s="173"/>
      <c r="AH565" s="284"/>
      <c r="AI565" s="308" t="s">
        <v>3629</v>
      </c>
      <c r="AJ565" s="308" t="s">
        <v>2850</v>
      </c>
      <c r="AK565" s="181" t="str">
        <f t="shared" ca="1" si="108"/>
        <v>EN EJECUCIÓN</v>
      </c>
      <c r="AL565" s="313" t="s">
        <v>574</v>
      </c>
      <c r="AM565" s="438" t="s">
        <v>390</v>
      </c>
      <c r="AN565" s="875" t="str">
        <f>IFERROR(VLOOKUP(E565,'liquidaciones '!$B$2:$C$1048576,2,0),"NO")</f>
        <v>NO</v>
      </c>
      <c r="AO565" s="983" t="str">
        <f>IFERROR(VLOOKUP(E565,'liquidaciones '!$B$2:$I$1048576,8,0),"")</f>
        <v/>
      </c>
      <c r="AP565" s="438"/>
      <c r="AQ565" s="438" t="s">
        <v>390</v>
      </c>
      <c r="AR565" s="177"/>
      <c r="AS565" s="438"/>
      <c r="AT565" s="1018" t="s">
        <v>3754</v>
      </c>
    </row>
    <row r="566" spans="3:46" ht="67.5" x14ac:dyDescent="0.25">
      <c r="C566" s="896"/>
      <c r="D566" s="896"/>
      <c r="E566" s="897" t="s">
        <v>3644</v>
      </c>
      <c r="F566" s="446" t="s">
        <v>3645</v>
      </c>
      <c r="G566" s="922">
        <v>52390138</v>
      </c>
      <c r="H566" s="439" t="s">
        <v>3646</v>
      </c>
      <c r="I566" s="93">
        <v>12000000</v>
      </c>
      <c r="J566" s="902" t="s">
        <v>3644</v>
      </c>
      <c r="K566" s="298">
        <v>2017</v>
      </c>
      <c r="L566" s="551">
        <v>43010</v>
      </c>
      <c r="M566" s="903">
        <v>43014</v>
      </c>
      <c r="N566" s="903">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4">
        <f t="shared" si="102"/>
        <v>43106</v>
      </c>
      <c r="U566" s="62">
        <f t="shared" si="103"/>
        <v>12000000</v>
      </c>
      <c r="V566" s="172">
        <f>VLOOKUP(E566,Modificaciones!$B$7:$AU$900,46,0)</f>
        <v>11333333</v>
      </c>
      <c r="W566" s="93">
        <f t="shared" si="101"/>
        <v>666667</v>
      </c>
      <c r="X566" s="312" t="s">
        <v>2621</v>
      </c>
      <c r="Y566" s="881">
        <f t="shared" si="104"/>
        <v>0.94444441666666668</v>
      </c>
      <c r="Z566" s="42">
        <f t="shared" ca="1" si="105"/>
        <v>1</v>
      </c>
      <c r="AA566" s="43">
        <f t="shared" ca="1" si="106"/>
        <v>5.5555583333333325E-2</v>
      </c>
      <c r="AB566" s="202" t="str">
        <f t="shared" ca="1" si="107"/>
        <v/>
      </c>
      <c r="AC566" s="44" t="str">
        <f t="shared" si="110"/>
        <v>NO</v>
      </c>
      <c r="AD566" s="765" t="s">
        <v>2469</v>
      </c>
      <c r="AE566" s="173" t="s">
        <v>1257</v>
      </c>
      <c r="AF566" s="173" t="s">
        <v>2504</v>
      </c>
      <c r="AG566" s="173" t="s">
        <v>1431</v>
      </c>
      <c r="AH566" s="284" t="s">
        <v>564</v>
      </c>
      <c r="AI566" s="897"/>
      <c r="AJ566" s="308" t="s">
        <v>3839</v>
      </c>
      <c r="AK566" s="181" t="str">
        <f t="shared" ca="1" si="108"/>
        <v>TERMINO</v>
      </c>
      <c r="AL566" s="313" t="s">
        <v>582</v>
      </c>
      <c r="AM566" s="438" t="s">
        <v>391</v>
      </c>
      <c r="AN566" s="875" t="str">
        <f>IFERROR(VLOOKUP(E566,'liquidaciones '!$B$2:$C$1048576,2,0),"NO")</f>
        <v>NO</v>
      </c>
      <c r="AO566" s="983" t="str">
        <f>IFERROR(VLOOKUP(E566,'liquidaciones '!$B$2:$I$1048576,8,0),"")</f>
        <v/>
      </c>
      <c r="AP566" s="438"/>
      <c r="AQ566" s="438" t="s">
        <v>390</v>
      </c>
      <c r="AR566" s="177" t="s">
        <v>2996</v>
      </c>
      <c r="AS566" s="438"/>
      <c r="AT566" s="1018" t="s">
        <v>3753</v>
      </c>
    </row>
    <row r="567" spans="3:46" ht="247.5" x14ac:dyDescent="0.25">
      <c r="C567" s="896"/>
      <c r="D567" s="896"/>
      <c r="E567" s="897" t="s">
        <v>3648</v>
      </c>
      <c r="F567" s="446" t="s">
        <v>3649</v>
      </c>
      <c r="G567" s="922" t="s">
        <v>3650</v>
      </c>
      <c r="H567" s="439" t="s">
        <v>3651</v>
      </c>
      <c r="I567" s="93">
        <v>103000000</v>
      </c>
      <c r="J567" s="902" t="s">
        <v>3648</v>
      </c>
      <c r="K567" s="298">
        <v>2017</v>
      </c>
      <c r="L567" s="551">
        <v>43007</v>
      </c>
      <c r="M567" s="903">
        <v>43018</v>
      </c>
      <c r="N567" s="903">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4">
        <f t="shared" si="102"/>
        <v>43383</v>
      </c>
      <c r="U567" s="62">
        <f t="shared" si="103"/>
        <v>103000000</v>
      </c>
      <c r="V567" s="172">
        <f>VLOOKUP(E567,Modificaciones!$B$7:$AU$900,46,0)</f>
        <v>0</v>
      </c>
      <c r="W567" s="93">
        <f t="shared" si="101"/>
        <v>103000000</v>
      </c>
      <c r="X567" s="318" t="s">
        <v>3652</v>
      </c>
      <c r="Y567" s="881">
        <f t="shared" si="104"/>
        <v>0</v>
      </c>
      <c r="Z567" s="42">
        <f t="shared" ca="1" si="105"/>
        <v>0.27397260273972601</v>
      </c>
      <c r="AA567" s="43">
        <f t="shared" ca="1" si="106"/>
        <v>0.27397260273972601</v>
      </c>
      <c r="AB567" s="202">
        <f t="shared" ca="1" si="107"/>
        <v>265</v>
      </c>
      <c r="AC567" s="44" t="str">
        <f t="shared" si="110"/>
        <v>NO</v>
      </c>
      <c r="AD567" s="765" t="s">
        <v>1713</v>
      </c>
      <c r="AE567" s="900" t="s">
        <v>1258</v>
      </c>
      <c r="AF567" s="900" t="s">
        <v>2988</v>
      </c>
      <c r="AG567" s="173" t="s">
        <v>1440</v>
      </c>
      <c r="AH567" s="284" t="s">
        <v>560</v>
      </c>
      <c r="AI567" s="897"/>
      <c r="AJ567" s="308" t="s">
        <v>3835</v>
      </c>
      <c r="AK567" s="181" t="str">
        <f t="shared" ca="1" si="108"/>
        <v>EN EJECUCIÓN</v>
      </c>
      <c r="AL567" s="446"/>
      <c r="AM567" s="438" t="s">
        <v>390</v>
      </c>
      <c r="AN567" s="875" t="str">
        <f>IFERROR(VLOOKUP(E567,'liquidaciones '!$B$2:$C$1048576,2,0),"NO")</f>
        <v>NO</v>
      </c>
      <c r="AO567" s="983" t="str">
        <f>IFERROR(VLOOKUP(E567,'liquidaciones '!$B$2:$I$1048576,8,0),"")</f>
        <v/>
      </c>
      <c r="AP567" s="438"/>
      <c r="AQ567" s="438" t="s">
        <v>390</v>
      </c>
      <c r="AR567" s="177" t="s">
        <v>3541</v>
      </c>
      <c r="AS567" s="438"/>
      <c r="AT567" s="1018" t="s">
        <v>3836</v>
      </c>
    </row>
    <row r="568" spans="3:46" ht="45" x14ac:dyDescent="0.25">
      <c r="C568" s="896">
        <v>172</v>
      </c>
      <c r="D568" s="896"/>
      <c r="E568" s="897" t="s">
        <v>3653</v>
      </c>
      <c r="F568" s="446" t="s">
        <v>2151</v>
      </c>
      <c r="G568" s="922">
        <v>860536029</v>
      </c>
      <c r="H568" s="945" t="s">
        <v>2674</v>
      </c>
      <c r="I568" s="93">
        <v>960000</v>
      </c>
      <c r="J568" s="902" t="s">
        <v>3653</v>
      </c>
      <c r="K568" s="298">
        <v>2017</v>
      </c>
      <c r="L568" s="551">
        <v>42986</v>
      </c>
      <c r="M568" s="903">
        <v>43013</v>
      </c>
      <c r="N568" s="903">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4">
        <f t="shared" si="102"/>
        <v>43378</v>
      </c>
      <c r="U568" s="62">
        <f t="shared" si="103"/>
        <v>960000</v>
      </c>
      <c r="V568" s="172">
        <f>VLOOKUP(E568,Modificaciones!$B$7:$AU$900,46,0)</f>
        <v>960000</v>
      </c>
      <c r="W568" s="93">
        <f t="shared" si="101"/>
        <v>0</v>
      </c>
      <c r="X568" s="312" t="s">
        <v>2097</v>
      </c>
      <c r="Y568" s="881">
        <f t="shared" si="104"/>
        <v>1</v>
      </c>
      <c r="Z568" s="42">
        <f t="shared" ca="1" si="105"/>
        <v>0.28767123287671231</v>
      </c>
      <c r="AA568" s="43">
        <f t="shared" ca="1" si="106"/>
        <v>-0.71232876712328763</v>
      </c>
      <c r="AB568" s="202">
        <f t="shared" ca="1" si="107"/>
        <v>260</v>
      </c>
      <c r="AC568" s="44" t="str">
        <f t="shared" si="110"/>
        <v>SI</v>
      </c>
      <c r="AD568" s="765" t="str">
        <f>VLOOKUP(C568,[2]Hoja4!$A$2:$E$116,5,0)</f>
        <v>PRESTACION DE SERVICIOS</v>
      </c>
      <c r="AE568" s="173" t="s">
        <v>1257</v>
      </c>
      <c r="AF568" s="284" t="s">
        <v>1126</v>
      </c>
      <c r="AG568" s="173" t="s">
        <v>1431</v>
      </c>
      <c r="AH568" s="284" t="s">
        <v>564</v>
      </c>
      <c r="AI568" s="308"/>
      <c r="AJ568" s="308" t="s">
        <v>3839</v>
      </c>
      <c r="AK568" s="181" t="str">
        <f t="shared" ca="1" si="108"/>
        <v>EN EJECUCIÓN</v>
      </c>
      <c r="AL568" s="313" t="s">
        <v>582</v>
      </c>
      <c r="AM568" s="438" t="s">
        <v>390</v>
      </c>
      <c r="AN568" s="875" t="str">
        <f>IFERROR(VLOOKUP(E568,'liquidaciones '!$B$2:$C$1048576,2,0),"NO")</f>
        <v>NO</v>
      </c>
      <c r="AO568" s="983" t="str">
        <f>IFERROR(VLOOKUP(E568,'liquidaciones '!$B$2:$I$1048576,8,0),"")</f>
        <v/>
      </c>
      <c r="AP568" s="438"/>
      <c r="AQ568" s="438" t="s">
        <v>390</v>
      </c>
      <c r="AR568" s="177" t="s">
        <v>1511</v>
      </c>
      <c r="AS568" s="438"/>
      <c r="AT568" s="1018" t="s">
        <v>3753</v>
      </c>
    </row>
    <row r="569" spans="3:46" ht="45" x14ac:dyDescent="0.25">
      <c r="C569" s="896">
        <v>208</v>
      </c>
      <c r="D569" s="896"/>
      <c r="E569" s="897" t="s">
        <v>3675</v>
      </c>
      <c r="F569" s="446" t="s">
        <v>3676</v>
      </c>
      <c r="G569" s="922">
        <v>900619795</v>
      </c>
      <c r="H569" s="439" t="s">
        <v>3677</v>
      </c>
      <c r="I569" s="93">
        <v>23058000</v>
      </c>
      <c r="J569" s="902" t="s">
        <v>3682</v>
      </c>
      <c r="K569" s="298">
        <v>2017</v>
      </c>
      <c r="L569" s="551">
        <v>43013</v>
      </c>
      <c r="M569" s="903">
        <v>43033</v>
      </c>
      <c r="N569" s="903">
        <v>43156</v>
      </c>
      <c r="O569" s="127">
        <f>COUNTA(Modificaciones!I555,Modificaciones!K555,Modificaciones!M555,Modificaciones!O555)</f>
        <v>0</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4">
        <f t="shared" si="102"/>
        <v>43156</v>
      </c>
      <c r="U569" s="62">
        <f t="shared" si="103"/>
        <v>23058000</v>
      </c>
      <c r="V569" s="172">
        <f>VLOOKUP(E569,Modificaciones!$B$7:$AU$900,46,0)</f>
        <v>0</v>
      </c>
      <c r="W569" s="93">
        <f t="shared" si="101"/>
        <v>23058000</v>
      </c>
      <c r="X569" s="312" t="s">
        <v>2201</v>
      </c>
      <c r="Y569" s="881">
        <f t="shared" si="104"/>
        <v>0</v>
      </c>
      <c r="Z569" s="42">
        <f t="shared" ca="1" si="105"/>
        <v>0.69105691056910568</v>
      </c>
      <c r="AA569" s="43">
        <f t="shared" ca="1" si="106"/>
        <v>0.69105691056910568</v>
      </c>
      <c r="AB569" s="202">
        <f t="shared" ca="1" si="107"/>
        <v>38</v>
      </c>
      <c r="AC569" s="44" t="str">
        <f t="shared" si="110"/>
        <v>NO</v>
      </c>
      <c r="AD569" s="765" t="s">
        <v>1715</v>
      </c>
      <c r="AE569" s="173" t="s">
        <v>1257</v>
      </c>
      <c r="AF569" s="284" t="s">
        <v>1305</v>
      </c>
      <c r="AG569" s="173" t="s">
        <v>1436</v>
      </c>
      <c r="AH569" s="284" t="s">
        <v>560</v>
      </c>
      <c r="AI569" s="308" t="s">
        <v>1389</v>
      </c>
      <c r="AJ569" s="308" t="s">
        <v>3835</v>
      </c>
      <c r="AK569" s="181" t="str">
        <f t="shared" ca="1" si="108"/>
        <v>EN EJECUCIÓN</v>
      </c>
      <c r="AL569" s="313" t="s">
        <v>576</v>
      </c>
      <c r="AM569" s="438" t="s">
        <v>390</v>
      </c>
      <c r="AN569" s="875" t="str">
        <f>IFERROR(VLOOKUP(E569,'liquidaciones '!$B$2:$C$1048576,2,0),"NO")</f>
        <v>NO</v>
      </c>
      <c r="AO569" s="983" t="str">
        <f>IFERROR(VLOOKUP(E569,'liquidaciones '!$B$2:$I$1048576,8,0),"")</f>
        <v/>
      </c>
      <c r="AP569" s="438"/>
      <c r="AQ569" s="438" t="s">
        <v>390</v>
      </c>
      <c r="AR569" s="177" t="s">
        <v>1511</v>
      </c>
      <c r="AS569" s="438"/>
      <c r="AT569" s="1018" t="s">
        <v>3836</v>
      </c>
    </row>
    <row r="570" spans="3:46" ht="45" x14ac:dyDescent="0.25">
      <c r="C570" s="896"/>
      <c r="D570" s="896"/>
      <c r="E570" s="897" t="s">
        <v>3679</v>
      </c>
      <c r="F570" s="446" t="s">
        <v>3678</v>
      </c>
      <c r="G570" s="922" t="s">
        <v>3680</v>
      </c>
      <c r="H570" s="439" t="s">
        <v>3681</v>
      </c>
      <c r="I570" s="93">
        <v>5087000</v>
      </c>
      <c r="J570" s="902" t="s">
        <v>3683</v>
      </c>
      <c r="K570" s="298">
        <v>2017</v>
      </c>
      <c r="L570" s="551">
        <v>43013</v>
      </c>
      <c r="M570" s="903">
        <v>43028</v>
      </c>
      <c r="N570" s="903">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4">
        <f t="shared" si="102"/>
        <v>43393</v>
      </c>
      <c r="U570" s="62">
        <f t="shared" si="103"/>
        <v>5087000</v>
      </c>
      <c r="V570" s="172">
        <f>VLOOKUP(E570,Modificaciones!$B$7:$AU$900,46,0)</f>
        <v>0</v>
      </c>
      <c r="W570" s="93">
        <f t="shared" ref="W570:W600" si="111">U570-V570</f>
        <v>5087000</v>
      </c>
      <c r="X570" s="312" t="s">
        <v>1635</v>
      </c>
      <c r="Y570" s="881">
        <f t="shared" si="104"/>
        <v>0</v>
      </c>
      <c r="Z570" s="42">
        <f t="shared" ca="1" si="105"/>
        <v>0.24657534246575341</v>
      </c>
      <c r="AA570" s="43">
        <f t="shared" ca="1" si="106"/>
        <v>0.24657534246575341</v>
      </c>
      <c r="AB570" s="202">
        <f t="shared" ca="1" si="107"/>
        <v>275</v>
      </c>
      <c r="AC570" s="44" t="str">
        <f t="shared" si="110"/>
        <v>NO</v>
      </c>
      <c r="AD570" s="765" t="s">
        <v>1713</v>
      </c>
      <c r="AE570" s="173" t="s">
        <v>1257</v>
      </c>
      <c r="AF570" s="284" t="s">
        <v>1512</v>
      </c>
      <c r="AG570" s="173" t="s">
        <v>1443</v>
      </c>
      <c r="AH570" s="284" t="s">
        <v>560</v>
      </c>
      <c r="AI570" s="308" t="s">
        <v>3629</v>
      </c>
      <c r="AJ570" s="308" t="s">
        <v>3835</v>
      </c>
      <c r="AK570" s="181" t="str">
        <f t="shared" ca="1" si="108"/>
        <v>EN EJECUCIÓN</v>
      </c>
      <c r="AL570" s="313" t="s">
        <v>576</v>
      </c>
      <c r="AM570" s="176" t="s">
        <v>390</v>
      </c>
      <c r="AN570" s="875" t="str">
        <f>IFERROR(VLOOKUP(E570,'liquidaciones '!$B$2:$C$1048576,2,0),"NO")</f>
        <v>NO</v>
      </c>
      <c r="AO570" s="983" t="str">
        <f>IFERROR(VLOOKUP(E570,'liquidaciones '!$B$2:$I$1048576,8,0),"")</f>
        <v/>
      </c>
      <c r="AP570" s="438"/>
      <c r="AQ570" s="177" t="s">
        <v>390</v>
      </c>
      <c r="AR570" s="177" t="s">
        <v>3074</v>
      </c>
      <c r="AS570" s="438"/>
      <c r="AT570" s="1018" t="s">
        <v>3836</v>
      </c>
    </row>
    <row r="571" spans="3:46" ht="123.75" x14ac:dyDescent="0.25">
      <c r="C571" s="896"/>
      <c r="D571" s="896"/>
      <c r="E571" s="897" t="s">
        <v>3697</v>
      </c>
      <c r="F571" s="446" t="s">
        <v>3688</v>
      </c>
      <c r="G571" s="922">
        <v>79789613</v>
      </c>
      <c r="H571" s="439" t="s">
        <v>3689</v>
      </c>
      <c r="I571" s="93">
        <v>9000000</v>
      </c>
      <c r="J571" s="902" t="s">
        <v>3690</v>
      </c>
      <c r="K571" s="298">
        <v>2017</v>
      </c>
      <c r="L571" s="551">
        <v>43025</v>
      </c>
      <c r="M571" s="903">
        <v>43034</v>
      </c>
      <c r="N571" s="903">
        <v>43185</v>
      </c>
      <c r="O571" s="127">
        <f>COUNTA(Modificaciones!I557,Modificaciones!K557,Modificaciones!M557,Modificaciones!O557)</f>
        <v>0</v>
      </c>
      <c r="P571" s="128">
        <f>VLOOKUP(E571,Modificaciones!$B$7:$Q$900,16,0)</f>
        <v>0</v>
      </c>
      <c r="Q571" s="129">
        <f>COUNTA(Modificaciones!S571,Modificaciones!U571,Modificaciones!W571,Modificaciones!Y571)</f>
        <v>0</v>
      </c>
      <c r="R571" s="130" t="str">
        <f>IF(Modificaciones!Z571=0,"",VLOOKUP(E571,Modificaciones!$B$7:$AA$500,25,0))</f>
        <v/>
      </c>
      <c r="S571" s="131" t="str">
        <f>IF(Modificaciones!AA571=0,"",VLOOKUP(E571,Modificaciones!$B$7:$AA$500,26,0))</f>
        <v/>
      </c>
      <c r="T571" s="884">
        <f t="shared" si="102"/>
        <v>43185</v>
      </c>
      <c r="U571" s="62">
        <f t="shared" si="103"/>
        <v>9000000</v>
      </c>
      <c r="V571" s="172">
        <f>VLOOKUP(E571,Modificaciones!$B$7:$AU$900,46,0)</f>
        <v>0</v>
      </c>
      <c r="W571" s="93">
        <f t="shared" si="111"/>
        <v>9000000</v>
      </c>
      <c r="X571" s="318" t="s">
        <v>3691</v>
      </c>
      <c r="Y571" s="881">
        <f t="shared" si="104"/>
        <v>0</v>
      </c>
      <c r="Z571" s="42">
        <f t="shared" ca="1" si="105"/>
        <v>0.55629139072847678</v>
      </c>
      <c r="AA571" s="43">
        <f t="shared" ca="1" si="106"/>
        <v>0.55629139072847678</v>
      </c>
      <c r="AB571" s="202">
        <f t="shared" ca="1" si="107"/>
        <v>67</v>
      </c>
      <c r="AC571" s="44" t="str">
        <f t="shared" si="110"/>
        <v>NO</v>
      </c>
      <c r="AD571" s="765" t="s">
        <v>1720</v>
      </c>
      <c r="AE571" s="173" t="s">
        <v>1257</v>
      </c>
      <c r="AF571" s="284" t="s">
        <v>2564</v>
      </c>
      <c r="AG571" s="173"/>
      <c r="AH571" s="284"/>
      <c r="AI571" s="308" t="s">
        <v>3629</v>
      </c>
      <c r="AJ571" s="308" t="s">
        <v>2850</v>
      </c>
      <c r="AK571" s="181" t="str">
        <f t="shared" ca="1" si="108"/>
        <v>EN EJECUCIÓN</v>
      </c>
      <c r="AL571" s="313" t="s">
        <v>574</v>
      </c>
      <c r="AM571" s="438" t="s">
        <v>390</v>
      </c>
      <c r="AN571" s="875" t="str">
        <f>IFERROR(VLOOKUP(E571,'liquidaciones '!$B$2:$C$1048576,2,0),"NO")</f>
        <v>NO</v>
      </c>
      <c r="AO571" s="983" t="str">
        <f>IFERROR(VLOOKUP(E571,'liquidaciones '!$B$2:$I$1048576,8,0),"")</f>
        <v/>
      </c>
      <c r="AP571" s="438"/>
      <c r="AQ571" s="438" t="s">
        <v>390</v>
      </c>
      <c r="AR571" s="177" t="s">
        <v>3596</v>
      </c>
      <c r="AS571" s="438"/>
      <c r="AT571" s="1018" t="s">
        <v>3754</v>
      </c>
    </row>
    <row r="572" spans="3:46" ht="45" x14ac:dyDescent="0.25">
      <c r="C572" s="896">
        <v>209</v>
      </c>
      <c r="D572" s="896"/>
      <c r="E572" s="897" t="s">
        <v>3685</v>
      </c>
      <c r="F572" s="446" t="s">
        <v>2594</v>
      </c>
      <c r="G572" s="922">
        <v>80807003</v>
      </c>
      <c r="H572" s="439" t="s">
        <v>3686</v>
      </c>
      <c r="I572" s="93">
        <v>4606000</v>
      </c>
      <c r="J572" s="902" t="s">
        <v>3687</v>
      </c>
      <c r="K572" s="298">
        <v>2017</v>
      </c>
      <c r="L572" s="551">
        <v>43026</v>
      </c>
      <c r="M572" s="903">
        <v>43041</v>
      </c>
      <c r="N572" s="903">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4">
        <f t="shared" si="102"/>
        <v>43133</v>
      </c>
      <c r="U572" s="62">
        <f t="shared" si="103"/>
        <v>4606000</v>
      </c>
      <c r="V572" s="172">
        <f>VLOOKUP(E572,Modificaciones!$B$7:$AU$900,46,0)</f>
        <v>0</v>
      </c>
      <c r="W572" s="93">
        <f t="shared" si="111"/>
        <v>4606000</v>
      </c>
      <c r="X572" s="312" t="s">
        <v>2596</v>
      </c>
      <c r="Y572" s="881">
        <f t="shared" si="104"/>
        <v>0</v>
      </c>
      <c r="Z572" s="42">
        <f t="shared" ca="1" si="105"/>
        <v>0.83695652173913049</v>
      </c>
      <c r="AA572" s="43">
        <f t="shared" ca="1" si="106"/>
        <v>0.83695652173913049</v>
      </c>
      <c r="AB572" s="202">
        <f t="shared" ca="1" si="107"/>
        <v>15</v>
      </c>
      <c r="AC572" s="44" t="str">
        <f t="shared" si="110"/>
        <v>NO</v>
      </c>
      <c r="AD572" s="765" t="s">
        <v>1713</v>
      </c>
      <c r="AE572" s="173" t="s">
        <v>1257</v>
      </c>
      <c r="AF572" s="173" t="s">
        <v>1301</v>
      </c>
      <c r="AG572" s="173" t="s">
        <v>1443</v>
      </c>
      <c r="AH572" s="284" t="s">
        <v>560</v>
      </c>
      <c r="AI572" s="174" t="s">
        <v>3629</v>
      </c>
      <c r="AJ572" s="308" t="s">
        <v>3835</v>
      </c>
      <c r="AK572" s="181" t="str">
        <f t="shared" ca="1" si="108"/>
        <v>EN EJECUCIÓN</v>
      </c>
      <c r="AL572" s="313" t="s">
        <v>576</v>
      </c>
      <c r="AM572" s="438" t="s">
        <v>390</v>
      </c>
      <c r="AN572" s="875" t="str">
        <f>IFERROR(VLOOKUP(E572,'liquidaciones '!$B$2:$C$1048576,2,0),"NO")</f>
        <v>NO</v>
      </c>
      <c r="AO572" s="983" t="str">
        <f>IFERROR(VLOOKUP(E572,'liquidaciones '!$B$2:$I$1048576,8,0),"")</f>
        <v/>
      </c>
      <c r="AP572" s="438"/>
      <c r="AQ572" s="438" t="s">
        <v>390</v>
      </c>
      <c r="AR572" s="177" t="s">
        <v>1511</v>
      </c>
      <c r="AS572" s="438"/>
      <c r="AT572" s="1018" t="s">
        <v>3836</v>
      </c>
    </row>
    <row r="573" spans="3:46" ht="45" x14ac:dyDescent="0.25">
      <c r="C573" s="896"/>
      <c r="D573" s="896"/>
      <c r="E573" s="897" t="s">
        <v>3692</v>
      </c>
      <c r="F573" s="446" t="s">
        <v>2725</v>
      </c>
      <c r="G573" s="934" t="s">
        <v>2726</v>
      </c>
      <c r="H573" s="945" t="s">
        <v>3693</v>
      </c>
      <c r="I573" s="93">
        <v>6717550</v>
      </c>
      <c r="J573" s="902" t="s">
        <v>3694</v>
      </c>
      <c r="K573" s="298">
        <v>2017</v>
      </c>
      <c r="L573" s="551">
        <v>43013</v>
      </c>
      <c r="M573" s="903">
        <v>43033</v>
      </c>
      <c r="N573" s="903">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4">
        <f t="shared" si="102"/>
        <v>43107</v>
      </c>
      <c r="U573" s="62">
        <f t="shared" si="103"/>
        <v>6717550</v>
      </c>
      <c r="V573" s="172">
        <f>VLOOKUP(E573,Modificaciones!$B$7:$AU$900,46,0)</f>
        <v>0</v>
      </c>
      <c r="W573" s="93">
        <f t="shared" si="111"/>
        <v>6717550</v>
      </c>
      <c r="X573" s="312" t="s">
        <v>2729</v>
      </c>
      <c r="Y573" s="881">
        <f t="shared" si="104"/>
        <v>0</v>
      </c>
      <c r="Z573" s="42">
        <f t="shared" ca="1" si="105"/>
        <v>1</v>
      </c>
      <c r="AA573" s="43">
        <f t="shared" ca="1" si="106"/>
        <v>1</v>
      </c>
      <c r="AB573" s="202" t="str">
        <f t="shared" ca="1" si="107"/>
        <v/>
      </c>
      <c r="AC573" s="44" t="str">
        <f t="shared" si="110"/>
        <v>NO</v>
      </c>
      <c r="AD573" s="765" t="s">
        <v>1715</v>
      </c>
      <c r="AE573" s="173" t="s">
        <v>1257</v>
      </c>
      <c r="AF573" s="284" t="s">
        <v>2730</v>
      </c>
      <c r="AG573" s="173" t="s">
        <v>1436</v>
      </c>
      <c r="AH573" s="284" t="s">
        <v>560</v>
      </c>
      <c r="AI573" s="308" t="s">
        <v>1390</v>
      </c>
      <c r="AJ573" s="308" t="s">
        <v>3835</v>
      </c>
      <c r="AK573" s="181" t="str">
        <f t="shared" ca="1" si="108"/>
        <v>TERMINO</v>
      </c>
      <c r="AL573" s="313" t="s">
        <v>576</v>
      </c>
      <c r="AM573" s="438" t="s">
        <v>391</v>
      </c>
      <c r="AN573" s="875" t="str">
        <f>IFERROR(VLOOKUP(E573,'liquidaciones '!$B$2:$C$1048576,2,0),"NO")</f>
        <v>NO</v>
      </c>
      <c r="AO573" s="983" t="str">
        <f>IFERROR(VLOOKUP(E573,'liquidaciones '!$B$2:$I$1048576,8,0),"")</f>
        <v/>
      </c>
      <c r="AP573" s="438"/>
      <c r="AQ573" s="438" t="s">
        <v>390</v>
      </c>
      <c r="AR573" s="177" t="s">
        <v>3074</v>
      </c>
      <c r="AS573" s="438"/>
      <c r="AT573" s="1018" t="s">
        <v>3836</v>
      </c>
    </row>
    <row r="574" spans="3:46" ht="45" x14ac:dyDescent="0.25">
      <c r="C574" s="896"/>
      <c r="D574" s="896"/>
      <c r="E574" s="897" t="s">
        <v>3684</v>
      </c>
      <c r="F574" s="446" t="s">
        <v>33</v>
      </c>
      <c r="G574" s="934">
        <v>860509265</v>
      </c>
      <c r="H574" s="945" t="s">
        <v>3698</v>
      </c>
      <c r="I574" s="93">
        <v>870000</v>
      </c>
      <c r="J574" s="902" t="s">
        <v>3684</v>
      </c>
      <c r="K574" s="298">
        <v>2017</v>
      </c>
      <c r="L574" s="551">
        <v>43032</v>
      </c>
      <c r="M574" s="903">
        <v>43040</v>
      </c>
      <c r="N574" s="903">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4">
        <f t="shared" si="102"/>
        <v>43405</v>
      </c>
      <c r="U574" s="62">
        <f t="shared" si="103"/>
        <v>870000</v>
      </c>
      <c r="V574" s="172">
        <f>VLOOKUP(E574,Modificaciones!$B$7:$AU$900,46,0)</f>
        <v>870000</v>
      </c>
      <c r="W574" s="93">
        <f t="shared" si="111"/>
        <v>0</v>
      </c>
      <c r="X574" s="312" t="s">
        <v>2097</v>
      </c>
      <c r="Y574" s="881">
        <f t="shared" si="104"/>
        <v>1</v>
      </c>
      <c r="Z574" s="42">
        <f t="shared" ca="1" si="105"/>
        <v>0.21369863013698631</v>
      </c>
      <c r="AA574" s="43">
        <f t="shared" ca="1" si="106"/>
        <v>-0.78630136986301369</v>
      </c>
      <c r="AB574" s="202">
        <f t="shared" ca="1" si="107"/>
        <v>287</v>
      </c>
      <c r="AC574" s="44" t="str">
        <f t="shared" si="110"/>
        <v>SI</v>
      </c>
      <c r="AD574" s="765" t="s">
        <v>1717</v>
      </c>
      <c r="AE574" s="173" t="s">
        <v>1257</v>
      </c>
      <c r="AF574" s="304" t="s">
        <v>1470</v>
      </c>
      <c r="AG574" s="173" t="s">
        <v>1431</v>
      </c>
      <c r="AH574" s="284" t="s">
        <v>564</v>
      </c>
      <c r="AI574" s="308"/>
      <c r="AJ574" s="308" t="s">
        <v>3839</v>
      </c>
      <c r="AK574" s="181" t="str">
        <f t="shared" ca="1" si="108"/>
        <v>EN EJECUCIÓN</v>
      </c>
      <c r="AL574" s="181" t="s">
        <v>582</v>
      </c>
      <c r="AM574" s="438" t="s">
        <v>390</v>
      </c>
      <c r="AN574" s="875" t="str">
        <f>IFERROR(VLOOKUP(E574,'liquidaciones '!$B$2:$C$1048576,2,0),"NO")</f>
        <v>NO</v>
      </c>
      <c r="AO574" s="983" t="str">
        <f>IFERROR(VLOOKUP(E574,'liquidaciones '!$B$2:$I$1048576,8,0),"")</f>
        <v/>
      </c>
      <c r="AP574" s="438"/>
      <c r="AQ574" s="438" t="s">
        <v>390</v>
      </c>
      <c r="AR574" s="177" t="s">
        <v>3074</v>
      </c>
      <c r="AS574" s="438"/>
      <c r="AT574" s="1018" t="s">
        <v>3753</v>
      </c>
    </row>
    <row r="575" spans="3:46" ht="191.25" x14ac:dyDescent="0.25">
      <c r="C575" s="896"/>
      <c r="D575" s="896"/>
      <c r="E575" s="897" t="s">
        <v>3701</v>
      </c>
      <c r="F575" s="446" t="s">
        <v>3702</v>
      </c>
      <c r="G575" s="922">
        <v>830067856</v>
      </c>
      <c r="H575" s="439" t="s">
        <v>3703</v>
      </c>
      <c r="I575" s="93">
        <v>40817000</v>
      </c>
      <c r="J575" s="902" t="s">
        <v>3705</v>
      </c>
      <c r="K575" s="298">
        <v>2017</v>
      </c>
      <c r="L575" s="551">
        <v>43011</v>
      </c>
      <c r="M575" s="903">
        <v>43040</v>
      </c>
      <c r="N575" s="903">
        <v>43132</v>
      </c>
      <c r="O575" s="127">
        <f>COUNTA(Modificaciones!I561,Modificaciones!K561,Modificaciones!M561,Modificaciones!O561)</f>
        <v>0</v>
      </c>
      <c r="P575" s="128">
        <f>VLOOKUP(E575,Modificaciones!$B$7:$Q$900,16,0)</f>
        <v>0</v>
      </c>
      <c r="Q575" s="129">
        <f>COUNTA(Modificaciones!S575,Modificaciones!U575,Modificaciones!W575,Modificaciones!Y575)</f>
        <v>0</v>
      </c>
      <c r="R575" s="130" t="str">
        <f>IF(Modificaciones!Z575=0,"",VLOOKUP(E575,Modificaciones!$B$7:$AA$500,25,0))</f>
        <v/>
      </c>
      <c r="S575" s="131" t="str">
        <f>IF(Modificaciones!AA575=0,"",VLOOKUP(E575,Modificaciones!$B$7:$AA$500,26,0))</f>
        <v/>
      </c>
      <c r="T575" s="884">
        <f t="shared" si="102"/>
        <v>43132</v>
      </c>
      <c r="U575" s="62">
        <f t="shared" si="103"/>
        <v>40817000</v>
      </c>
      <c r="V575" s="172">
        <f>VLOOKUP(E575,Modificaciones!$B$7:$AU$900,46,0)</f>
        <v>8613400</v>
      </c>
      <c r="W575" s="93">
        <f t="shared" si="111"/>
        <v>32203600</v>
      </c>
      <c r="X575" s="318" t="s">
        <v>3704</v>
      </c>
      <c r="Y575" s="881">
        <f t="shared" si="104"/>
        <v>0.2110248180905015</v>
      </c>
      <c r="Z575" s="42">
        <f t="shared" ca="1" si="105"/>
        <v>0.84782608695652173</v>
      </c>
      <c r="AA575" s="43">
        <f t="shared" ca="1" si="106"/>
        <v>0.63680126886602029</v>
      </c>
      <c r="AB575" s="202">
        <f t="shared" ca="1" si="107"/>
        <v>14</v>
      </c>
      <c r="AC575" s="44" t="str">
        <f t="shared" si="110"/>
        <v>NO</v>
      </c>
      <c r="AD575" s="897" t="s">
        <v>3707</v>
      </c>
      <c r="AE575" s="900" t="s">
        <v>1257</v>
      </c>
      <c r="AF575" s="900" t="s">
        <v>3706</v>
      </c>
      <c r="AG575" s="173" t="s">
        <v>1443</v>
      </c>
      <c r="AH575" s="284" t="s">
        <v>560</v>
      </c>
      <c r="AI575" s="174" t="s">
        <v>3629</v>
      </c>
      <c r="AJ575" s="308" t="s">
        <v>2850</v>
      </c>
      <c r="AK575" s="181" t="str">
        <f t="shared" ca="1" si="108"/>
        <v>EN EJECUCIÓN</v>
      </c>
      <c r="AL575" s="313" t="s">
        <v>576</v>
      </c>
      <c r="AM575" s="438" t="s">
        <v>390</v>
      </c>
      <c r="AN575" s="875" t="str">
        <f>IFERROR(VLOOKUP(E575,'liquidaciones '!$B$2:$C$1048576,2,0),"NO")</f>
        <v>NO</v>
      </c>
      <c r="AO575" s="983" t="str">
        <f>IFERROR(VLOOKUP(E575,'liquidaciones '!$B$2:$I$1048576,8,0),"")</f>
        <v/>
      </c>
      <c r="AP575" s="438"/>
      <c r="AQ575" s="438" t="s">
        <v>390</v>
      </c>
      <c r="AR575" s="177" t="s">
        <v>3596</v>
      </c>
      <c r="AS575" s="438"/>
      <c r="AT575" s="1018" t="s">
        <v>3754</v>
      </c>
    </row>
    <row r="576" spans="3:46" ht="56.25" x14ac:dyDescent="0.25">
      <c r="C576" s="896">
        <v>192</v>
      </c>
      <c r="D576" s="896"/>
      <c r="E576" s="897" t="s">
        <v>3710</v>
      </c>
      <c r="F576" s="446" t="s">
        <v>38</v>
      </c>
      <c r="G576" s="922">
        <v>830053669</v>
      </c>
      <c r="H576" s="439" t="s">
        <v>3711</v>
      </c>
      <c r="I576" s="93">
        <v>38989000</v>
      </c>
      <c r="J576" s="902" t="s">
        <v>3712</v>
      </c>
      <c r="K576" s="298">
        <v>2017</v>
      </c>
      <c r="L576" s="551">
        <v>43040</v>
      </c>
      <c r="M576" s="903">
        <v>43048</v>
      </c>
      <c r="N576" s="903">
        <v>43259</v>
      </c>
      <c r="O576" s="127">
        <f>COUNTA(Modificaciones!I562,Modificaciones!K562,Modificaciones!M562,Modificaciones!O562)</f>
        <v>0</v>
      </c>
      <c r="P576" s="128">
        <f>VLOOKUP(E576,Modificaciones!$B$7:$Q$900,16,0)</f>
        <v>0</v>
      </c>
      <c r="Q576" s="129">
        <f>COUNTA(Modificaciones!S576,Modificaciones!U576,Modificaciones!W576,Modificaciones!Y576)</f>
        <v>0</v>
      </c>
      <c r="R576" s="130" t="str">
        <f>IF(Modificaciones!Z576=0,"",VLOOKUP(E576,Modificaciones!$B$7:$AA$500,25,0))</f>
        <v/>
      </c>
      <c r="S576" s="131" t="str">
        <f>IF(Modificaciones!AA576=0,"",VLOOKUP(E576,Modificaciones!$B$7:$AA$500,26,0))</f>
        <v/>
      </c>
      <c r="T576" s="884">
        <f t="shared" ref="T576:T600" si="112">MAX(N576,S576)</f>
        <v>43259</v>
      </c>
      <c r="U576" s="62">
        <f t="shared" si="103"/>
        <v>38989000</v>
      </c>
      <c r="V576" s="172">
        <f>VLOOKUP(E576,Modificaciones!$B$7:$AU$900,46,0)</f>
        <v>0</v>
      </c>
      <c r="W576" s="93">
        <f t="shared" si="111"/>
        <v>38989000</v>
      </c>
      <c r="X576" s="312" t="s">
        <v>1966</v>
      </c>
      <c r="Y576" s="881">
        <f t="shared" si="104"/>
        <v>0</v>
      </c>
      <c r="Z576" s="42">
        <f t="shared" ca="1" si="105"/>
        <v>0.33175355450236965</v>
      </c>
      <c r="AA576" s="43">
        <f t="shared" ca="1" si="106"/>
        <v>0.33175355450236965</v>
      </c>
      <c r="AB576" s="202">
        <f t="shared" ca="1" si="107"/>
        <v>141</v>
      </c>
      <c r="AC576" s="44" t="str">
        <f t="shared" si="110"/>
        <v>NO</v>
      </c>
      <c r="AD576" s="765" t="s">
        <v>1713</v>
      </c>
      <c r="AE576" s="173" t="s">
        <v>1257</v>
      </c>
      <c r="AF576" s="284" t="s">
        <v>1141</v>
      </c>
      <c r="AG576" s="173" t="s">
        <v>1443</v>
      </c>
      <c r="AH576" s="284" t="s">
        <v>560</v>
      </c>
      <c r="AI576" s="174" t="s">
        <v>1380</v>
      </c>
      <c r="AJ576" s="308" t="s">
        <v>2850</v>
      </c>
      <c r="AK576" s="181" t="str">
        <f t="shared" ca="1" si="108"/>
        <v>EN EJECUCIÓN</v>
      </c>
      <c r="AL576" s="313" t="s">
        <v>575</v>
      </c>
      <c r="AM576" s="438" t="s">
        <v>390</v>
      </c>
      <c r="AN576" s="875" t="str">
        <f>IFERROR(VLOOKUP(E576,'liquidaciones '!$B$2:$C$1048576,2,0),"NO")</f>
        <v>NO</v>
      </c>
      <c r="AO576" s="983" t="str">
        <f>IFERROR(VLOOKUP(E576,'liquidaciones '!$B$2:$I$1048576,8,0),"")</f>
        <v/>
      </c>
      <c r="AP576" s="438"/>
      <c r="AQ576" s="438" t="s">
        <v>390</v>
      </c>
      <c r="AR576" s="177" t="s">
        <v>3074</v>
      </c>
      <c r="AS576" s="438"/>
      <c r="AT576" s="1018" t="s">
        <v>3754</v>
      </c>
    </row>
    <row r="577" spans="3:46" ht="90" x14ac:dyDescent="0.25">
      <c r="C577" s="896"/>
      <c r="D577" s="896"/>
      <c r="E577" s="897" t="s">
        <v>3713</v>
      </c>
      <c r="F577" s="446" t="s">
        <v>3714</v>
      </c>
      <c r="G577" s="922">
        <v>91156558</v>
      </c>
      <c r="H577" s="439" t="s">
        <v>3715</v>
      </c>
      <c r="I577" s="93">
        <v>7000000</v>
      </c>
      <c r="J577" s="902" t="s">
        <v>3713</v>
      </c>
      <c r="K577" s="298">
        <v>2017</v>
      </c>
      <c r="L577" s="551">
        <v>43040</v>
      </c>
      <c r="M577" s="903">
        <v>43048</v>
      </c>
      <c r="N577" s="903">
        <v>43108</v>
      </c>
      <c r="O577" s="127">
        <f>COUNTA(Modificaciones!I563,Modificaciones!K563,Modificaciones!M563,Modificaciones!O563)</f>
        <v>0</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4">
        <f t="shared" si="112"/>
        <v>43108</v>
      </c>
      <c r="U577" s="62">
        <f t="shared" si="103"/>
        <v>7000000</v>
      </c>
      <c r="V577" s="172">
        <f>VLOOKUP(E577,Modificaciones!$B$7:$AU$900,46,0)</f>
        <v>2800000</v>
      </c>
      <c r="W577" s="93">
        <f t="shared" si="111"/>
        <v>4200000</v>
      </c>
      <c r="X577" s="316" t="s">
        <v>3716</v>
      </c>
      <c r="Y577" s="881">
        <f t="shared" si="104"/>
        <v>0.4</v>
      </c>
      <c r="Z577" s="42">
        <f t="shared" ca="1" si="105"/>
        <v>1</v>
      </c>
      <c r="AA577" s="43">
        <f t="shared" ca="1" si="106"/>
        <v>0.6</v>
      </c>
      <c r="AB577" s="202" t="str">
        <f t="shared" ca="1" si="107"/>
        <v/>
      </c>
      <c r="AC577" s="44" t="str">
        <f t="shared" si="110"/>
        <v>NO</v>
      </c>
      <c r="AD577" s="765" t="s">
        <v>1713</v>
      </c>
      <c r="AE577" s="173" t="s">
        <v>1257</v>
      </c>
      <c r="AF577" s="284" t="s">
        <v>1308</v>
      </c>
      <c r="AG577" s="897"/>
      <c r="AH577" s="897"/>
      <c r="AI577" s="897"/>
      <c r="AJ577" s="308" t="s">
        <v>2850</v>
      </c>
      <c r="AK577" s="181" t="str">
        <f t="shared" ca="1" si="108"/>
        <v>TERMINO</v>
      </c>
      <c r="AL577" s="313" t="s">
        <v>582</v>
      </c>
      <c r="AM577" s="176" t="s">
        <v>390</v>
      </c>
      <c r="AN577" s="875" t="str">
        <f>IFERROR(VLOOKUP(E577,'liquidaciones '!$B$2:$C$1048576,2,0),"NO")</f>
        <v>NO</v>
      </c>
      <c r="AO577" s="983" t="str">
        <f>IFERROR(VLOOKUP(E577,'liquidaciones '!$B$2:$I$1048576,8,0),"")</f>
        <v/>
      </c>
      <c r="AP577" s="438"/>
      <c r="AQ577" s="438" t="s">
        <v>390</v>
      </c>
      <c r="AR577" s="177" t="s">
        <v>1511</v>
      </c>
      <c r="AS577" s="438"/>
      <c r="AT577" s="1018" t="s">
        <v>3754</v>
      </c>
    </row>
    <row r="578" spans="3:46" ht="45" x14ac:dyDescent="0.25">
      <c r="C578" s="896">
        <v>76</v>
      </c>
      <c r="D578" s="896"/>
      <c r="E578" s="897" t="s">
        <v>3717</v>
      </c>
      <c r="F578" s="446" t="s">
        <v>2027</v>
      </c>
      <c r="G578" s="922">
        <v>800198591</v>
      </c>
      <c r="H578" s="439" t="s">
        <v>2557</v>
      </c>
      <c r="I578" s="93">
        <v>228000000</v>
      </c>
      <c r="J578" s="902" t="s">
        <v>3717</v>
      </c>
      <c r="K578" s="298">
        <v>2017</v>
      </c>
      <c r="L578" s="551">
        <v>43042</v>
      </c>
      <c r="M578" s="903">
        <v>43075</v>
      </c>
      <c r="N578" s="903">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4">
        <f t="shared" si="112"/>
        <v>43439</v>
      </c>
      <c r="U578" s="62">
        <f t="shared" si="103"/>
        <v>228000000</v>
      </c>
      <c r="V578" s="172">
        <f>VLOOKUP(E578,Modificaciones!$B$7:$AU$900,46,0)</f>
        <v>0</v>
      </c>
      <c r="W578" s="93">
        <f t="shared" si="111"/>
        <v>228000000</v>
      </c>
      <c r="X578" s="312" t="s">
        <v>2211</v>
      </c>
      <c r="Y578" s="881">
        <f t="shared" si="104"/>
        <v>0</v>
      </c>
      <c r="Z578" s="42">
        <f t="shared" ca="1" si="105"/>
        <v>0.11813186813186813</v>
      </c>
      <c r="AA578" s="43">
        <f t="shared" ca="1" si="106"/>
        <v>0.11813186813186813</v>
      </c>
      <c r="AB578" s="202">
        <f t="shared" ca="1" si="107"/>
        <v>321</v>
      </c>
      <c r="AC578" s="44" t="str">
        <f t="shared" si="110"/>
        <v>NO</v>
      </c>
      <c r="AD578" s="765" t="s">
        <v>1713</v>
      </c>
      <c r="AE578" s="173" t="s">
        <v>1258</v>
      </c>
      <c r="AF578" s="173" t="s">
        <v>1175</v>
      </c>
      <c r="AG578" s="173" t="s">
        <v>1440</v>
      </c>
      <c r="AH578" s="284" t="s">
        <v>560</v>
      </c>
      <c r="AI578" s="308" t="s">
        <v>1510</v>
      </c>
      <c r="AJ578" s="308" t="s">
        <v>3835</v>
      </c>
      <c r="AK578" s="181" t="str">
        <f t="shared" ca="1" si="108"/>
        <v>EN EJECUCIÓN</v>
      </c>
      <c r="AL578" s="313" t="s">
        <v>582</v>
      </c>
      <c r="AM578" s="438" t="s">
        <v>390</v>
      </c>
      <c r="AN578" s="875" t="str">
        <f>IFERROR(VLOOKUP(E578,'liquidaciones '!$B$2:$C$1048576,2,0),"NO")</f>
        <v>NO</v>
      </c>
      <c r="AO578" s="983" t="str">
        <f>IFERROR(VLOOKUP(E578,'liquidaciones '!$B$2:$I$1048576,8,0),"")</f>
        <v/>
      </c>
      <c r="AP578" s="438"/>
      <c r="AQ578" s="438" t="s">
        <v>390</v>
      </c>
      <c r="AR578" s="177" t="s">
        <v>3541</v>
      </c>
      <c r="AS578" s="438"/>
      <c r="AT578" s="1018" t="s">
        <v>3836</v>
      </c>
    </row>
    <row r="579" spans="3:46" ht="45" x14ac:dyDescent="0.25">
      <c r="C579" s="896">
        <v>188</v>
      </c>
      <c r="D579" s="896"/>
      <c r="E579" s="897" t="s">
        <v>3718</v>
      </c>
      <c r="F579" s="446" t="s">
        <v>2659</v>
      </c>
      <c r="G579" s="922">
        <v>830113914</v>
      </c>
      <c r="H579" s="439" t="s">
        <v>3719</v>
      </c>
      <c r="I579" s="93">
        <v>79741000</v>
      </c>
      <c r="J579" s="902" t="s">
        <v>3726</v>
      </c>
      <c r="K579" s="298">
        <v>2017</v>
      </c>
      <c r="L579" s="551" t="s">
        <v>3720</v>
      </c>
      <c r="M579" s="903">
        <v>43059</v>
      </c>
      <c r="N579" s="903">
        <v>43286</v>
      </c>
      <c r="O579" s="127">
        <f>COUNTA(Modificaciones!I565,Modificaciones!K565,Modificaciones!M565,Modificaciones!O565)</f>
        <v>0</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4">
        <f t="shared" si="112"/>
        <v>43286</v>
      </c>
      <c r="U579" s="62">
        <f t="shared" si="103"/>
        <v>79741000</v>
      </c>
      <c r="V579" s="172">
        <f>VLOOKUP(E579,Modificaciones!$B$7:$AU$900,46,0)</f>
        <v>0</v>
      </c>
      <c r="W579" s="93">
        <f t="shared" si="111"/>
        <v>79741000</v>
      </c>
      <c r="X579" s="312" t="s">
        <v>2009</v>
      </c>
      <c r="Y579" s="1013">
        <f>(V579*100%)/U579</f>
        <v>0</v>
      </c>
      <c r="Z579" s="42">
        <f t="shared" ca="1" si="105"/>
        <v>0.25991189427312777</v>
      </c>
      <c r="AA579" s="43">
        <f t="shared" ca="1" si="106"/>
        <v>0.25991189427312777</v>
      </c>
      <c r="AB579" s="202">
        <f t="shared" ca="1" si="107"/>
        <v>168</v>
      </c>
      <c r="AC579" s="44" t="str">
        <f t="shared" si="110"/>
        <v>NO</v>
      </c>
      <c r="AD579" s="765" t="s">
        <v>1716</v>
      </c>
      <c r="AE579" s="173" t="s">
        <v>1257</v>
      </c>
      <c r="AF579" s="173" t="s">
        <v>1131</v>
      </c>
      <c r="AG579" s="173" t="s">
        <v>1443</v>
      </c>
      <c r="AH579" s="284" t="s">
        <v>560</v>
      </c>
      <c r="AI579" s="179" t="s">
        <v>1380</v>
      </c>
      <c r="AJ579" s="308" t="s">
        <v>3835</v>
      </c>
      <c r="AK579" s="181" t="str">
        <f t="shared" ca="1" si="108"/>
        <v>EN EJECUCIÓN</v>
      </c>
      <c r="AL579" s="313" t="s">
        <v>575</v>
      </c>
      <c r="AM579" s="438" t="s">
        <v>390</v>
      </c>
      <c r="AN579" s="875" t="str">
        <f>IFERROR(VLOOKUP(E579,'liquidaciones '!$B$2:$C$1048576,2,0),"NO")</f>
        <v>NO</v>
      </c>
      <c r="AO579" s="983" t="str">
        <f>IFERROR(VLOOKUP(E579,'liquidaciones '!$B$2:$I$1048576,8,0),"")</f>
        <v/>
      </c>
      <c r="AP579" s="438"/>
      <c r="AQ579" s="438" t="s">
        <v>390</v>
      </c>
      <c r="AR579" s="177" t="s">
        <v>1511</v>
      </c>
      <c r="AS579" s="438" t="s">
        <v>1380</v>
      </c>
      <c r="AT579" s="1018" t="s">
        <v>3836</v>
      </c>
    </row>
    <row r="580" spans="3:46" ht="180" x14ac:dyDescent="0.25">
      <c r="C580" s="896"/>
      <c r="D580" s="896"/>
      <c r="E580" s="897" t="s">
        <v>3721</v>
      </c>
      <c r="F580" s="446" t="s">
        <v>2441</v>
      </c>
      <c r="G580" s="934">
        <v>900475780</v>
      </c>
      <c r="H580" s="945" t="s">
        <v>3722</v>
      </c>
      <c r="I580" s="93">
        <v>2840000000</v>
      </c>
      <c r="J580" s="902" t="s">
        <v>3721</v>
      </c>
      <c r="K580" s="298">
        <v>2017</v>
      </c>
      <c r="L580" s="551">
        <v>43048</v>
      </c>
      <c r="M580" s="903">
        <v>43101</v>
      </c>
      <c r="N580" s="903">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4">
        <f t="shared" si="112"/>
        <v>43312</v>
      </c>
      <c r="U580" s="62">
        <f t="shared" si="103"/>
        <v>2840000000</v>
      </c>
      <c r="V580" s="172">
        <f>VLOOKUP(E580,Modificaciones!$B$7:$AU$900,46,0)</f>
        <v>0</v>
      </c>
      <c r="W580" s="93">
        <f t="shared" si="111"/>
        <v>2840000000</v>
      </c>
      <c r="X580" s="318" t="s">
        <v>3723</v>
      </c>
      <c r="Y580" s="881">
        <f t="shared" si="104"/>
        <v>0</v>
      </c>
      <c r="Z580" s="42">
        <f t="shared" ca="1" si="105"/>
        <v>8.0568720379146919E-2</v>
      </c>
      <c r="AA580" s="43">
        <f t="shared" ca="1" si="106"/>
        <v>8.0568720379146919E-2</v>
      </c>
      <c r="AB580" s="202">
        <f t="shared" ca="1" si="107"/>
        <v>194</v>
      </c>
      <c r="AC580" s="44" t="str">
        <f t="shared" si="110"/>
        <v>NO</v>
      </c>
      <c r="AD580" s="765" t="s">
        <v>1722</v>
      </c>
      <c r="AE580" s="173" t="s">
        <v>1257</v>
      </c>
      <c r="AF580" s="284" t="s">
        <v>1509</v>
      </c>
      <c r="AG580" s="173" t="s">
        <v>1443</v>
      </c>
      <c r="AH580" s="284" t="s">
        <v>560</v>
      </c>
      <c r="AI580" s="308" t="s">
        <v>1320</v>
      </c>
      <c r="AJ580" s="308" t="s">
        <v>2850</v>
      </c>
      <c r="AK580" s="181" t="str">
        <f t="shared" ca="1" si="108"/>
        <v>EN EJECUCIÓN</v>
      </c>
      <c r="AL580" s="181" t="s">
        <v>582</v>
      </c>
      <c r="AM580" s="438" t="s">
        <v>390</v>
      </c>
      <c r="AN580" s="875" t="str">
        <f>IFERROR(VLOOKUP(E580,'liquidaciones '!$B$2:$C$1048576,2,0),"NO")</f>
        <v>NO</v>
      </c>
      <c r="AO580" s="983" t="str">
        <f>IFERROR(VLOOKUP(E580,'liquidaciones '!$B$2:$I$1048576,8,0),"")</f>
        <v/>
      </c>
      <c r="AP580" s="438"/>
      <c r="AQ580" s="438" t="s">
        <v>390</v>
      </c>
      <c r="AR580" s="177" t="s">
        <v>2995</v>
      </c>
      <c r="AS580" s="438"/>
      <c r="AT580" s="1018" t="s">
        <v>3754</v>
      </c>
    </row>
    <row r="581" spans="3:46" ht="33.75" x14ac:dyDescent="0.25">
      <c r="C581" s="896"/>
      <c r="D581" s="896"/>
      <c r="E581" s="897" t="s">
        <v>3724</v>
      </c>
      <c r="F581" s="446" t="s">
        <v>70</v>
      </c>
      <c r="G581" s="922">
        <v>860506170</v>
      </c>
      <c r="H581" s="439" t="s">
        <v>3725</v>
      </c>
      <c r="I581" s="93">
        <v>191000000</v>
      </c>
      <c r="J581" s="902" t="s">
        <v>3724</v>
      </c>
      <c r="K581" s="298">
        <v>2017</v>
      </c>
      <c r="L581" s="551">
        <v>43047</v>
      </c>
      <c r="M581" s="903">
        <v>43061</v>
      </c>
      <c r="N581" s="903">
        <v>43425</v>
      </c>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4">
        <f t="shared" si="112"/>
        <v>43425</v>
      </c>
      <c r="U581" s="62">
        <f t="shared" si="103"/>
        <v>191000000</v>
      </c>
      <c r="V581" s="172">
        <f>VLOOKUP(E581,Modificaciones!$B$7:$AU$900,46,0)</f>
        <v>0</v>
      </c>
      <c r="W581" s="93">
        <f t="shared" si="111"/>
        <v>191000000</v>
      </c>
      <c r="X581" s="312"/>
      <c r="Y581" s="881">
        <f t="shared" si="104"/>
        <v>0</v>
      </c>
      <c r="Z581" s="42">
        <f t="shared" ca="1" si="105"/>
        <v>0.15659340659340659</v>
      </c>
      <c r="AA581" s="43">
        <f t="shared" ca="1" si="106"/>
        <v>0.15659340659340659</v>
      </c>
      <c r="AB581" s="202">
        <f t="shared" ca="1" si="107"/>
        <v>307</v>
      </c>
      <c r="AC581" s="44" t="str">
        <f t="shared" si="110"/>
        <v>NO</v>
      </c>
      <c r="AD581" s="765" t="s">
        <v>1722</v>
      </c>
      <c r="AE581" s="173" t="s">
        <v>1257</v>
      </c>
      <c r="AF581" s="900"/>
      <c r="AG581" s="173" t="s">
        <v>1443</v>
      </c>
      <c r="AH581" s="284" t="s">
        <v>560</v>
      </c>
      <c r="AI581" s="174" t="s">
        <v>3629</v>
      </c>
      <c r="AJ581" s="308" t="s">
        <v>2850</v>
      </c>
      <c r="AK581" s="181" t="str">
        <f t="shared" ca="1" si="108"/>
        <v>EN EJECUCIÓN</v>
      </c>
      <c r="AL581" s="181" t="s">
        <v>582</v>
      </c>
      <c r="AM581" s="438" t="s">
        <v>390</v>
      </c>
      <c r="AN581" s="875" t="str">
        <f>IFERROR(VLOOKUP(E581,'liquidaciones '!$B$2:$C$1048576,2,0),"NO")</f>
        <v>NO</v>
      </c>
      <c r="AO581" s="983" t="str">
        <f>IFERROR(VLOOKUP(E581,'liquidaciones '!$B$2:$I$1048576,8,0),"")</f>
        <v/>
      </c>
      <c r="AP581" s="438"/>
      <c r="AQ581" s="438" t="s">
        <v>390</v>
      </c>
      <c r="AR581" s="177" t="s">
        <v>3596</v>
      </c>
      <c r="AS581" s="438"/>
      <c r="AT581" s="1018" t="s">
        <v>3754</v>
      </c>
    </row>
    <row r="582" spans="3:46" ht="45" x14ac:dyDescent="0.25">
      <c r="C582" s="896">
        <v>84</v>
      </c>
      <c r="D582" s="896"/>
      <c r="E582" s="897" t="s">
        <v>3728</v>
      </c>
      <c r="F582" s="446" t="s">
        <v>1339</v>
      </c>
      <c r="G582" s="922">
        <v>899999115</v>
      </c>
      <c r="H582" s="439" t="s">
        <v>3729</v>
      </c>
      <c r="I582" s="93">
        <v>68129166</v>
      </c>
      <c r="J582" s="902" t="s">
        <v>3728</v>
      </c>
      <c r="K582" s="298">
        <v>2017</v>
      </c>
      <c r="L582" s="551">
        <v>43046</v>
      </c>
      <c r="M582" s="903">
        <v>43053</v>
      </c>
      <c r="N582" s="903">
        <v>43234</v>
      </c>
      <c r="O582" s="127">
        <f>COUNTA(Modificaciones!I568,Modificaciones!K568,Modificaciones!M568,Modificaciones!O568)</f>
        <v>0</v>
      </c>
      <c r="P582" s="128">
        <f>VLOOKUP(E582,Modificaciones!$B$7:$Q$900,16,0)</f>
        <v>0</v>
      </c>
      <c r="Q582" s="129">
        <f>COUNTA(Modificaciones!S582,Modificaciones!U582,Modificaciones!W582,Modificaciones!Y582)</f>
        <v>0</v>
      </c>
      <c r="R582" s="130" t="str">
        <f>IF(Modificaciones!Z582=0,"",VLOOKUP(E582,Modificaciones!$B$7:$AA$500,25,0))</f>
        <v/>
      </c>
      <c r="S582" s="131" t="str">
        <f>IF(Modificaciones!AA582=0,"",VLOOKUP(E582,Modificaciones!$B$7:$AA$500,26,0))</f>
        <v/>
      </c>
      <c r="T582" s="884">
        <f t="shared" si="112"/>
        <v>43234</v>
      </c>
      <c r="U582" s="62">
        <f t="shared" si="103"/>
        <v>68129166</v>
      </c>
      <c r="V582" s="172">
        <f>VLOOKUP(E582,Modificaciones!$B$7:$AU$900,46,0)</f>
        <v>0</v>
      </c>
      <c r="W582" s="93">
        <f t="shared" si="111"/>
        <v>68129166</v>
      </c>
      <c r="X582" s="312" t="s">
        <v>3730</v>
      </c>
      <c r="Y582" s="881">
        <f t="shared" si="104"/>
        <v>0</v>
      </c>
      <c r="Z582" s="42">
        <f t="shared" ca="1" si="105"/>
        <v>0.35911602209944754</v>
      </c>
      <c r="AA582" s="43">
        <f t="shared" ca="1" si="106"/>
        <v>0.35911602209944754</v>
      </c>
      <c r="AB582" s="202">
        <f t="shared" ca="1" si="107"/>
        <v>116</v>
      </c>
      <c r="AC582" s="44" t="str">
        <f t="shared" si="110"/>
        <v>NO</v>
      </c>
      <c r="AD582" s="765" t="s">
        <v>1713</v>
      </c>
      <c r="AE582" s="173" t="s">
        <v>1258</v>
      </c>
      <c r="AF582" s="284" t="s">
        <v>1609</v>
      </c>
      <c r="AG582" s="173" t="s">
        <v>1440</v>
      </c>
      <c r="AH582" s="284" t="s">
        <v>560</v>
      </c>
      <c r="AI582" s="308" t="s">
        <v>1510</v>
      </c>
      <c r="AJ582" s="308" t="s">
        <v>3835</v>
      </c>
      <c r="AK582" s="181" t="str">
        <f t="shared" ca="1" si="108"/>
        <v>EN EJECUCIÓN</v>
      </c>
      <c r="AL582" s="313" t="s">
        <v>582</v>
      </c>
      <c r="AM582" s="438" t="s">
        <v>390</v>
      </c>
      <c r="AN582" s="875" t="str">
        <f>IFERROR(VLOOKUP(E582,'liquidaciones '!$B$2:$C$1048576,2,0),"NO")</f>
        <v>NO</v>
      </c>
      <c r="AO582" s="983" t="str">
        <f>IFERROR(VLOOKUP(E582,'liquidaciones '!$B$2:$I$1048576,8,0),"")</f>
        <v/>
      </c>
      <c r="AP582" s="438"/>
      <c r="AQ582" s="438" t="s">
        <v>390</v>
      </c>
      <c r="AR582" s="177" t="s">
        <v>3541</v>
      </c>
      <c r="AS582" s="438"/>
      <c r="AT582" s="1018" t="s">
        <v>3836</v>
      </c>
    </row>
    <row r="583" spans="3:46" ht="33.75" x14ac:dyDescent="0.25">
      <c r="C583" s="896"/>
      <c r="D583" s="896"/>
      <c r="E583" s="897" t="s">
        <v>3731</v>
      </c>
      <c r="F583" s="446" t="s">
        <v>3732</v>
      </c>
      <c r="G583" s="922" t="s">
        <v>3733</v>
      </c>
      <c r="H583" s="439" t="s">
        <v>3734</v>
      </c>
      <c r="I583" s="93">
        <v>1380207</v>
      </c>
      <c r="J583" s="902" t="s">
        <v>3735</v>
      </c>
      <c r="K583" s="298">
        <v>2017</v>
      </c>
      <c r="L583" s="551">
        <v>43042</v>
      </c>
      <c r="M583" s="903">
        <v>43060</v>
      </c>
      <c r="N583" s="903">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4">
        <f t="shared" si="112"/>
        <v>43089</v>
      </c>
      <c r="U583" s="62">
        <f t="shared" ref="U583:U600" si="113">I583+P583</f>
        <v>1380207</v>
      </c>
      <c r="V583" s="172">
        <f>VLOOKUP(E583,Modificaciones!$B$7:$AU$900,46,0)</f>
        <v>0</v>
      </c>
      <c r="W583" s="93">
        <f t="shared" si="111"/>
        <v>1380207</v>
      </c>
      <c r="X583" s="312" t="s">
        <v>2807</v>
      </c>
      <c r="Y583" s="881">
        <f t="shared" ref="Y583:Y600" si="114">(V583*100%)/U583</f>
        <v>0</v>
      </c>
      <c r="Z583" s="42">
        <f t="shared" ref="Z583:Z600" ca="1" si="115">IF((($F$3-M583)*100%/(T583-M583))&gt;100%,100%,(($F$3-M583)*100%/(T583-M583)))</f>
        <v>1</v>
      </c>
      <c r="AA583" s="43">
        <f t="shared" ref="AA583:AA600" ca="1" si="116">Z583-Y583</f>
        <v>1</v>
      </c>
      <c r="AB583" s="202" t="str">
        <f t="shared" ref="AB583:AB600" ca="1" si="117">IF(Z583&lt;100%,T583-$F$3,"")</f>
        <v/>
      </c>
      <c r="AC583" s="44" t="str">
        <f t="shared" si="110"/>
        <v>NO</v>
      </c>
      <c r="AD583" s="897"/>
      <c r="AE583" s="900"/>
      <c r="AF583" s="900"/>
      <c r="AG583" s="897"/>
      <c r="AH583" s="897"/>
      <c r="AI583" s="897"/>
      <c r="AJ583" s="308" t="s">
        <v>2850</v>
      </c>
      <c r="AK583" s="181" t="str">
        <f t="shared" ref="AK583:AK600" ca="1" si="118">IF(T583&gt;=$F$3,"EN EJECUCIÓN","TERMINO")</f>
        <v>TERMINO</v>
      </c>
      <c r="AL583" s="313" t="s">
        <v>576</v>
      </c>
      <c r="AM583" s="438"/>
      <c r="AN583" s="875" t="str">
        <f>IFERROR(VLOOKUP(E583,'liquidaciones '!$B$2:$C$1048576,2,0),"NO")</f>
        <v>NO</v>
      </c>
      <c r="AO583" s="983" t="str">
        <f>IFERROR(VLOOKUP(E583,'liquidaciones '!$B$2:$I$1048576,8,0),"")</f>
        <v/>
      </c>
      <c r="AP583" s="438"/>
      <c r="AQ583" s="438" t="s">
        <v>390</v>
      </c>
      <c r="AR583" s="177" t="s">
        <v>3074</v>
      </c>
      <c r="AS583" s="438"/>
      <c r="AT583" s="1018" t="s">
        <v>3754</v>
      </c>
    </row>
    <row r="584" spans="3:46" ht="56.25" x14ac:dyDescent="0.25">
      <c r="C584" s="896">
        <v>190</v>
      </c>
      <c r="D584" s="896"/>
      <c r="E584" s="897" t="s">
        <v>3738</v>
      </c>
      <c r="F584" s="446" t="s">
        <v>2568</v>
      </c>
      <c r="G584" s="934" t="s">
        <v>2569</v>
      </c>
      <c r="H584" s="439" t="s">
        <v>3739</v>
      </c>
      <c r="I584" s="93">
        <v>6512000</v>
      </c>
      <c r="J584" s="902" t="s">
        <v>3740</v>
      </c>
      <c r="K584" s="298">
        <v>2017</v>
      </c>
      <c r="L584" s="551">
        <v>43053</v>
      </c>
      <c r="M584" s="903">
        <v>43070</v>
      </c>
      <c r="N584" s="903">
        <v>43190</v>
      </c>
      <c r="O584" s="127">
        <f>COUNTA(Modificaciones!I570,Modificaciones!K570,Modificaciones!M570,Modificaciones!O570)</f>
        <v>0</v>
      </c>
      <c r="P584" s="128">
        <f>VLOOKUP(E584,Modificaciones!$B$7:$Q$900,16,0)</f>
        <v>0</v>
      </c>
      <c r="Q584" s="129">
        <f>COUNTA(Modificaciones!S584,Modificaciones!U584,Modificaciones!W584,Modificaciones!Y584)</f>
        <v>0</v>
      </c>
      <c r="R584" s="130" t="str">
        <f>IF(Modificaciones!Z584=0,"",VLOOKUP(E584,Modificaciones!$B$7:$AA$500,25,0))</f>
        <v/>
      </c>
      <c r="S584" s="131" t="str">
        <f>IF(Modificaciones!AA584=0,"",VLOOKUP(E584,Modificaciones!$B$7:$AA$500,26,0))</f>
        <v/>
      </c>
      <c r="T584" s="884">
        <f t="shared" si="112"/>
        <v>43190</v>
      </c>
      <c r="U584" s="62">
        <f t="shared" si="113"/>
        <v>6512000</v>
      </c>
      <c r="V584" s="172">
        <f>VLOOKUP(E584,Modificaciones!$B$7:$AU$900,46,0)</f>
        <v>0</v>
      </c>
      <c r="W584" s="93">
        <f t="shared" si="111"/>
        <v>6512000</v>
      </c>
      <c r="X584" s="318" t="s">
        <v>1188</v>
      </c>
      <c r="Y584" s="881">
        <f t="shared" si="114"/>
        <v>0</v>
      </c>
      <c r="Z584" s="42">
        <f t="shared" ca="1" si="115"/>
        <v>0.4</v>
      </c>
      <c r="AA584" s="43">
        <f t="shared" ca="1" si="116"/>
        <v>0.4</v>
      </c>
      <c r="AB584" s="202">
        <f t="shared" ca="1" si="117"/>
        <v>72</v>
      </c>
      <c r="AC584" s="44" t="str">
        <f t="shared" si="110"/>
        <v>NO</v>
      </c>
      <c r="AD584" s="897"/>
      <c r="AE584" s="173" t="s">
        <v>1257</v>
      </c>
      <c r="AF584" s="284" t="s">
        <v>1137</v>
      </c>
      <c r="AG584" s="173" t="s">
        <v>1443</v>
      </c>
      <c r="AH584" s="284" t="s">
        <v>560</v>
      </c>
      <c r="AI584" s="174" t="s">
        <v>1381</v>
      </c>
      <c r="AJ584" s="308" t="s">
        <v>3835</v>
      </c>
      <c r="AK584" s="181" t="str">
        <f t="shared" ca="1" si="118"/>
        <v>EN EJECUCIÓN</v>
      </c>
      <c r="AL584" s="181" t="s">
        <v>576</v>
      </c>
      <c r="AM584" s="438" t="s">
        <v>390</v>
      </c>
      <c r="AN584" s="875" t="str">
        <f>IFERROR(VLOOKUP(E584,'liquidaciones '!$B$2:$C$1048576,2,0),"NO")</f>
        <v>NO</v>
      </c>
      <c r="AO584" s="983" t="str">
        <f>IFERROR(VLOOKUP(E584,'liquidaciones '!$B$2:$I$1048576,8,0),"")</f>
        <v/>
      </c>
      <c r="AP584" s="438"/>
      <c r="AQ584" s="438" t="s">
        <v>390</v>
      </c>
      <c r="AR584" s="177" t="s">
        <v>2982</v>
      </c>
      <c r="AS584" s="438" t="s">
        <v>1380</v>
      </c>
      <c r="AT584" s="1018" t="s">
        <v>3836</v>
      </c>
    </row>
    <row r="585" spans="3:46" ht="45" x14ac:dyDescent="0.25">
      <c r="C585" s="896">
        <v>202</v>
      </c>
      <c r="D585" s="896"/>
      <c r="E585" s="897" t="s">
        <v>3742</v>
      </c>
      <c r="F585" s="446" t="s">
        <v>3743</v>
      </c>
      <c r="G585" s="922" t="s">
        <v>3744</v>
      </c>
      <c r="H585" s="439" t="s">
        <v>3763</v>
      </c>
      <c r="I585" s="93">
        <v>405331000</v>
      </c>
      <c r="J585" s="902" t="s">
        <v>3745</v>
      </c>
      <c r="K585" s="298">
        <v>2017</v>
      </c>
      <c r="L585" s="551">
        <v>43063</v>
      </c>
      <c r="M585" s="903">
        <v>43073</v>
      </c>
      <c r="N585" s="903">
        <v>43315</v>
      </c>
      <c r="O585" s="127">
        <f>COUNTA(Modificaciones!I571,Modificaciones!K571,Modificaciones!M571,Modificaciones!O571)</f>
        <v>0</v>
      </c>
      <c r="P585" s="128">
        <f>VLOOKUP(E585,Modificaciones!$B$7:$Q$900,16,0)</f>
        <v>0</v>
      </c>
      <c r="Q585" s="129">
        <f>COUNTA(Modificaciones!S585,Modificaciones!U585,Modificaciones!W585,Modificaciones!Y585)</f>
        <v>0</v>
      </c>
      <c r="R585" s="130" t="str">
        <f>IF(Modificaciones!Z585=0,"",VLOOKUP(E585,Modificaciones!$B$7:$AA$500,25,0))</f>
        <v/>
      </c>
      <c r="S585" s="131" t="str">
        <f>IF(Modificaciones!AA585=0,"",VLOOKUP(E585,Modificaciones!$B$7:$AA$500,26,0))</f>
        <v/>
      </c>
      <c r="T585" s="884">
        <f t="shared" si="112"/>
        <v>43315</v>
      </c>
      <c r="U585" s="62">
        <f t="shared" si="113"/>
        <v>405331000</v>
      </c>
      <c r="V585" s="172">
        <f>VLOOKUP(E585,Modificaciones!$B$7:$AU$900,46,0)</f>
        <v>0</v>
      </c>
      <c r="W585" s="93">
        <f t="shared" si="111"/>
        <v>405331000</v>
      </c>
      <c r="X585" s="312" t="s">
        <v>1881</v>
      </c>
      <c r="Y585" s="881">
        <f t="shared" si="114"/>
        <v>0</v>
      </c>
      <c r="Z585" s="42">
        <f t="shared" ca="1" si="115"/>
        <v>0.18595041322314049</v>
      </c>
      <c r="AA585" s="43">
        <f t="shared" ca="1" si="116"/>
        <v>0.18595041322314049</v>
      </c>
      <c r="AB585" s="202">
        <f t="shared" ca="1" si="117"/>
        <v>197</v>
      </c>
      <c r="AC585" s="44" t="str">
        <f t="shared" si="110"/>
        <v>NO</v>
      </c>
      <c r="AD585" s="765" t="s">
        <v>1713</v>
      </c>
      <c r="AE585" s="173" t="s">
        <v>1257</v>
      </c>
      <c r="AF585" s="284" t="s">
        <v>1284</v>
      </c>
      <c r="AG585" s="173" t="s">
        <v>1436</v>
      </c>
      <c r="AH585" s="284" t="s">
        <v>560</v>
      </c>
      <c r="AI585" s="308" t="s">
        <v>1387</v>
      </c>
      <c r="AJ585" s="308" t="s">
        <v>3835</v>
      </c>
      <c r="AK585" s="181" t="str">
        <f t="shared" ca="1" si="118"/>
        <v>EN EJECUCIÓN</v>
      </c>
      <c r="AL585" s="313"/>
      <c r="AM585" s="438" t="s">
        <v>390</v>
      </c>
      <c r="AN585" s="875" t="str">
        <f>IFERROR(VLOOKUP(E585,'liquidaciones '!$B$2:$C$1048576,2,0),"NO")</f>
        <v>NO</v>
      </c>
      <c r="AO585" s="983" t="str">
        <f>IFERROR(VLOOKUP(E585,'liquidaciones '!$B$2:$I$1048576,8,0),"")</f>
        <v/>
      </c>
      <c r="AP585" s="438"/>
      <c r="AQ585" s="438" t="s">
        <v>390</v>
      </c>
      <c r="AR585" s="177" t="s">
        <v>2996</v>
      </c>
      <c r="AS585" s="438"/>
      <c r="AT585" s="1018" t="s">
        <v>3836</v>
      </c>
    </row>
    <row r="586" spans="3:46" ht="45" x14ac:dyDescent="0.25">
      <c r="C586" s="896"/>
      <c r="D586" s="896"/>
      <c r="E586" s="897" t="s">
        <v>3749</v>
      </c>
      <c r="F586" s="446" t="s">
        <v>3748</v>
      </c>
      <c r="G586" s="922" t="s">
        <v>3750</v>
      </c>
      <c r="H586" s="439" t="s">
        <v>3751</v>
      </c>
      <c r="I586" s="93">
        <v>242533577</v>
      </c>
      <c r="J586" s="902" t="s">
        <v>3756</v>
      </c>
      <c r="K586" s="298">
        <v>2017</v>
      </c>
      <c r="L586" s="551">
        <v>43068</v>
      </c>
      <c r="M586" s="903">
        <v>43068</v>
      </c>
      <c r="N586" s="903">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4">
        <f t="shared" si="112"/>
        <v>43082</v>
      </c>
      <c r="U586" s="62">
        <f t="shared" si="113"/>
        <v>242533577</v>
      </c>
      <c r="V586" s="172">
        <f>VLOOKUP(E586,Modificaciones!$B$7:$AU$900,46,0)</f>
        <v>0</v>
      </c>
      <c r="W586" s="93">
        <f t="shared" si="111"/>
        <v>242533577</v>
      </c>
      <c r="X586" s="312"/>
      <c r="Y586" s="881">
        <f t="shared" si="114"/>
        <v>0</v>
      </c>
      <c r="Z586" s="42">
        <f t="shared" ca="1" si="115"/>
        <v>1</v>
      </c>
      <c r="AA586" s="43">
        <f t="shared" ca="1" si="116"/>
        <v>1</v>
      </c>
      <c r="AB586" s="202" t="str">
        <f t="shared" ca="1" si="117"/>
        <v/>
      </c>
      <c r="AC586" s="44" t="str">
        <f t="shared" si="110"/>
        <v>NO</v>
      </c>
      <c r="AD586" s="765" t="s">
        <v>1713</v>
      </c>
      <c r="AE586" s="173" t="s">
        <v>1258</v>
      </c>
      <c r="AF586" s="930" t="s">
        <v>3755</v>
      </c>
      <c r="AG586" s="173" t="s">
        <v>1440</v>
      </c>
      <c r="AH586" s="284" t="s">
        <v>560</v>
      </c>
      <c r="AI586" s="308" t="s">
        <v>1510</v>
      </c>
      <c r="AJ586" s="308" t="s">
        <v>3835</v>
      </c>
      <c r="AK586" s="181" t="str">
        <f t="shared" ca="1" si="118"/>
        <v>TERMINO</v>
      </c>
      <c r="AL586" s="313" t="s">
        <v>2737</v>
      </c>
      <c r="AM586" s="438"/>
      <c r="AN586" s="875" t="str">
        <f>IFERROR(VLOOKUP(E586,'liquidaciones '!$B$2:$C$1048576,2,0),"NO")</f>
        <v>NO</v>
      </c>
      <c r="AO586" s="983" t="str">
        <f>IFERROR(VLOOKUP(E586,'liquidaciones '!$B$2:$I$1048576,8,0),"")</f>
        <v/>
      </c>
      <c r="AP586" s="438"/>
      <c r="AQ586" s="438" t="s">
        <v>390</v>
      </c>
      <c r="AR586" s="177" t="s">
        <v>3541</v>
      </c>
      <c r="AS586" s="438"/>
      <c r="AT586" s="1018" t="s">
        <v>3836</v>
      </c>
    </row>
    <row r="587" spans="3:46" ht="45" x14ac:dyDescent="0.25">
      <c r="C587" s="896"/>
      <c r="D587" s="896"/>
      <c r="E587" s="897" t="s">
        <v>3760</v>
      </c>
      <c r="F587" s="446" t="s">
        <v>3761</v>
      </c>
      <c r="G587" s="922" t="s">
        <v>3584</v>
      </c>
      <c r="H587" s="439" t="s">
        <v>3762</v>
      </c>
      <c r="I587" s="93">
        <v>102161000</v>
      </c>
      <c r="J587" s="902" t="s">
        <v>3745</v>
      </c>
      <c r="K587" s="298">
        <v>2017</v>
      </c>
      <c r="L587" s="551">
        <v>43063</v>
      </c>
      <c r="M587" s="903">
        <v>43080</v>
      </c>
      <c r="N587" s="903">
        <v>43322</v>
      </c>
      <c r="O587" s="127">
        <f>COUNTA(Modificaciones!I573,Modificaciones!K573,Modificaciones!M573,Modificaciones!O573)</f>
        <v>0</v>
      </c>
      <c r="P587" s="128">
        <f>VLOOKUP(E587,Modificaciones!$B$7:$Q$900,16,0)</f>
        <v>0</v>
      </c>
      <c r="Q587" s="129">
        <f>COUNTA(Modificaciones!S587,Modificaciones!U587,Modificaciones!W587,Modificaciones!Y587)</f>
        <v>0</v>
      </c>
      <c r="R587" s="130" t="str">
        <f>IF(Modificaciones!Z587=0,"",VLOOKUP(E587,Modificaciones!$B$7:$AA$500,25,0))</f>
        <v/>
      </c>
      <c r="S587" s="131" t="str">
        <f>IF(Modificaciones!AA587=0,"",VLOOKUP(E587,Modificaciones!$B$7:$AA$500,26,0))</f>
        <v/>
      </c>
      <c r="T587" s="884">
        <f t="shared" si="112"/>
        <v>43322</v>
      </c>
      <c r="U587" s="62">
        <f t="shared" si="113"/>
        <v>102161000</v>
      </c>
      <c r="V587" s="172">
        <f>VLOOKUP(E587,Modificaciones!$B$7:$AU$900,46,0)</f>
        <v>0</v>
      </c>
      <c r="W587" s="93">
        <f t="shared" si="111"/>
        <v>102161000</v>
      </c>
      <c r="X587" s="312" t="s">
        <v>1881</v>
      </c>
      <c r="Y587" s="881">
        <f t="shared" si="114"/>
        <v>0</v>
      </c>
      <c r="Z587" s="42">
        <f t="shared" ca="1" si="115"/>
        <v>0.15702479338842976</v>
      </c>
      <c r="AA587" s="43">
        <f t="shared" ca="1" si="116"/>
        <v>0.15702479338842976</v>
      </c>
      <c r="AB587" s="202">
        <f t="shared" ca="1" si="117"/>
        <v>204</v>
      </c>
      <c r="AC587" s="44" t="str">
        <f t="shared" si="110"/>
        <v>NO</v>
      </c>
      <c r="AD587" s="765" t="s">
        <v>1713</v>
      </c>
      <c r="AE587" s="173" t="s">
        <v>1257</v>
      </c>
      <c r="AF587" s="284" t="s">
        <v>1284</v>
      </c>
      <c r="AG587" s="173" t="s">
        <v>1436</v>
      </c>
      <c r="AH587" s="284" t="s">
        <v>560</v>
      </c>
      <c r="AI587" s="308" t="s">
        <v>1387</v>
      </c>
      <c r="AJ587" s="308" t="s">
        <v>3835</v>
      </c>
      <c r="AK587" s="181" t="str">
        <f t="shared" ca="1" si="118"/>
        <v>EN EJECUCIÓN</v>
      </c>
      <c r="AL587" s="446"/>
      <c r="AM587" s="438" t="s">
        <v>390</v>
      </c>
      <c r="AN587" s="875" t="str">
        <f>IFERROR(VLOOKUP(E587,'liquidaciones '!$B$2:$C$1048576,2,0),"NO")</f>
        <v>NO</v>
      </c>
      <c r="AO587" s="983" t="str">
        <f>IFERROR(VLOOKUP(E587,'liquidaciones '!$B$2:$I$1048576,8,0),"")</f>
        <v/>
      </c>
      <c r="AP587" s="438"/>
      <c r="AQ587" s="438" t="s">
        <v>390</v>
      </c>
      <c r="AR587" s="177" t="s">
        <v>2996</v>
      </c>
      <c r="AS587" s="438"/>
      <c r="AT587" s="1018" t="s">
        <v>3836</v>
      </c>
    </row>
    <row r="588" spans="3:46" ht="45" x14ac:dyDescent="0.25">
      <c r="C588" s="896"/>
      <c r="D588" s="896"/>
      <c r="E588" s="897" t="s">
        <v>3766</v>
      </c>
      <c r="F588" s="446" t="s">
        <v>3767</v>
      </c>
      <c r="G588" s="922">
        <v>901132826</v>
      </c>
      <c r="H588" s="439" t="s">
        <v>3768</v>
      </c>
      <c r="I588" s="93">
        <v>120149000</v>
      </c>
      <c r="J588" s="902" t="s">
        <v>3769</v>
      </c>
      <c r="K588" s="298">
        <v>2017</v>
      </c>
      <c r="L588" s="551">
        <v>43063</v>
      </c>
      <c r="M588" s="932">
        <v>43083</v>
      </c>
      <c r="N588" s="932">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4">
        <f t="shared" si="112"/>
        <v>43447</v>
      </c>
      <c r="U588" s="62">
        <f t="shared" si="113"/>
        <v>120149000</v>
      </c>
      <c r="V588" s="172">
        <f>VLOOKUP(E588,Modificaciones!$B$7:$AU$900,46,0)</f>
        <v>0</v>
      </c>
      <c r="W588" s="93">
        <f t="shared" si="111"/>
        <v>120149000</v>
      </c>
      <c r="X588" s="312" t="s">
        <v>3770</v>
      </c>
      <c r="Y588" s="881">
        <f t="shared" si="114"/>
        <v>0</v>
      </c>
      <c r="Z588" s="42">
        <f t="shared" ca="1" si="115"/>
        <v>9.6153846153846159E-2</v>
      </c>
      <c r="AA588" s="43">
        <f t="shared" ca="1" si="116"/>
        <v>9.6153846153846159E-2</v>
      </c>
      <c r="AB588" s="202">
        <f t="shared" ca="1" si="117"/>
        <v>329</v>
      </c>
      <c r="AC588" s="44" t="str">
        <f t="shared" si="110"/>
        <v>NO</v>
      </c>
      <c r="AD588" s="765" t="s">
        <v>1713</v>
      </c>
      <c r="AE588" s="173" t="s">
        <v>1258</v>
      </c>
      <c r="AF588" s="284" t="s">
        <v>2084</v>
      </c>
      <c r="AG588" s="173" t="s">
        <v>1440</v>
      </c>
      <c r="AH588" s="284" t="s">
        <v>560</v>
      </c>
      <c r="AI588" s="308" t="s">
        <v>1510</v>
      </c>
      <c r="AJ588" s="308" t="s">
        <v>2850</v>
      </c>
      <c r="AK588" s="181" t="str">
        <f t="shared" ca="1" si="118"/>
        <v>EN EJECUCIÓN</v>
      </c>
      <c r="AL588" s="313" t="s">
        <v>575</v>
      </c>
      <c r="AM588" s="438" t="s">
        <v>390</v>
      </c>
      <c r="AN588" s="875" t="str">
        <f>IFERROR(VLOOKUP(E588,'liquidaciones '!$B$2:$C$1048576,2,0),"NO")</f>
        <v>NO</v>
      </c>
      <c r="AO588" s="983" t="str">
        <f>IFERROR(VLOOKUP(E588,'liquidaciones '!$B$2:$I$1048576,8,0),"")</f>
        <v/>
      </c>
      <c r="AP588" s="438"/>
      <c r="AQ588" s="438"/>
      <c r="AR588" s="177" t="s">
        <v>3541</v>
      </c>
      <c r="AS588" s="438" t="s">
        <v>3818</v>
      </c>
      <c r="AT588" s="1018" t="s">
        <v>3836</v>
      </c>
    </row>
    <row r="589" spans="3:46" ht="112.5" x14ac:dyDescent="0.25">
      <c r="C589" s="896">
        <v>78</v>
      </c>
      <c r="D589" s="896"/>
      <c r="E589" s="897" t="s">
        <v>3774</v>
      </c>
      <c r="F589" s="446" t="s">
        <v>3775</v>
      </c>
      <c r="G589" s="922">
        <v>900280686</v>
      </c>
      <c r="H589" s="439" t="s">
        <v>3776</v>
      </c>
      <c r="I589" s="93">
        <v>11637012</v>
      </c>
      <c r="J589" s="902" t="s">
        <v>3782</v>
      </c>
      <c r="K589" s="298">
        <v>2017</v>
      </c>
      <c r="L589" s="551">
        <v>43075</v>
      </c>
      <c r="M589" s="903">
        <v>43096</v>
      </c>
      <c r="N589" s="903">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4">
        <f t="shared" si="112"/>
        <v>43369</v>
      </c>
      <c r="U589" s="62">
        <f t="shared" si="113"/>
        <v>11637012</v>
      </c>
      <c r="V589" s="172">
        <f>VLOOKUP(E589,Modificaciones!$B$7:$AU$900,46,0)</f>
        <v>0</v>
      </c>
      <c r="W589" s="93">
        <f t="shared" si="111"/>
        <v>11637012</v>
      </c>
      <c r="X589" s="318" t="s">
        <v>3777</v>
      </c>
      <c r="Y589" s="881">
        <f t="shared" si="114"/>
        <v>0</v>
      </c>
      <c r="Z589" s="42">
        <f t="shared" ca="1" si="115"/>
        <v>8.0586080586080591E-2</v>
      </c>
      <c r="AA589" s="43">
        <f t="shared" ca="1" si="116"/>
        <v>8.0586080586080591E-2</v>
      </c>
      <c r="AB589" s="202">
        <f t="shared" ca="1" si="117"/>
        <v>251</v>
      </c>
      <c r="AC589" s="44" t="str">
        <f t="shared" si="110"/>
        <v>NO</v>
      </c>
      <c r="AD589" s="765" t="s">
        <v>1713</v>
      </c>
      <c r="AE589" s="173" t="s">
        <v>1258</v>
      </c>
      <c r="AF589" s="284" t="s">
        <v>2801</v>
      </c>
      <c r="AG589" s="173" t="s">
        <v>1440</v>
      </c>
      <c r="AH589" s="284" t="s">
        <v>560</v>
      </c>
      <c r="AI589" s="308" t="s">
        <v>1510</v>
      </c>
      <c r="AJ589" s="308" t="s">
        <v>3835</v>
      </c>
      <c r="AK589" s="181" t="str">
        <f t="shared" ca="1" si="118"/>
        <v>EN EJECUCIÓN</v>
      </c>
      <c r="AL589" s="313" t="s">
        <v>576</v>
      </c>
      <c r="AM589" s="438" t="s">
        <v>390</v>
      </c>
      <c r="AN589" s="875" t="str">
        <f>IFERROR(VLOOKUP(E589,'liquidaciones '!$B$2:$C$1048576,2,0),"NO")</f>
        <v>NO</v>
      </c>
      <c r="AO589" s="983" t="str">
        <f>IFERROR(VLOOKUP(E589,'liquidaciones '!$B$2:$I$1048576,8,0),"")</f>
        <v/>
      </c>
      <c r="AP589" s="438"/>
      <c r="AQ589" s="177" t="s">
        <v>390</v>
      </c>
      <c r="AR589" s="177" t="s">
        <v>3541</v>
      </c>
      <c r="AS589" s="438"/>
      <c r="AT589" s="1018" t="s">
        <v>3836</v>
      </c>
    </row>
    <row r="590" spans="3:46" ht="33.75" x14ac:dyDescent="0.25">
      <c r="C590" s="896"/>
      <c r="D590" s="896"/>
      <c r="E590" s="897" t="s">
        <v>3778</v>
      </c>
      <c r="F590" s="446" t="s">
        <v>3780</v>
      </c>
      <c r="G590" s="922">
        <v>900908055</v>
      </c>
      <c r="H590" s="439" t="s">
        <v>3779</v>
      </c>
      <c r="I590" s="93">
        <v>571200</v>
      </c>
      <c r="J590" s="902" t="s">
        <v>3781</v>
      </c>
      <c r="K590" s="298">
        <v>2017</v>
      </c>
      <c r="L590" s="551">
        <v>43074</v>
      </c>
      <c r="M590" s="903">
        <v>43088</v>
      </c>
      <c r="N590" s="903">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4">
        <f t="shared" si="112"/>
        <v>43269</v>
      </c>
      <c r="U590" s="62">
        <f t="shared" si="113"/>
        <v>571200</v>
      </c>
      <c r="V590" s="172">
        <f>VLOOKUP(E590,Modificaciones!$B$7:$AU$900,46,0)</f>
        <v>0</v>
      </c>
      <c r="W590" s="93">
        <f t="shared" si="111"/>
        <v>571200</v>
      </c>
      <c r="X590" s="312" t="s">
        <v>2807</v>
      </c>
      <c r="Y590" s="881">
        <f t="shared" si="114"/>
        <v>0</v>
      </c>
      <c r="Z590" s="42">
        <f t="shared" ca="1" si="115"/>
        <v>0.16574585635359115</v>
      </c>
      <c r="AA590" s="43">
        <f t="shared" ca="1" si="116"/>
        <v>0.16574585635359115</v>
      </c>
      <c r="AB590" s="202">
        <f t="shared" ca="1" si="117"/>
        <v>151</v>
      </c>
      <c r="AC590" s="44" t="str">
        <f t="shared" si="110"/>
        <v>NO</v>
      </c>
      <c r="AD590" s="897"/>
      <c r="AE590" s="173" t="s">
        <v>1257</v>
      </c>
      <c r="AF590" s="284" t="s">
        <v>1505</v>
      </c>
      <c r="AG590" s="173" t="s">
        <v>1443</v>
      </c>
      <c r="AH590" s="284" t="s">
        <v>560</v>
      </c>
      <c r="AI590" s="308"/>
      <c r="AJ590" s="308" t="s">
        <v>2850</v>
      </c>
      <c r="AK590" s="181" t="str">
        <f t="shared" ca="1" si="118"/>
        <v>EN EJECUCIÓN</v>
      </c>
      <c r="AL590" s="446"/>
      <c r="AM590" s="438" t="s">
        <v>390</v>
      </c>
      <c r="AN590" s="875" t="str">
        <f>IFERROR(VLOOKUP(E590,'liquidaciones '!$B$2:$C$1048576,2,0),"NO")</f>
        <v>NO</v>
      </c>
      <c r="AO590" s="983" t="str">
        <f>IFERROR(VLOOKUP(E590,'liquidaciones '!$B$2:$I$1048576,8,0),"")</f>
        <v/>
      </c>
      <c r="AP590" s="438"/>
      <c r="AQ590" s="438" t="s">
        <v>390</v>
      </c>
      <c r="AR590" s="177" t="s">
        <v>2996</v>
      </c>
      <c r="AS590" s="438"/>
      <c r="AT590" s="1018" t="s">
        <v>3754</v>
      </c>
    </row>
    <row r="591" spans="3:46" ht="45" x14ac:dyDescent="0.25">
      <c r="C591" s="896">
        <v>79</v>
      </c>
      <c r="D591" s="896"/>
      <c r="E591" s="897" t="s">
        <v>3783</v>
      </c>
      <c r="F591" s="446" t="s">
        <v>1368</v>
      </c>
      <c r="G591" s="922">
        <v>79797614</v>
      </c>
      <c r="H591" s="439" t="s">
        <v>3784</v>
      </c>
      <c r="I591" s="93">
        <v>12500004</v>
      </c>
      <c r="J591" s="902" t="s">
        <v>3792</v>
      </c>
      <c r="K591" s="298">
        <v>2017</v>
      </c>
      <c r="L591" s="551">
        <v>43060</v>
      </c>
      <c r="M591" s="903">
        <v>43096</v>
      </c>
      <c r="N591" s="903">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4">
        <f t="shared" si="112"/>
        <v>43460</v>
      </c>
      <c r="U591" s="62">
        <f t="shared" si="113"/>
        <v>12500004</v>
      </c>
      <c r="V591" s="172">
        <f>VLOOKUP(E591,Modificaciones!$B$7:$AU$900,46,0)</f>
        <v>0</v>
      </c>
      <c r="W591" s="93">
        <f t="shared" si="111"/>
        <v>12500004</v>
      </c>
      <c r="X591" s="312" t="s">
        <v>2621</v>
      </c>
      <c r="Y591" s="881">
        <f t="shared" si="114"/>
        <v>0</v>
      </c>
      <c r="Z591" s="42">
        <f t="shared" ca="1" si="115"/>
        <v>6.043956043956044E-2</v>
      </c>
      <c r="AA591" s="43">
        <f t="shared" ca="1" si="116"/>
        <v>6.043956043956044E-2</v>
      </c>
      <c r="AB591" s="202">
        <f t="shared" ca="1" si="117"/>
        <v>342</v>
      </c>
      <c r="AC591" s="44" t="str">
        <f t="shared" si="110"/>
        <v>NO</v>
      </c>
      <c r="AD591" s="897"/>
      <c r="AE591" s="173" t="s">
        <v>1258</v>
      </c>
      <c r="AF591" s="284" t="s">
        <v>1370</v>
      </c>
      <c r="AG591" s="173" t="s">
        <v>1440</v>
      </c>
      <c r="AH591" s="284" t="s">
        <v>560</v>
      </c>
      <c r="AI591" s="308" t="s">
        <v>1510</v>
      </c>
      <c r="AJ591" s="308" t="s">
        <v>3835</v>
      </c>
      <c r="AK591" s="181" t="str">
        <f t="shared" ca="1" si="118"/>
        <v>EN EJECUCIÓN</v>
      </c>
      <c r="AL591" s="313" t="s">
        <v>576</v>
      </c>
      <c r="AM591" s="438" t="s">
        <v>390</v>
      </c>
      <c r="AN591" s="875" t="str">
        <f>IFERROR(VLOOKUP(E591,'liquidaciones '!$B$2:$C$1048576,2,0),"NO")</f>
        <v>NO</v>
      </c>
      <c r="AO591" s="983" t="str">
        <f>IFERROR(VLOOKUP(E591,'liquidaciones '!$B$2:$I$1048576,8,0),"")</f>
        <v/>
      </c>
      <c r="AP591" s="438"/>
      <c r="AQ591" s="438" t="s">
        <v>390</v>
      </c>
      <c r="AR591" s="177" t="s">
        <v>3541</v>
      </c>
      <c r="AS591" s="438"/>
      <c r="AT591" s="1018" t="s">
        <v>3836</v>
      </c>
    </row>
    <row r="592" spans="3:46" ht="56.25" x14ac:dyDescent="0.25">
      <c r="C592" s="896"/>
      <c r="D592" s="896"/>
      <c r="E592" s="897" t="s">
        <v>3787</v>
      </c>
      <c r="F592" s="446" t="s">
        <v>2637</v>
      </c>
      <c r="G592" s="934">
        <v>900699012</v>
      </c>
      <c r="H592" s="945" t="s">
        <v>2741</v>
      </c>
      <c r="I592" s="93">
        <v>16300000</v>
      </c>
      <c r="J592" s="902" t="s">
        <v>3793</v>
      </c>
      <c r="K592" s="298">
        <v>2017</v>
      </c>
      <c r="L592" s="551">
        <v>43075</v>
      </c>
      <c r="M592" s="903">
        <v>43091</v>
      </c>
      <c r="N592" s="903">
        <v>43153</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4">
        <f t="shared" si="112"/>
        <v>43153</v>
      </c>
      <c r="U592" s="62">
        <f t="shared" si="113"/>
        <v>16300000</v>
      </c>
      <c r="V592" s="172">
        <f>VLOOKUP(E592,Modificaciones!$B$7:$AU$900,46,0)</f>
        <v>0</v>
      </c>
      <c r="W592" s="93">
        <f t="shared" si="111"/>
        <v>16300000</v>
      </c>
      <c r="X592" s="312" t="s">
        <v>2277</v>
      </c>
      <c r="Y592" s="881">
        <f t="shared" si="114"/>
        <v>0</v>
      </c>
      <c r="Z592" s="42">
        <f t="shared" ca="1" si="115"/>
        <v>0.43548387096774194</v>
      </c>
      <c r="AA592" s="43">
        <f t="shared" ca="1" si="116"/>
        <v>0.43548387096774194</v>
      </c>
      <c r="AB592" s="202">
        <f t="shared" ca="1" si="117"/>
        <v>35</v>
      </c>
      <c r="AC592" s="44" t="str">
        <f t="shared" si="110"/>
        <v>NO</v>
      </c>
      <c r="AD592" s="897"/>
      <c r="AE592" s="173" t="s">
        <v>1257</v>
      </c>
      <c r="AF592" s="284" t="s">
        <v>1489</v>
      </c>
      <c r="AG592" s="173" t="s">
        <v>1443</v>
      </c>
      <c r="AH592" s="284" t="s">
        <v>560</v>
      </c>
      <c r="AI592" s="308" t="s">
        <v>1381</v>
      </c>
      <c r="AJ592" s="308" t="s">
        <v>3835</v>
      </c>
      <c r="AK592" s="181" t="str">
        <f t="shared" ca="1" si="118"/>
        <v>EN EJECUCIÓN</v>
      </c>
      <c r="AL592" s="313" t="s">
        <v>576</v>
      </c>
      <c r="AM592" s="438" t="s">
        <v>390</v>
      </c>
      <c r="AN592" s="875" t="str">
        <f>IFERROR(VLOOKUP(E592,'liquidaciones '!$B$2:$C$1048576,2,0),"NO")</f>
        <v>NO</v>
      </c>
      <c r="AO592" s="983" t="str">
        <f>IFERROR(VLOOKUP(E592,'liquidaciones '!$B$2:$I$1048576,8,0),"")</f>
        <v/>
      </c>
      <c r="AP592" s="438"/>
      <c r="AQ592" s="438" t="s">
        <v>390</v>
      </c>
      <c r="AR592" s="1019"/>
      <c r="AS592" s="438"/>
      <c r="AT592" s="1018" t="s">
        <v>3836</v>
      </c>
    </row>
    <row r="593" spans="3:46" ht="45" x14ac:dyDescent="0.25">
      <c r="C593" s="896">
        <v>207</v>
      </c>
      <c r="D593" s="896"/>
      <c r="E593" s="897" t="s">
        <v>3790</v>
      </c>
      <c r="F593" s="446" t="s">
        <v>3788</v>
      </c>
      <c r="G593" s="934">
        <v>890900608</v>
      </c>
      <c r="H593" s="439" t="s">
        <v>3789</v>
      </c>
      <c r="I593" s="93">
        <v>35410320</v>
      </c>
      <c r="J593" s="902" t="s">
        <v>3794</v>
      </c>
      <c r="K593" s="298">
        <v>2017</v>
      </c>
      <c r="L593" s="551">
        <v>43076</v>
      </c>
      <c r="M593" s="903">
        <v>43091</v>
      </c>
      <c r="N593" s="903">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4">
        <f t="shared" si="112"/>
        <v>43211</v>
      </c>
      <c r="U593" s="62">
        <f t="shared" si="113"/>
        <v>35410320</v>
      </c>
      <c r="V593" s="172">
        <f>VLOOKUP(E593,Modificaciones!$B$7:$AU$900,46,0)</f>
        <v>0</v>
      </c>
      <c r="W593" s="93">
        <f t="shared" si="111"/>
        <v>35410320</v>
      </c>
      <c r="X593" s="312" t="s">
        <v>2751</v>
      </c>
      <c r="Y593" s="881">
        <f t="shared" si="114"/>
        <v>0</v>
      </c>
      <c r="Z593" s="42">
        <f t="shared" ca="1" si="115"/>
        <v>0.22500000000000001</v>
      </c>
      <c r="AA593" s="43">
        <f t="shared" ca="1" si="116"/>
        <v>0.22500000000000001</v>
      </c>
      <c r="AB593" s="202">
        <f t="shared" ca="1" si="117"/>
        <v>93</v>
      </c>
      <c r="AC593" s="44" t="str">
        <f t="shared" si="110"/>
        <v>NO</v>
      </c>
      <c r="AD593" s="765" t="s">
        <v>1715</v>
      </c>
      <c r="AE593" s="173" t="s">
        <v>1257</v>
      </c>
      <c r="AF593" s="284" t="s">
        <v>1485</v>
      </c>
      <c r="AG593" s="173" t="s">
        <v>1436</v>
      </c>
      <c r="AH593" s="284" t="s">
        <v>560</v>
      </c>
      <c r="AI593" s="308" t="s">
        <v>1387</v>
      </c>
      <c r="AJ593" s="308" t="s">
        <v>3835</v>
      </c>
      <c r="AK593" s="181" t="str">
        <f t="shared" ca="1" si="118"/>
        <v>EN EJECUCIÓN</v>
      </c>
      <c r="AL593" s="313" t="s">
        <v>574</v>
      </c>
      <c r="AM593" s="438" t="s">
        <v>390</v>
      </c>
      <c r="AN593" s="875" t="str">
        <f>IFERROR(VLOOKUP(E593,'liquidaciones '!$B$2:$C$1048576,2,0),"NO")</f>
        <v>NO</v>
      </c>
      <c r="AO593" s="983" t="str">
        <f>IFERROR(VLOOKUP(E593,'liquidaciones '!$B$2:$I$1048576,8,0),"")</f>
        <v/>
      </c>
      <c r="AP593" s="438"/>
      <c r="AQ593" s="438" t="s">
        <v>390</v>
      </c>
      <c r="AR593" s="1019"/>
      <c r="AS593" s="438"/>
      <c r="AT593" s="1018" t="s">
        <v>3836</v>
      </c>
    </row>
    <row r="594" spans="3:46" ht="45" x14ac:dyDescent="0.25">
      <c r="C594" s="896"/>
      <c r="D594" s="896"/>
      <c r="E594" s="897" t="s">
        <v>3795</v>
      </c>
      <c r="F594" s="446" t="s">
        <v>3796</v>
      </c>
      <c r="G594" s="922" t="s">
        <v>3797</v>
      </c>
      <c r="H594" s="439" t="s">
        <v>3798</v>
      </c>
      <c r="I594" s="93">
        <v>165980000</v>
      </c>
      <c r="J594" s="902" t="s">
        <v>3803</v>
      </c>
      <c r="K594" s="298">
        <v>2017</v>
      </c>
      <c r="L594" s="551">
        <v>43090</v>
      </c>
      <c r="M594" s="903">
        <v>43092</v>
      </c>
      <c r="N594" s="903">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4">
        <f t="shared" si="112"/>
        <v>43402</v>
      </c>
      <c r="U594" s="62">
        <f t="shared" si="113"/>
        <v>165980000</v>
      </c>
      <c r="V594" s="172">
        <f>VLOOKUP(E594,Modificaciones!$B$7:$AU$900,46,0)</f>
        <v>0</v>
      </c>
      <c r="W594" s="93">
        <f t="shared" si="111"/>
        <v>165980000</v>
      </c>
      <c r="X594" s="312"/>
      <c r="Y594" s="881">
        <f t="shared" si="114"/>
        <v>0</v>
      </c>
      <c r="Z594" s="42">
        <f t="shared" ca="1" si="115"/>
        <v>8.387096774193549E-2</v>
      </c>
      <c r="AA594" s="43">
        <f t="shared" ca="1" si="116"/>
        <v>8.387096774193549E-2</v>
      </c>
      <c r="AB594" s="202">
        <f t="shared" ca="1" si="117"/>
        <v>284</v>
      </c>
      <c r="AC594" s="44" t="str">
        <f t="shared" ref="AC594:AC600" si="119">IF(Y594&lt;=99.9%,"NO","SI")</f>
        <v>NO</v>
      </c>
      <c r="AD594" s="765" t="s">
        <v>1713</v>
      </c>
      <c r="AE594" s="173" t="s">
        <v>1257</v>
      </c>
      <c r="AF594" s="284" t="s">
        <v>2078</v>
      </c>
      <c r="AG594" s="173"/>
      <c r="AH594" s="284" t="s">
        <v>559</v>
      </c>
      <c r="AI594" s="308"/>
      <c r="AJ594" s="308" t="s">
        <v>2850</v>
      </c>
      <c r="AK594" s="181" t="str">
        <f t="shared" ca="1" si="118"/>
        <v>EN EJECUCIÓN</v>
      </c>
      <c r="AL594" s="313" t="s">
        <v>574</v>
      </c>
      <c r="AM594" s="438" t="s">
        <v>390</v>
      </c>
      <c r="AN594" s="875" t="str">
        <f>IFERROR(VLOOKUP(E594,'liquidaciones '!$B$2:$C$1048576,2,0),"NO")</f>
        <v>NO</v>
      </c>
      <c r="AO594" s="983" t="str">
        <f>IFERROR(VLOOKUP(E594,'liquidaciones '!$B$2:$I$1048576,8,0),"")</f>
        <v/>
      </c>
      <c r="AP594" s="438"/>
      <c r="AQ594" s="438" t="s">
        <v>390</v>
      </c>
      <c r="AR594" s="438" t="s">
        <v>3074</v>
      </c>
      <c r="AS594" s="438"/>
      <c r="AT594" s="1018" t="s">
        <v>3754</v>
      </c>
    </row>
    <row r="595" spans="3:46" ht="33.75" x14ac:dyDescent="0.25">
      <c r="C595" s="896"/>
      <c r="D595" s="896"/>
      <c r="E595" s="897" t="s">
        <v>3799</v>
      </c>
      <c r="F595" s="446" t="s">
        <v>3800</v>
      </c>
      <c r="G595" s="922">
        <v>830006901</v>
      </c>
      <c r="H595" s="439" t="s">
        <v>3804</v>
      </c>
      <c r="I595" s="93">
        <v>219937796</v>
      </c>
      <c r="J595" s="902" t="s">
        <v>3805</v>
      </c>
      <c r="K595" s="298">
        <v>2017</v>
      </c>
      <c r="L595" s="551">
        <v>43088</v>
      </c>
      <c r="M595" s="903">
        <v>43089</v>
      </c>
      <c r="N595" s="903">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4">
        <f t="shared" si="112"/>
        <v>43144</v>
      </c>
      <c r="U595" s="62">
        <f t="shared" si="113"/>
        <v>219937796</v>
      </c>
      <c r="V595" s="172">
        <f>VLOOKUP(E595,Modificaciones!$B$7:$AU$900,46,0)</f>
        <v>0</v>
      </c>
      <c r="W595" s="93">
        <f t="shared" si="111"/>
        <v>219937796</v>
      </c>
      <c r="X595" s="312" t="s">
        <v>2793</v>
      </c>
      <c r="Y595" s="881">
        <f t="shared" si="114"/>
        <v>0</v>
      </c>
      <c r="Z595" s="42">
        <f t="shared" ca="1" si="115"/>
        <v>0.52727272727272723</v>
      </c>
      <c r="AA595" s="43">
        <f t="shared" ca="1" si="116"/>
        <v>0.52727272727272723</v>
      </c>
      <c r="AB595" s="202">
        <f t="shared" ca="1" si="117"/>
        <v>26</v>
      </c>
      <c r="AC595" s="44" t="str">
        <f t="shared" si="119"/>
        <v>NO</v>
      </c>
      <c r="AD595" s="765" t="s">
        <v>1715</v>
      </c>
      <c r="AE595" s="173" t="s">
        <v>1257</v>
      </c>
      <c r="AF595" s="284" t="s">
        <v>2794</v>
      </c>
      <c r="AG595" s="897"/>
      <c r="AH595" s="897"/>
      <c r="AI595" s="897"/>
      <c r="AJ595" s="308" t="s">
        <v>2850</v>
      </c>
      <c r="AK595" s="181" t="str">
        <f t="shared" ca="1" si="118"/>
        <v>EN EJECUCIÓN</v>
      </c>
      <c r="AL595" s="313" t="s">
        <v>2737</v>
      </c>
      <c r="AM595" s="438"/>
      <c r="AN595" s="875" t="str">
        <f>IFERROR(VLOOKUP(E595,'liquidaciones '!$B$2:$C$1048576,2,0),"NO")</f>
        <v>NO</v>
      </c>
      <c r="AO595" s="983" t="str">
        <f>IFERROR(VLOOKUP(E595,'liquidaciones '!$B$2:$I$1048576,8,0),"")</f>
        <v/>
      </c>
      <c r="AP595" s="438"/>
      <c r="AQ595" s="438" t="s">
        <v>390</v>
      </c>
      <c r="AR595" s="438" t="s">
        <v>1511</v>
      </c>
      <c r="AS595" s="438"/>
      <c r="AT595" s="1018" t="s">
        <v>3754</v>
      </c>
    </row>
    <row r="596" spans="3:46" ht="101.25" x14ac:dyDescent="0.25">
      <c r="C596" s="896"/>
      <c r="D596" s="896"/>
      <c r="E596" s="897" t="s">
        <v>3801</v>
      </c>
      <c r="F596" s="446" t="s">
        <v>2074</v>
      </c>
      <c r="G596" s="922">
        <v>901140878</v>
      </c>
      <c r="H596" s="439" t="s">
        <v>3831</v>
      </c>
      <c r="I596" s="93">
        <v>147000000</v>
      </c>
      <c r="J596" s="902" t="s">
        <v>3803</v>
      </c>
      <c r="K596" s="298">
        <v>2017</v>
      </c>
      <c r="L596" s="551">
        <v>43090</v>
      </c>
      <c r="M596" s="903">
        <v>43092</v>
      </c>
      <c r="N596" s="903">
        <v>43356</v>
      </c>
      <c r="O596" s="127">
        <f>COUNTA(Modificaciones!I582,Modificaciones!K582,Modificaciones!M582,Modificaciones!O582)</f>
        <v>0</v>
      </c>
      <c r="P596" s="128">
        <f>VLOOKUP(E596,Modificaciones!$B$7:$Q$900,16,0)</f>
        <v>0</v>
      </c>
      <c r="Q596" s="129">
        <f>COUNTA(Modificaciones!S596,Modificaciones!U596,Modificaciones!W596,Modificaciones!Y596)</f>
        <v>0</v>
      </c>
      <c r="R596" s="130" t="str">
        <f>IF(Modificaciones!Z596=0,"",VLOOKUP(E596,Modificaciones!$B$7:$AA$500,25,0))</f>
        <v/>
      </c>
      <c r="S596" s="131" t="str">
        <f>IF(Modificaciones!AA596=0,"",VLOOKUP(E596,Modificaciones!$B$7:$AA$500,26,0))</f>
        <v/>
      </c>
      <c r="T596" s="884">
        <f t="shared" si="112"/>
        <v>43356</v>
      </c>
      <c r="U596" s="62">
        <f t="shared" si="113"/>
        <v>147000000</v>
      </c>
      <c r="V596" s="172">
        <f>VLOOKUP(E596,Modificaciones!$B$7:$AU$900,46,0)</f>
        <v>0</v>
      </c>
      <c r="W596" s="93">
        <f t="shared" si="111"/>
        <v>147000000</v>
      </c>
      <c r="X596" s="312"/>
      <c r="Y596" s="881">
        <f t="shared" si="114"/>
        <v>0</v>
      </c>
      <c r="Z596" s="42">
        <f t="shared" ca="1" si="115"/>
        <v>9.8484848484848481E-2</v>
      </c>
      <c r="AA596" s="43">
        <f t="shared" ca="1" si="116"/>
        <v>9.8484848484848481E-2</v>
      </c>
      <c r="AB596" s="202">
        <f t="shared" ca="1" si="117"/>
        <v>238</v>
      </c>
      <c r="AC596" s="44" t="str">
        <f t="shared" si="119"/>
        <v>NO</v>
      </c>
      <c r="AD596" s="765" t="s">
        <v>1713</v>
      </c>
      <c r="AE596" s="173" t="s">
        <v>1257</v>
      </c>
      <c r="AF596" s="284" t="s">
        <v>3802</v>
      </c>
      <c r="AG596" s="897"/>
      <c r="AH596" s="284" t="s">
        <v>559</v>
      </c>
      <c r="AI596" s="897"/>
      <c r="AJ596" s="308" t="s">
        <v>2850</v>
      </c>
      <c r="AK596" s="181" t="str">
        <f t="shared" ca="1" si="118"/>
        <v>EN EJECUCIÓN</v>
      </c>
      <c r="AL596" s="313" t="s">
        <v>574</v>
      </c>
      <c r="AM596" s="438" t="s">
        <v>390</v>
      </c>
      <c r="AN596" s="875" t="str">
        <f>IFERROR(VLOOKUP(E596,'liquidaciones '!$B$2:$C$1048576,2,0),"NO")</f>
        <v>NO</v>
      </c>
      <c r="AO596" s="983" t="str">
        <f>IFERROR(VLOOKUP(E596,'liquidaciones '!$B$2:$I$1048576,8,0),"")</f>
        <v/>
      </c>
      <c r="AP596" s="438"/>
      <c r="AQ596" s="438" t="s">
        <v>390</v>
      </c>
      <c r="AR596" s="438" t="s">
        <v>3074</v>
      </c>
      <c r="AS596" s="438"/>
      <c r="AT596" s="1018" t="s">
        <v>3754</v>
      </c>
    </row>
    <row r="597" spans="3:46" ht="45" x14ac:dyDescent="0.25">
      <c r="C597" s="896"/>
      <c r="D597" s="896"/>
      <c r="E597" s="897" t="s">
        <v>3806</v>
      </c>
      <c r="F597" s="446" t="s">
        <v>3748</v>
      </c>
      <c r="G597" s="922" t="s">
        <v>3750</v>
      </c>
      <c r="H597" s="439" t="s">
        <v>3807</v>
      </c>
      <c r="I597" s="93">
        <v>43945784</v>
      </c>
      <c r="J597" s="902" t="s">
        <v>3808</v>
      </c>
      <c r="K597" s="298">
        <v>2017</v>
      </c>
      <c r="L597" s="551">
        <v>43090</v>
      </c>
      <c r="M597" s="903">
        <v>43090</v>
      </c>
      <c r="N597" s="903">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4">
        <f t="shared" si="112"/>
        <v>43137</v>
      </c>
      <c r="U597" s="62">
        <f t="shared" si="113"/>
        <v>43945784</v>
      </c>
      <c r="V597" s="172">
        <f>VLOOKUP(E597,Modificaciones!$B$7:$AU$900,46,0)</f>
        <v>0</v>
      </c>
      <c r="W597" s="93">
        <f t="shared" si="111"/>
        <v>43945784</v>
      </c>
      <c r="X597" s="312"/>
      <c r="Y597" s="881">
        <f t="shared" si="114"/>
        <v>0</v>
      </c>
      <c r="Z597" s="42">
        <f t="shared" ca="1" si="115"/>
        <v>0.5957446808510638</v>
      </c>
      <c r="AA597" s="43">
        <f t="shared" ca="1" si="116"/>
        <v>0.5957446808510638</v>
      </c>
      <c r="AB597" s="202">
        <f t="shared" ca="1" si="117"/>
        <v>19</v>
      </c>
      <c r="AC597" s="44" t="str">
        <f t="shared" si="119"/>
        <v>NO</v>
      </c>
      <c r="AD597" s="765" t="s">
        <v>1715</v>
      </c>
      <c r="AE597" s="173" t="s">
        <v>1258</v>
      </c>
      <c r="AF597" s="284" t="s">
        <v>1994</v>
      </c>
      <c r="AG597" s="173" t="s">
        <v>1440</v>
      </c>
      <c r="AH597" s="284" t="s">
        <v>560</v>
      </c>
      <c r="AI597" s="308" t="s">
        <v>1510</v>
      </c>
      <c r="AJ597" s="308" t="s">
        <v>3835</v>
      </c>
      <c r="AK597" s="181" t="str">
        <f t="shared" ca="1" si="118"/>
        <v>EN EJECUCIÓN</v>
      </c>
      <c r="AL597" s="313" t="s">
        <v>2737</v>
      </c>
      <c r="AM597" s="438"/>
      <c r="AN597" s="875" t="str">
        <f>IFERROR(VLOOKUP(E597,'liquidaciones '!$B$2:$C$1048576,2,0),"NO")</f>
        <v>NO</v>
      </c>
      <c r="AO597" s="983" t="str">
        <f>IFERROR(VLOOKUP(E597,'liquidaciones '!$B$2:$I$1048576,8,0),"")</f>
        <v/>
      </c>
      <c r="AP597" s="438"/>
      <c r="AQ597" s="438" t="s">
        <v>390</v>
      </c>
      <c r="AR597" s="1019"/>
      <c r="AS597" s="438"/>
      <c r="AT597" s="1018" t="s">
        <v>3836</v>
      </c>
    </row>
    <row r="598" spans="3:46" ht="146.25" x14ac:dyDescent="0.25">
      <c r="C598" s="896"/>
      <c r="D598" s="896"/>
      <c r="E598" s="897" t="s">
        <v>3809</v>
      </c>
      <c r="F598" s="446" t="s">
        <v>3810</v>
      </c>
      <c r="G598" s="922">
        <v>9002546914</v>
      </c>
      <c r="H598" s="439" t="s">
        <v>3829</v>
      </c>
      <c r="I598" s="93">
        <v>474509835</v>
      </c>
      <c r="J598" s="902" t="s">
        <v>3843</v>
      </c>
      <c r="K598" s="298">
        <v>2017</v>
      </c>
      <c r="L598" s="551">
        <v>43096</v>
      </c>
      <c r="M598" s="903">
        <v>43104</v>
      </c>
      <c r="N598" s="903">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4">
        <f t="shared" si="112"/>
        <v>43468</v>
      </c>
      <c r="U598" s="62">
        <f t="shared" si="113"/>
        <v>474509835</v>
      </c>
      <c r="V598" s="172">
        <f>VLOOKUP(E598,Modificaciones!$B$7:$AU$900,46,0)</f>
        <v>0</v>
      </c>
      <c r="W598" s="93">
        <f t="shared" si="111"/>
        <v>474509835</v>
      </c>
      <c r="X598" s="318" t="s">
        <v>3811</v>
      </c>
      <c r="Y598" s="881">
        <f t="shared" si="114"/>
        <v>0</v>
      </c>
      <c r="Z598" s="42">
        <f t="shared" ca="1" si="115"/>
        <v>3.8461538461538464E-2</v>
      </c>
      <c r="AA598" s="43">
        <f t="shared" ca="1" si="116"/>
        <v>3.8461538461538464E-2</v>
      </c>
      <c r="AB598" s="202">
        <f t="shared" ca="1" si="117"/>
        <v>350</v>
      </c>
      <c r="AC598" s="44" t="str">
        <f t="shared" si="119"/>
        <v>NO</v>
      </c>
      <c r="AD598" s="897"/>
      <c r="AE598" s="900"/>
      <c r="AF598" s="900"/>
      <c r="AG598" s="897"/>
      <c r="AH598" s="897"/>
      <c r="AI598" s="897"/>
      <c r="AJ598" s="308" t="s">
        <v>3835</v>
      </c>
      <c r="AK598" s="181" t="str">
        <f t="shared" ca="1" si="118"/>
        <v>EN EJECUCIÓN</v>
      </c>
      <c r="AL598" s="446"/>
      <c r="AM598" s="438"/>
      <c r="AN598" s="875" t="str">
        <f>IFERROR(VLOOKUP(E598,'liquidaciones '!$B$2:$C$1048576,2,0),"NO")</f>
        <v>NO</v>
      </c>
      <c r="AO598" s="983" t="str">
        <f>IFERROR(VLOOKUP(E598,'liquidaciones '!$B$2:$I$1048576,8,0),"")</f>
        <v/>
      </c>
      <c r="AP598" s="438"/>
      <c r="AQ598" s="438" t="s">
        <v>390</v>
      </c>
      <c r="AR598" s="1019" t="s">
        <v>3541</v>
      </c>
      <c r="AS598" s="438" t="s">
        <v>3818</v>
      </c>
      <c r="AT598" s="1018" t="s">
        <v>3836</v>
      </c>
    </row>
    <row r="599" spans="3:46" ht="135" x14ac:dyDescent="0.25">
      <c r="C599" s="896"/>
      <c r="D599" s="896"/>
      <c r="E599" s="897" t="s">
        <v>3812</v>
      </c>
      <c r="F599" s="446" t="s">
        <v>3830</v>
      </c>
      <c r="G599" s="922" t="s">
        <v>3825</v>
      </c>
      <c r="H599" s="439" t="s">
        <v>3826</v>
      </c>
      <c r="I599" s="93">
        <v>259718863</v>
      </c>
      <c r="J599" s="902" t="s">
        <v>3840</v>
      </c>
      <c r="K599" s="298">
        <v>2017</v>
      </c>
      <c r="L599" s="551">
        <v>43097</v>
      </c>
      <c r="M599" s="903"/>
      <c r="N599" s="903"/>
      <c r="O599" s="127">
        <f>COUNTA(Modificaciones!I585,Modificaciones!K585,Modificaciones!M585,Modificaciones!O585)</f>
        <v>0</v>
      </c>
      <c r="P599" s="128">
        <f>VLOOKUP(E599,Modificaciones!$B$7:$Q$900,16,0)</f>
        <v>0</v>
      </c>
      <c r="Q599" s="129">
        <f>COUNTA(Modificaciones!S599,Modificaciones!U599,Modificaciones!W599,Modificaciones!Y599)</f>
        <v>0</v>
      </c>
      <c r="R599" s="130" t="str">
        <f>IF(Modificaciones!Z599=0,"",VLOOKUP(E599,Modificaciones!$B$7:$AA$500,25,0))</f>
        <v/>
      </c>
      <c r="S599" s="131" t="str">
        <f>IF(Modificaciones!AA599=0,"",VLOOKUP(E599,Modificaciones!$B$7:$AA$500,26,0))</f>
        <v/>
      </c>
      <c r="T599" s="884">
        <f t="shared" si="112"/>
        <v>0</v>
      </c>
      <c r="U599" s="62">
        <f t="shared" si="113"/>
        <v>259718863</v>
      </c>
      <c r="V599" s="172">
        <f>VLOOKUP(E599,Modificaciones!$B$7:$AU$900,46,0)</f>
        <v>0</v>
      </c>
      <c r="W599" s="93">
        <f t="shared" si="111"/>
        <v>259718863</v>
      </c>
      <c r="X599" s="318" t="s">
        <v>3827</v>
      </c>
      <c r="Y599" s="881">
        <f t="shared" si="114"/>
        <v>0</v>
      </c>
      <c r="Z599" s="42" t="e">
        <f t="shared" ca="1" si="115"/>
        <v>#DIV/0!</v>
      </c>
      <c r="AA599" s="43" t="e">
        <f t="shared" ca="1" si="116"/>
        <v>#DIV/0!</v>
      </c>
      <c r="AB599" s="202" t="e">
        <f t="shared" ca="1" si="117"/>
        <v>#DIV/0!</v>
      </c>
      <c r="AC599" s="44" t="str">
        <f t="shared" si="119"/>
        <v>NO</v>
      </c>
      <c r="AD599" s="897" t="s">
        <v>1720</v>
      </c>
      <c r="AE599" s="900" t="s">
        <v>1257</v>
      </c>
      <c r="AF599" s="900" t="s">
        <v>3828</v>
      </c>
      <c r="AG599" s="897"/>
      <c r="AH599" s="897" t="s">
        <v>559</v>
      </c>
      <c r="AI599" s="897"/>
      <c r="AJ599" s="308" t="s">
        <v>2850</v>
      </c>
      <c r="AK599" s="181" t="str">
        <f t="shared" ca="1" si="118"/>
        <v>TERMINO</v>
      </c>
      <c r="AL599" s="313" t="s">
        <v>574</v>
      </c>
      <c r="AM599" s="438" t="s">
        <v>390</v>
      </c>
      <c r="AN599" s="875" t="str">
        <f>IFERROR(VLOOKUP(E599,'liquidaciones '!$B$2:$C$1048576,2,0),"NO")</f>
        <v>NO</v>
      </c>
      <c r="AO599" s="983" t="str">
        <f>IFERROR(VLOOKUP(E599,'liquidaciones '!$B$2:$I$1048576,8,0),"")</f>
        <v/>
      </c>
      <c r="AP599" s="438"/>
      <c r="AQ599" s="438" t="s">
        <v>390</v>
      </c>
      <c r="AR599" s="1019" t="s">
        <v>3596</v>
      </c>
      <c r="AS599" s="438"/>
      <c r="AT599" s="1018" t="s">
        <v>3754</v>
      </c>
    </row>
    <row r="600" spans="3:46" ht="45" x14ac:dyDescent="0.25">
      <c r="C600" s="896">
        <v>221</v>
      </c>
      <c r="D600" s="896"/>
      <c r="E600" s="897" t="s">
        <v>3832</v>
      </c>
      <c r="F600" s="446" t="s">
        <v>3833</v>
      </c>
      <c r="G600" s="922" t="s">
        <v>3834</v>
      </c>
      <c r="H600" s="439" t="s">
        <v>3841</v>
      </c>
      <c r="I600" s="93">
        <v>223899975</v>
      </c>
      <c r="J600" s="902" t="s">
        <v>3842</v>
      </c>
      <c r="K600" s="298">
        <v>2017</v>
      </c>
      <c r="L600" s="551">
        <v>43098</v>
      </c>
      <c r="M600" s="903"/>
      <c r="N600" s="903"/>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4">
        <f t="shared" si="112"/>
        <v>0</v>
      </c>
      <c r="U600" s="62">
        <f t="shared" si="113"/>
        <v>223899975</v>
      </c>
      <c r="V600" s="172">
        <f>VLOOKUP(E600,Modificaciones!$B$7:$AU$900,46,0)</f>
        <v>0</v>
      </c>
      <c r="W600" s="93">
        <f t="shared" si="111"/>
        <v>223899975</v>
      </c>
      <c r="X600" s="312" t="s">
        <v>2745</v>
      </c>
      <c r="Y600" s="881">
        <f t="shared" si="114"/>
        <v>0</v>
      </c>
      <c r="Z600" s="42" t="e">
        <f t="shared" ca="1" si="115"/>
        <v>#DIV/0!</v>
      </c>
      <c r="AA600" s="43" t="e">
        <f t="shared" ca="1" si="116"/>
        <v>#DIV/0!</v>
      </c>
      <c r="AB600" s="202" t="e">
        <f t="shared" ca="1" si="117"/>
        <v>#DIV/0!</v>
      </c>
      <c r="AC600" s="44" t="str">
        <f t="shared" si="119"/>
        <v>NO</v>
      </c>
      <c r="AD600" s="897"/>
      <c r="AE600" s="173" t="s">
        <v>1258</v>
      </c>
      <c r="AF600" s="304" t="s">
        <v>1177</v>
      </c>
      <c r="AG600" s="173" t="s">
        <v>1440</v>
      </c>
      <c r="AH600" s="284" t="s">
        <v>560</v>
      </c>
      <c r="AI600" s="174" t="s">
        <v>1510</v>
      </c>
      <c r="AJ600" s="308" t="s">
        <v>3835</v>
      </c>
      <c r="AK600" s="181" t="str">
        <f t="shared" ca="1" si="118"/>
        <v>TERMINO</v>
      </c>
      <c r="AL600" s="446"/>
      <c r="AM600" s="438" t="s">
        <v>390</v>
      </c>
      <c r="AN600" s="875" t="str">
        <f>IFERROR(VLOOKUP(E600,'liquidaciones '!$B$2:$C$1048576,2,0),"NO")</f>
        <v>NO</v>
      </c>
      <c r="AO600" s="983" t="str">
        <f>IFERROR(VLOOKUP(E600,'liquidaciones '!$B$2:$I$1048576,8,0),"")</f>
        <v/>
      </c>
      <c r="AP600" s="438"/>
      <c r="AQ600" s="438" t="s">
        <v>390</v>
      </c>
      <c r="AR600" s="1019" t="s">
        <v>3541</v>
      </c>
      <c r="AS600" s="438" t="s">
        <v>3818</v>
      </c>
      <c r="AT600" s="1018" t="s">
        <v>3836</v>
      </c>
    </row>
    <row r="601" spans="3:46" x14ac:dyDescent="0.25">
      <c r="C601" s="896"/>
      <c r="D601" s="896"/>
      <c r="E601" s="897"/>
      <c r="F601" s="446"/>
      <c r="G601" s="922"/>
      <c r="H601" s="439"/>
      <c r="I601" s="93"/>
      <c r="J601" s="898"/>
      <c r="K601" s="298">
        <v>2017</v>
      </c>
      <c r="L601" s="551"/>
      <c r="M601" s="903"/>
      <c r="N601" s="903"/>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4">
        <f t="shared" ref="T601:T607" si="120">MAX(N601,S601)</f>
        <v>0</v>
      </c>
      <c r="U601" s="62">
        <f t="shared" ref="U601:U607" si="121">I601+P601</f>
        <v>0</v>
      </c>
      <c r="V601" s="172">
        <f>VLOOKUP(E601,Modificaciones!$B$7:$AU$900,46,0)</f>
        <v>0</v>
      </c>
      <c r="W601" s="93">
        <f t="shared" ref="W601:W607" si="122">U601-V601</f>
        <v>0</v>
      </c>
      <c r="X601" s="312"/>
      <c r="Y601" s="881" t="e">
        <f t="shared" ref="Y601:Y607" si="123">(V601*100%)/U601</f>
        <v>#DIV/0!</v>
      </c>
      <c r="Z601" s="42" t="e">
        <f t="shared" ref="Z601:Z607" ca="1" si="124">IF((($F$3-M601)*100%/(T601-M601))&gt;100%,100%,(($F$3-M601)*100%/(T601-M601)))</f>
        <v>#DIV/0!</v>
      </c>
      <c r="AA601" s="43" t="e">
        <f t="shared" ref="AA601:AA607" ca="1" si="125">Z601-Y601</f>
        <v>#DIV/0!</v>
      </c>
      <c r="AB601" s="202" t="e">
        <f t="shared" ref="AB601:AB607" ca="1" si="126">IF(Z601&lt;100%,T601-$F$3,"")</f>
        <v>#DIV/0!</v>
      </c>
      <c r="AC601" s="44" t="e">
        <f t="shared" ref="AC601:AC607" si="127">IF(Y601&lt;=99.9%,"NO","SI")</f>
        <v>#DIV/0!</v>
      </c>
      <c r="AD601" s="897"/>
      <c r="AE601" s="900"/>
      <c r="AF601" s="900"/>
      <c r="AG601" s="897"/>
      <c r="AH601" s="897"/>
      <c r="AI601" s="897"/>
      <c r="AJ601" s="308" t="s">
        <v>2850</v>
      </c>
      <c r="AK601" s="181" t="str">
        <f t="shared" ref="AK601:AK607" ca="1" si="128">IF(T601&gt;=$F$3,"EN EJECUCIÓN","TERMINO")</f>
        <v>TERMINO</v>
      </c>
      <c r="AL601" s="446"/>
      <c r="AM601" s="438"/>
      <c r="AN601" s="875" t="str">
        <f>IFERROR(VLOOKUP(E601,'liquidaciones '!$B$2:$C$1048576,2,0),"NO")</f>
        <v>NO</v>
      </c>
      <c r="AO601" s="983" t="str">
        <f>IFERROR(VLOOKUP(E601,'liquidaciones '!$B$2:$I$1048576,8,0),"")</f>
        <v/>
      </c>
      <c r="AP601" s="438"/>
      <c r="AQ601" s="438"/>
      <c r="AR601" s="1019"/>
      <c r="AS601" s="438"/>
      <c r="AT601" s="1018"/>
    </row>
    <row r="602" spans="3:46" x14ac:dyDescent="0.25">
      <c r="C602" s="896"/>
      <c r="D602" s="896"/>
      <c r="E602" s="897"/>
      <c r="F602" s="446"/>
      <c r="G602" s="922"/>
      <c r="H602" s="439"/>
      <c r="I602" s="93"/>
      <c r="J602" s="898"/>
      <c r="K602" s="298">
        <v>2017</v>
      </c>
      <c r="L602" s="551"/>
      <c r="M602" s="903"/>
      <c r="N602" s="903"/>
      <c r="O602" s="127">
        <f>COUNTA(Modificaciones!I588,Modificaciones!K588,Modificaciones!M588,Modificaciones!O588)</f>
        <v>0</v>
      </c>
      <c r="P602" s="128">
        <f>VLOOKUP(E602,Modificaciones!$B$7:$Q$900,16,0)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4">
        <f t="shared" si="120"/>
        <v>0</v>
      </c>
      <c r="U602" s="62">
        <f t="shared" si="121"/>
        <v>0</v>
      </c>
      <c r="V602" s="172">
        <f>VLOOKUP(E602,Modificaciones!$B$7:$AU$900,46,0)</f>
        <v>0</v>
      </c>
      <c r="W602" s="93">
        <f t="shared" si="122"/>
        <v>0</v>
      </c>
      <c r="X602" s="312"/>
      <c r="Y602" s="881" t="e">
        <f t="shared" si="123"/>
        <v>#DIV/0!</v>
      </c>
      <c r="Z602" s="42" t="e">
        <f t="shared" ca="1" si="124"/>
        <v>#DIV/0!</v>
      </c>
      <c r="AA602" s="43" t="e">
        <f t="shared" ca="1" si="125"/>
        <v>#DIV/0!</v>
      </c>
      <c r="AB602" s="202" t="e">
        <f t="shared" ca="1" si="126"/>
        <v>#DIV/0!</v>
      </c>
      <c r="AC602" s="44" t="e">
        <f t="shared" si="127"/>
        <v>#DIV/0!</v>
      </c>
      <c r="AD602" s="897"/>
      <c r="AE602" s="900"/>
      <c r="AF602" s="900"/>
      <c r="AG602" s="897"/>
      <c r="AH602" s="897"/>
      <c r="AI602" s="897"/>
      <c r="AJ602" s="308" t="s">
        <v>2850</v>
      </c>
      <c r="AK602" s="181" t="str">
        <f t="shared" ca="1" si="128"/>
        <v>TERMINO</v>
      </c>
      <c r="AL602" s="446"/>
      <c r="AM602" s="438"/>
      <c r="AN602" s="875" t="str">
        <f>IFERROR(VLOOKUP(E602,'liquidaciones '!$B$2:$C$1048576,2,0),"NO")</f>
        <v>NO</v>
      </c>
      <c r="AO602" s="983" t="str">
        <f>IFERROR(VLOOKUP(E602,'liquidaciones '!$B$2:$I$1048576,8,0),"")</f>
        <v/>
      </c>
      <c r="AP602" s="438"/>
      <c r="AQ602" s="438"/>
      <c r="AR602" s="1019"/>
      <c r="AS602" s="438"/>
      <c r="AT602" s="1018"/>
    </row>
    <row r="603" spans="3:46" x14ac:dyDescent="0.25">
      <c r="C603" s="896"/>
      <c r="D603" s="896"/>
      <c r="E603" s="897"/>
      <c r="F603" s="446"/>
      <c r="G603" s="922"/>
      <c r="H603" s="439"/>
      <c r="I603" s="93"/>
      <c r="J603" s="898"/>
      <c r="K603" s="298">
        <v>2017</v>
      </c>
      <c r="L603" s="551"/>
      <c r="M603" s="903"/>
      <c r="N603" s="903"/>
      <c r="O603" s="127">
        <f>COUNTA(Modificaciones!I589,Modificaciones!K589,Modificaciones!M589,Modificaciones!O589)</f>
        <v>0</v>
      </c>
      <c r="P603" s="128">
        <f>VLOOKUP(E603,Modificaciones!$B$7:$Q$900,16,0)</f>
        <v>0</v>
      </c>
      <c r="Q603" s="129">
        <f>COUNTA(Modificaciones!S603,Modificaciones!U603,Modificaciones!W603,Modificaciones!Y603)</f>
        <v>0</v>
      </c>
      <c r="R603" s="130" t="str">
        <f>IF(Modificaciones!Z603=0,"",VLOOKUP(E603,Modificaciones!$B$7:$AA$500,25,0))</f>
        <v/>
      </c>
      <c r="S603" s="131" t="str">
        <f>IF(Modificaciones!AA603=0,"",VLOOKUP(E603,Modificaciones!$B$7:$AA$500,26,0))</f>
        <v/>
      </c>
      <c r="T603" s="884">
        <f t="shared" si="120"/>
        <v>0</v>
      </c>
      <c r="U603" s="62">
        <f t="shared" si="121"/>
        <v>0</v>
      </c>
      <c r="V603" s="172">
        <f>VLOOKUP(E603,Modificaciones!$B$7:$AU$900,46,0)</f>
        <v>0</v>
      </c>
      <c r="W603" s="93">
        <f t="shared" si="122"/>
        <v>0</v>
      </c>
      <c r="X603" s="312"/>
      <c r="Y603" s="881" t="e">
        <f t="shared" si="123"/>
        <v>#DIV/0!</v>
      </c>
      <c r="Z603" s="42" t="e">
        <f t="shared" ca="1" si="124"/>
        <v>#DIV/0!</v>
      </c>
      <c r="AA603" s="43" t="e">
        <f t="shared" ca="1" si="125"/>
        <v>#DIV/0!</v>
      </c>
      <c r="AB603" s="202" t="e">
        <f t="shared" ca="1" si="126"/>
        <v>#DIV/0!</v>
      </c>
      <c r="AC603" s="44" t="e">
        <f t="shared" si="127"/>
        <v>#DIV/0!</v>
      </c>
      <c r="AD603" s="897"/>
      <c r="AE603" s="900"/>
      <c r="AF603" s="900"/>
      <c r="AG603" s="897"/>
      <c r="AH603" s="897"/>
      <c r="AI603" s="897"/>
      <c r="AJ603" s="308" t="s">
        <v>2850</v>
      </c>
      <c r="AK603" s="181" t="str">
        <f t="shared" ca="1" si="128"/>
        <v>TERMINO</v>
      </c>
      <c r="AL603" s="446"/>
      <c r="AM603" s="438"/>
      <c r="AN603" s="875" t="str">
        <f>IFERROR(VLOOKUP(E603,'liquidaciones '!$B$2:$C$1048576,2,0),"NO")</f>
        <v>NO</v>
      </c>
      <c r="AO603" s="983" t="str">
        <f>IFERROR(VLOOKUP(E603,'liquidaciones '!$B$2:$I$1048576,8,0),"")</f>
        <v/>
      </c>
      <c r="AP603" s="438"/>
      <c r="AQ603" s="438"/>
      <c r="AR603" s="1019"/>
      <c r="AS603" s="438"/>
      <c r="AT603" s="1018"/>
    </row>
    <row r="604" spans="3:46" x14ac:dyDescent="0.25">
      <c r="C604" s="896"/>
      <c r="D604" s="896"/>
      <c r="E604" s="897"/>
      <c r="F604" s="446"/>
      <c r="G604" s="922"/>
      <c r="H604" s="439"/>
      <c r="I604" s="93"/>
      <c r="J604" s="898"/>
      <c r="K604" s="298">
        <v>2017</v>
      </c>
      <c r="L604" s="551"/>
      <c r="M604" s="903"/>
      <c r="N604" s="903"/>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4">
        <f t="shared" si="120"/>
        <v>0</v>
      </c>
      <c r="U604" s="62">
        <f t="shared" si="121"/>
        <v>0</v>
      </c>
      <c r="V604" s="172">
        <f>VLOOKUP(E604,Modificaciones!$B$7:$AU$900,46,0)</f>
        <v>0</v>
      </c>
      <c r="W604" s="93">
        <f t="shared" si="122"/>
        <v>0</v>
      </c>
      <c r="X604" s="312"/>
      <c r="Y604" s="881" t="e">
        <f t="shared" si="123"/>
        <v>#DIV/0!</v>
      </c>
      <c r="Z604" s="42" t="e">
        <f t="shared" ca="1" si="124"/>
        <v>#DIV/0!</v>
      </c>
      <c r="AA604" s="43" t="e">
        <f t="shared" ca="1" si="125"/>
        <v>#DIV/0!</v>
      </c>
      <c r="AB604" s="202" t="e">
        <f t="shared" ca="1" si="126"/>
        <v>#DIV/0!</v>
      </c>
      <c r="AC604" s="44" t="e">
        <f t="shared" si="127"/>
        <v>#DIV/0!</v>
      </c>
      <c r="AD604" s="897"/>
      <c r="AE604" s="900"/>
      <c r="AF604" s="900"/>
      <c r="AG604" s="897"/>
      <c r="AH604" s="897"/>
      <c r="AI604" s="897"/>
      <c r="AJ604" s="308" t="s">
        <v>2850</v>
      </c>
      <c r="AK604" s="181" t="str">
        <f t="shared" ca="1" si="128"/>
        <v>TERMINO</v>
      </c>
      <c r="AL604" s="446"/>
      <c r="AM604" s="438"/>
      <c r="AN604" s="875" t="str">
        <f>IFERROR(VLOOKUP(E604,'liquidaciones '!$B$2:$C$1048576,2,0),"NO")</f>
        <v>NO</v>
      </c>
      <c r="AO604" s="983" t="str">
        <f>IFERROR(VLOOKUP(E604,'liquidaciones '!$B$2:$I$1048576,8,0),"")</f>
        <v/>
      </c>
      <c r="AP604" s="438"/>
      <c r="AQ604" s="438"/>
      <c r="AR604" s="1019"/>
      <c r="AS604" s="438"/>
      <c r="AT604" s="1018"/>
    </row>
    <row r="605" spans="3:46" x14ac:dyDescent="0.25">
      <c r="C605" s="896"/>
      <c r="D605" s="896"/>
      <c r="E605" s="897"/>
      <c r="F605" s="446"/>
      <c r="G605" s="922"/>
      <c r="H605" s="439"/>
      <c r="I605" s="93"/>
      <c r="J605" s="898"/>
      <c r="K605" s="298">
        <v>2017</v>
      </c>
      <c r="L605" s="551"/>
      <c r="M605" s="903"/>
      <c r="N605" s="903"/>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4">
        <f t="shared" si="120"/>
        <v>0</v>
      </c>
      <c r="U605" s="62">
        <f t="shared" si="121"/>
        <v>0</v>
      </c>
      <c r="V605" s="172">
        <f>VLOOKUP(E605,Modificaciones!$B$7:$AU$900,46,0)</f>
        <v>0</v>
      </c>
      <c r="W605" s="93">
        <f t="shared" si="122"/>
        <v>0</v>
      </c>
      <c r="X605" s="312"/>
      <c r="Y605" s="881" t="e">
        <f t="shared" si="123"/>
        <v>#DIV/0!</v>
      </c>
      <c r="Z605" s="42" t="e">
        <f t="shared" ca="1" si="124"/>
        <v>#DIV/0!</v>
      </c>
      <c r="AA605" s="43" t="e">
        <f t="shared" ca="1" si="125"/>
        <v>#DIV/0!</v>
      </c>
      <c r="AB605" s="202" t="e">
        <f t="shared" ca="1" si="126"/>
        <v>#DIV/0!</v>
      </c>
      <c r="AC605" s="44" t="e">
        <f t="shared" si="127"/>
        <v>#DIV/0!</v>
      </c>
      <c r="AD605" s="897"/>
      <c r="AE605" s="900"/>
      <c r="AF605" s="900"/>
      <c r="AG605" s="897"/>
      <c r="AH605" s="897"/>
      <c r="AI605" s="897"/>
      <c r="AJ605" s="308" t="s">
        <v>2850</v>
      </c>
      <c r="AK605" s="181" t="str">
        <f t="shared" ca="1" si="128"/>
        <v>TERMINO</v>
      </c>
      <c r="AL605" s="446"/>
      <c r="AM605" s="438"/>
      <c r="AN605" s="875" t="str">
        <f>IFERROR(VLOOKUP(E605,'liquidaciones '!$B$2:$C$1048576,2,0),"NO")</f>
        <v>NO</v>
      </c>
      <c r="AO605" s="983" t="str">
        <f>IFERROR(VLOOKUP(E605,'liquidaciones '!$B$2:$I$1048576,8,0),"")</f>
        <v/>
      </c>
      <c r="AP605" s="438"/>
      <c r="AQ605" s="438"/>
      <c r="AR605" s="1019"/>
      <c r="AS605" s="438"/>
      <c r="AT605" s="1018"/>
    </row>
    <row r="606" spans="3:46" x14ac:dyDescent="0.25">
      <c r="C606" s="896"/>
      <c r="D606" s="896"/>
      <c r="E606" s="897"/>
      <c r="F606" s="446"/>
      <c r="G606" s="922"/>
      <c r="H606" s="439"/>
      <c r="I606" s="93"/>
      <c r="J606" s="898"/>
      <c r="K606" s="298">
        <v>2017</v>
      </c>
      <c r="L606" s="897"/>
      <c r="M606" s="903"/>
      <c r="N606" s="903"/>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4">
        <f t="shared" si="120"/>
        <v>0</v>
      </c>
      <c r="U606" s="62">
        <f t="shared" si="121"/>
        <v>0</v>
      </c>
      <c r="V606" s="172">
        <f>VLOOKUP(E606,Modificaciones!$B$7:$AU$900,46,0)</f>
        <v>0</v>
      </c>
      <c r="W606" s="93">
        <f t="shared" si="122"/>
        <v>0</v>
      </c>
      <c r="X606" s="312"/>
      <c r="Y606" s="881" t="e">
        <f t="shared" si="123"/>
        <v>#DIV/0!</v>
      </c>
      <c r="Z606" s="42" t="e">
        <f t="shared" ca="1" si="124"/>
        <v>#DIV/0!</v>
      </c>
      <c r="AA606" s="43" t="e">
        <f t="shared" ca="1" si="125"/>
        <v>#DIV/0!</v>
      </c>
      <c r="AB606" s="202" t="e">
        <f t="shared" ca="1" si="126"/>
        <v>#DIV/0!</v>
      </c>
      <c r="AC606" s="44" t="e">
        <f t="shared" si="127"/>
        <v>#DIV/0!</v>
      </c>
      <c r="AD606" s="897"/>
      <c r="AE606" s="900"/>
      <c r="AF606" s="900"/>
      <c r="AG606" s="897"/>
      <c r="AH606" s="897"/>
      <c r="AI606" s="897"/>
      <c r="AJ606" s="308" t="s">
        <v>2850</v>
      </c>
      <c r="AK606" s="181" t="str">
        <f t="shared" ca="1" si="128"/>
        <v>TERMINO</v>
      </c>
      <c r="AL606" s="446"/>
      <c r="AM606" s="438"/>
      <c r="AN606" s="875" t="str">
        <f>IFERROR(VLOOKUP(E606,'liquidaciones '!$B$2:$C$1048576,2,0),"NO")</f>
        <v>NO</v>
      </c>
      <c r="AO606" s="983" t="str">
        <f>IFERROR(VLOOKUP(E606,'liquidaciones '!$B$2:$I$1048576,8,0),"")</f>
        <v/>
      </c>
      <c r="AP606" s="438"/>
      <c r="AQ606" s="438"/>
      <c r="AR606" s="1019"/>
      <c r="AS606" s="438"/>
      <c r="AT606" s="1018"/>
    </row>
    <row r="607" spans="3:46" x14ac:dyDescent="0.25">
      <c r="C607" s="896"/>
      <c r="D607" s="896"/>
      <c r="E607" s="897"/>
      <c r="F607" s="446"/>
      <c r="G607" s="922"/>
      <c r="H607" s="439"/>
      <c r="I607" s="93"/>
      <c r="J607" s="898"/>
      <c r="K607" s="298">
        <v>2017</v>
      </c>
      <c r="L607" s="551"/>
      <c r="M607" s="903"/>
      <c r="N607" s="903"/>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4">
        <f t="shared" si="120"/>
        <v>0</v>
      </c>
      <c r="U607" s="62">
        <f t="shared" si="121"/>
        <v>0</v>
      </c>
      <c r="V607" s="172">
        <f>VLOOKUP(E607,Modificaciones!$B$7:$AU$900,46,0)</f>
        <v>0</v>
      </c>
      <c r="W607" s="93">
        <f t="shared" si="122"/>
        <v>0</v>
      </c>
      <c r="X607" s="312"/>
      <c r="Y607" s="881" t="e">
        <f t="shared" si="123"/>
        <v>#DIV/0!</v>
      </c>
      <c r="Z607" s="42" t="e">
        <f t="shared" ca="1" si="124"/>
        <v>#DIV/0!</v>
      </c>
      <c r="AA607" s="43" t="e">
        <f t="shared" ca="1" si="125"/>
        <v>#DIV/0!</v>
      </c>
      <c r="AB607" s="202" t="e">
        <f t="shared" ca="1" si="126"/>
        <v>#DIV/0!</v>
      </c>
      <c r="AC607" s="44" t="e">
        <f t="shared" si="127"/>
        <v>#DIV/0!</v>
      </c>
      <c r="AD607" s="897"/>
      <c r="AE607" s="900"/>
      <c r="AF607" s="900"/>
      <c r="AG607" s="897"/>
      <c r="AH607" s="897"/>
      <c r="AI607" s="897"/>
      <c r="AJ607" s="308" t="s">
        <v>2850</v>
      </c>
      <c r="AK607" s="181" t="str">
        <f t="shared" ca="1" si="128"/>
        <v>TERMINO</v>
      </c>
      <c r="AL607" s="446"/>
      <c r="AM607" s="438"/>
      <c r="AN607" s="875" t="str">
        <f>IFERROR(VLOOKUP(E607,'liquidaciones '!$B$2:$C$1048576,2,0),"NO")</f>
        <v>NO</v>
      </c>
      <c r="AO607" s="983" t="str">
        <f>IFERROR(VLOOKUP(E607,'liquidaciones '!$B$2:$I$1048576,8,0),"")</f>
        <v/>
      </c>
      <c r="AP607" s="438"/>
      <c r="AQ607" s="438"/>
      <c r="AR607" s="1019"/>
      <c r="AS607" s="438"/>
      <c r="AT607" s="1018"/>
    </row>
    <row r="608" spans="3:46" x14ac:dyDescent="0.25">
      <c r="G608" s="925"/>
      <c r="M608" s="948"/>
      <c r="N608" s="948"/>
    </row>
    <row r="609" spans="7:14" x14ac:dyDescent="0.25">
      <c r="G609" s="925"/>
      <c r="M609" s="948"/>
      <c r="N609" s="948"/>
    </row>
    <row r="610" spans="7:14" x14ac:dyDescent="0.25">
      <c r="G610" s="925"/>
      <c r="M610" s="948"/>
      <c r="N610" s="948"/>
    </row>
    <row r="611" spans="7:14" x14ac:dyDescent="0.25">
      <c r="G611" s="925"/>
      <c r="M611" s="948"/>
      <c r="N611" s="948"/>
    </row>
    <row r="612" spans="7:14" x14ac:dyDescent="0.25">
      <c r="G612" s="925"/>
      <c r="M612" s="948"/>
      <c r="N612" s="948"/>
    </row>
    <row r="613" spans="7:14" x14ac:dyDescent="0.25">
      <c r="G613" s="925"/>
      <c r="M613" s="948"/>
      <c r="N613" s="948"/>
    </row>
    <row r="614" spans="7:14" x14ac:dyDescent="0.25">
      <c r="G614" s="925"/>
      <c r="M614" s="948"/>
      <c r="N614" s="948"/>
    </row>
    <row r="615" spans="7:14" x14ac:dyDescent="0.25">
      <c r="G615" s="925"/>
      <c r="M615" s="948"/>
      <c r="N615" s="948"/>
    </row>
    <row r="616" spans="7:14" x14ac:dyDescent="0.25">
      <c r="G616" s="925"/>
      <c r="M616" s="948"/>
      <c r="N616" s="948"/>
    </row>
    <row r="617" spans="7:14" x14ac:dyDescent="0.25">
      <c r="G617" s="925"/>
      <c r="M617" s="948"/>
      <c r="N617" s="948"/>
    </row>
    <row r="618" spans="7:14" x14ac:dyDescent="0.25">
      <c r="G618" s="925"/>
      <c r="M618" s="948"/>
      <c r="N618" s="948"/>
    </row>
    <row r="619" spans="7:14" x14ac:dyDescent="0.25">
      <c r="G619" s="925"/>
      <c r="M619" s="948"/>
      <c r="N619" s="948"/>
    </row>
    <row r="620" spans="7:14" x14ac:dyDescent="0.25">
      <c r="G620" s="925"/>
      <c r="M620" s="948"/>
      <c r="N620" s="948"/>
    </row>
    <row r="621" spans="7:14" x14ac:dyDescent="0.25">
      <c r="G621" s="925"/>
      <c r="M621" s="948"/>
      <c r="N621" s="948"/>
    </row>
    <row r="622" spans="7:14" x14ac:dyDescent="0.25">
      <c r="G622" s="925"/>
      <c r="M622" s="948"/>
      <c r="N622" s="948"/>
    </row>
    <row r="623" spans="7:14" x14ac:dyDescent="0.25">
      <c r="G623" s="925"/>
      <c r="M623" s="948"/>
      <c r="N623" s="948"/>
    </row>
    <row r="624" spans="7:14" x14ac:dyDescent="0.25">
      <c r="G624" s="925"/>
      <c r="M624" s="948"/>
      <c r="N624" s="948"/>
    </row>
    <row r="625" spans="7:14" x14ac:dyDescent="0.25">
      <c r="G625" s="925"/>
      <c r="M625" s="948"/>
      <c r="N625" s="948"/>
    </row>
    <row r="626" spans="7:14" x14ac:dyDescent="0.25">
      <c r="G626" s="925"/>
      <c r="M626" s="948"/>
      <c r="N626" s="948"/>
    </row>
    <row r="627" spans="7:14" x14ac:dyDescent="0.25">
      <c r="G627" s="925"/>
      <c r="M627" s="948"/>
      <c r="N627" s="948"/>
    </row>
    <row r="628" spans="7:14" x14ac:dyDescent="0.25">
      <c r="G628" s="925"/>
      <c r="M628" s="948"/>
      <c r="N628" s="948"/>
    </row>
    <row r="629" spans="7:14" x14ac:dyDescent="0.25">
      <c r="G629" s="925"/>
      <c r="M629" s="948"/>
      <c r="N629" s="948"/>
    </row>
    <row r="630" spans="7:14" x14ac:dyDescent="0.25">
      <c r="G630" s="925"/>
      <c r="M630" s="948"/>
      <c r="N630" s="948"/>
    </row>
    <row r="631" spans="7:14" x14ac:dyDescent="0.25">
      <c r="G631" s="925"/>
      <c r="M631" s="948"/>
      <c r="N631" s="948"/>
    </row>
    <row r="632" spans="7:14" x14ac:dyDescent="0.25">
      <c r="G632" s="925"/>
      <c r="M632" s="948"/>
      <c r="N632" s="948"/>
    </row>
    <row r="633" spans="7:14" x14ac:dyDescent="0.25">
      <c r="G633" s="925"/>
      <c r="M633" s="948"/>
      <c r="N633" s="948"/>
    </row>
    <row r="634" spans="7:14" x14ac:dyDescent="0.25">
      <c r="G634" s="925"/>
      <c r="M634" s="948"/>
      <c r="N634" s="948"/>
    </row>
    <row r="635" spans="7:14" x14ac:dyDescent="0.25">
      <c r="G635" s="925"/>
      <c r="M635" s="948"/>
      <c r="N635" s="948"/>
    </row>
    <row r="636" spans="7:14" x14ac:dyDescent="0.25">
      <c r="G636" s="925"/>
      <c r="M636" s="948"/>
      <c r="N636" s="948"/>
    </row>
    <row r="637" spans="7:14" x14ac:dyDescent="0.25">
      <c r="G637" s="925"/>
      <c r="M637" s="948"/>
      <c r="N637" s="948"/>
    </row>
    <row r="638" spans="7:14" x14ac:dyDescent="0.25">
      <c r="G638" s="925"/>
      <c r="M638" s="948"/>
      <c r="N638" s="948"/>
    </row>
    <row r="639" spans="7:14" x14ac:dyDescent="0.25">
      <c r="G639" s="925"/>
      <c r="M639" s="948"/>
      <c r="N639" s="948"/>
    </row>
    <row r="640" spans="7:14" x14ac:dyDescent="0.25">
      <c r="G640" s="925"/>
      <c r="M640" s="948"/>
      <c r="N640" s="948"/>
    </row>
    <row r="641" spans="7:14" x14ac:dyDescent="0.25">
      <c r="G641" s="925"/>
      <c r="M641" s="948"/>
      <c r="N641" s="948"/>
    </row>
    <row r="642" spans="7:14" x14ac:dyDescent="0.25">
      <c r="G642" s="925"/>
      <c r="M642" s="948"/>
      <c r="N642" s="948"/>
    </row>
    <row r="643" spans="7:14" x14ac:dyDescent="0.25">
      <c r="G643" s="925"/>
      <c r="M643" s="948"/>
      <c r="N643" s="948"/>
    </row>
    <row r="644" spans="7:14" x14ac:dyDescent="0.25">
      <c r="G644" s="925"/>
      <c r="M644" s="948"/>
      <c r="N644" s="948"/>
    </row>
    <row r="645" spans="7:14" x14ac:dyDescent="0.25">
      <c r="G645" s="925"/>
      <c r="M645" s="948"/>
      <c r="N645" s="948"/>
    </row>
    <row r="646" spans="7:14" x14ac:dyDescent="0.25">
      <c r="G646" s="925"/>
      <c r="M646" s="948"/>
      <c r="N646" s="948"/>
    </row>
    <row r="647" spans="7:14" x14ac:dyDescent="0.25">
      <c r="G647" s="925"/>
      <c r="M647" s="948"/>
      <c r="N647" s="948"/>
    </row>
    <row r="648" spans="7:14" x14ac:dyDescent="0.25">
      <c r="G648" s="925"/>
      <c r="M648" s="948"/>
      <c r="N648" s="948"/>
    </row>
    <row r="649" spans="7:14" x14ac:dyDescent="0.25">
      <c r="G649" s="925"/>
      <c r="M649" s="948"/>
      <c r="N649" s="948"/>
    </row>
    <row r="650" spans="7:14" x14ac:dyDescent="0.25">
      <c r="G650" s="925"/>
      <c r="M650" s="948"/>
      <c r="N650" s="948"/>
    </row>
    <row r="651" spans="7:14" x14ac:dyDescent="0.25">
      <c r="G651" s="925"/>
      <c r="M651" s="948"/>
      <c r="N651" s="948"/>
    </row>
    <row r="652" spans="7:14" x14ac:dyDescent="0.25">
      <c r="G652" s="925"/>
      <c r="M652" s="948"/>
      <c r="N652" s="948"/>
    </row>
    <row r="653" spans="7:14" x14ac:dyDescent="0.25">
      <c r="G653" s="925"/>
      <c r="M653" s="948"/>
      <c r="N653" s="948"/>
    </row>
    <row r="654" spans="7:14" x14ac:dyDescent="0.25">
      <c r="G654" s="925"/>
      <c r="M654" s="948"/>
      <c r="N654" s="948"/>
    </row>
    <row r="655" spans="7:14" x14ac:dyDescent="0.25">
      <c r="M655" s="948"/>
      <c r="N655" s="948"/>
    </row>
    <row r="656" spans="7:14" x14ac:dyDescent="0.25">
      <c r="M656" s="948"/>
      <c r="N656" s="948"/>
    </row>
    <row r="657" spans="13:14" x14ac:dyDescent="0.25">
      <c r="M657" s="948"/>
      <c r="N657" s="948"/>
    </row>
    <row r="658" spans="13:14" x14ac:dyDescent="0.25">
      <c r="M658" s="948"/>
      <c r="N658" s="948"/>
    </row>
    <row r="1048576" spans="24:39" x14ac:dyDescent="0.25">
      <c r="X1048576" s="312"/>
      <c r="AH1048576" s="284"/>
      <c r="AK1048576" s="924"/>
      <c r="AL1048576" s="313"/>
      <c r="AM1048576" s="176"/>
    </row>
  </sheetData>
  <sheetProtection sheet="1" objects="1" scenarios="1" autoFilter="0" pivotTables="0"/>
  <autoFilter ref="A6:AZ600"/>
  <sortState ref="E223:L230">
    <sortCondition ref="E223:E230"/>
  </sortState>
  <mergeCells count="5">
    <mergeCell ref="H2:Y2"/>
    <mergeCell ref="H3:Y3"/>
    <mergeCell ref="O5:S5"/>
    <mergeCell ref="AM2:AR4"/>
    <mergeCell ref="V5:AC5"/>
  </mergeCells>
  <conditionalFormatting sqref="Y7:Y410 Y421:Y422 Y437:Y456 Y458 Y461:Y600">
    <cfRule type="cellIs" dxfId="429" priority="331" operator="equal">
      <formula>$AX$7</formula>
    </cfRule>
    <cfRule type="cellIs" dxfId="428" priority="332" operator="equal">
      <formula>$AX$7</formula>
    </cfRule>
  </conditionalFormatting>
  <conditionalFormatting sqref="AC7:AD270 AC271:AC410 AC421:AC422 AC455:AC456 AC460:AC600">
    <cfRule type="cellIs" dxfId="427" priority="330" operator="equal">
      <formula>$AY$7</formula>
    </cfRule>
  </conditionalFormatting>
  <conditionalFormatting sqref="AB7:AB410 AB421:AB422">
    <cfRule type="iconSet" priority="465">
      <iconSet iconSet="3Symbols">
        <cfvo type="percent" val="0"/>
        <cfvo type="num" val="20"/>
        <cfvo type="num" val="60"/>
      </iconSet>
    </cfRule>
    <cfRule type="iconSet" priority="466">
      <iconSet iconSet="3Symbols">
        <cfvo type="percent" val="0"/>
        <cfvo type="percent" val="33"/>
        <cfvo type="percent" val="67"/>
      </iconSet>
    </cfRule>
  </conditionalFormatting>
  <conditionalFormatting sqref="Y411:Y420">
    <cfRule type="cellIs" dxfId="426" priority="314" operator="equal">
      <formula>$AX$7</formula>
    </cfRule>
    <cfRule type="cellIs" dxfId="425" priority="315" operator="equal">
      <formula>$AX$7</formula>
    </cfRule>
  </conditionalFormatting>
  <conditionalFormatting sqref="AC411:AC420">
    <cfRule type="cellIs" dxfId="424" priority="313" operator="equal">
      <formula>$AY$7</formula>
    </cfRule>
  </conditionalFormatting>
  <conditionalFormatting sqref="AB411:AB420">
    <cfRule type="iconSet" priority="316">
      <iconSet iconSet="3Symbols">
        <cfvo type="percent" val="0"/>
        <cfvo type="num" val="20"/>
        <cfvo type="num" val="60"/>
      </iconSet>
    </cfRule>
    <cfRule type="iconSet" priority="317">
      <iconSet iconSet="3Symbols">
        <cfvo type="percent" val="0"/>
        <cfvo type="percent" val="33"/>
        <cfvo type="percent" val="67"/>
      </iconSet>
    </cfRule>
  </conditionalFormatting>
  <conditionalFormatting sqref="Y425:Y426">
    <cfRule type="cellIs" dxfId="423" priority="305" operator="equal">
      <formula>$AX$7</formula>
    </cfRule>
    <cfRule type="cellIs" dxfId="422" priority="306" operator="equal">
      <formula>$AX$7</formula>
    </cfRule>
  </conditionalFormatting>
  <conditionalFormatting sqref="AC425:AC426">
    <cfRule type="cellIs" dxfId="421" priority="304" operator="equal">
      <formula>$AY$7</formula>
    </cfRule>
  </conditionalFormatting>
  <conditionalFormatting sqref="AB425:AB426">
    <cfRule type="iconSet" priority="307">
      <iconSet iconSet="3Symbols">
        <cfvo type="percent" val="0"/>
        <cfvo type="num" val="20"/>
        <cfvo type="num" val="60"/>
      </iconSet>
    </cfRule>
    <cfRule type="iconSet" priority="308">
      <iconSet iconSet="3Symbols">
        <cfvo type="percent" val="0"/>
        <cfvo type="percent" val="33"/>
        <cfvo type="percent" val="67"/>
      </iconSet>
    </cfRule>
  </conditionalFormatting>
  <conditionalFormatting sqref="Y423:Y424">
    <cfRule type="cellIs" dxfId="420" priority="294" operator="equal">
      <formula>$AX$7</formula>
    </cfRule>
    <cfRule type="cellIs" dxfId="419" priority="295" operator="equal">
      <formula>$AX$7</formula>
    </cfRule>
  </conditionalFormatting>
  <conditionalFormatting sqref="AC423:AC424">
    <cfRule type="cellIs" dxfId="418" priority="293" operator="equal">
      <formula>$AY$7</formula>
    </cfRule>
  </conditionalFormatting>
  <conditionalFormatting sqref="AB423:AB424">
    <cfRule type="iconSet" priority="296">
      <iconSet iconSet="3Symbols">
        <cfvo type="percent" val="0"/>
        <cfvo type="num" val="20"/>
        <cfvo type="num" val="60"/>
      </iconSet>
    </cfRule>
    <cfRule type="iconSet" priority="297">
      <iconSet iconSet="3Symbols">
        <cfvo type="percent" val="0"/>
        <cfvo type="percent" val="33"/>
        <cfvo type="percent" val="67"/>
      </iconSet>
    </cfRule>
  </conditionalFormatting>
  <conditionalFormatting sqref="Y429:Y430">
    <cfRule type="cellIs" dxfId="417" priority="285" operator="equal">
      <formula>$AX$7</formula>
    </cfRule>
    <cfRule type="cellIs" dxfId="416" priority="286" operator="equal">
      <formula>$AX$7</formula>
    </cfRule>
  </conditionalFormatting>
  <conditionalFormatting sqref="AC429:AC430">
    <cfRule type="cellIs" dxfId="415" priority="284" operator="equal">
      <formula>$AY$7</formula>
    </cfRule>
  </conditionalFormatting>
  <conditionalFormatting sqref="AB429:AB430">
    <cfRule type="iconSet" priority="287">
      <iconSet iconSet="3Symbols">
        <cfvo type="percent" val="0"/>
        <cfvo type="num" val="20"/>
        <cfvo type="num" val="60"/>
      </iconSet>
    </cfRule>
    <cfRule type="iconSet" priority="288">
      <iconSet iconSet="3Symbols">
        <cfvo type="percent" val="0"/>
        <cfvo type="percent" val="33"/>
        <cfvo type="percent" val="67"/>
      </iconSet>
    </cfRule>
  </conditionalFormatting>
  <conditionalFormatting sqref="Y427:Y428">
    <cfRule type="cellIs" dxfId="414" priority="274" operator="equal">
      <formula>$AX$7</formula>
    </cfRule>
    <cfRule type="cellIs" dxfId="413" priority="275" operator="equal">
      <formula>$AX$7</formula>
    </cfRule>
  </conditionalFormatting>
  <conditionalFormatting sqref="AC427:AC428">
    <cfRule type="cellIs" dxfId="412" priority="273" operator="equal">
      <formula>$AY$7</formula>
    </cfRule>
  </conditionalFormatting>
  <conditionalFormatting sqref="AB427:AB428">
    <cfRule type="iconSet" priority="276">
      <iconSet iconSet="3Symbols">
        <cfvo type="percent" val="0"/>
        <cfvo type="num" val="20"/>
        <cfvo type="num" val="60"/>
      </iconSet>
    </cfRule>
    <cfRule type="iconSet" priority="277">
      <iconSet iconSet="3Symbols">
        <cfvo type="percent" val="0"/>
        <cfvo type="percent" val="33"/>
        <cfvo type="percent" val="67"/>
      </iconSet>
    </cfRule>
  </conditionalFormatting>
  <conditionalFormatting sqref="Y433:Y434">
    <cfRule type="cellIs" dxfId="411" priority="265" operator="equal">
      <formula>$AX$7</formula>
    </cfRule>
    <cfRule type="cellIs" dxfId="410" priority="266" operator="equal">
      <formula>$AX$7</formula>
    </cfRule>
  </conditionalFormatting>
  <conditionalFormatting sqref="AC433:AC434">
    <cfRule type="cellIs" dxfId="409" priority="264" operator="equal">
      <formula>$AY$7</formula>
    </cfRule>
  </conditionalFormatting>
  <conditionalFormatting sqref="AB433:AB434">
    <cfRule type="iconSet" priority="267">
      <iconSet iconSet="3Symbols">
        <cfvo type="percent" val="0"/>
        <cfvo type="num" val="20"/>
        <cfvo type="num" val="60"/>
      </iconSet>
    </cfRule>
    <cfRule type="iconSet" priority="268">
      <iconSet iconSet="3Symbols">
        <cfvo type="percent" val="0"/>
        <cfvo type="percent" val="33"/>
        <cfvo type="percent" val="67"/>
      </iconSet>
    </cfRule>
  </conditionalFormatting>
  <conditionalFormatting sqref="Y431:Y432">
    <cfRule type="cellIs" dxfId="408" priority="254" operator="equal">
      <formula>$AX$7</formula>
    </cfRule>
    <cfRule type="cellIs" dxfId="407" priority="255" operator="equal">
      <formula>$AX$7</formula>
    </cfRule>
  </conditionalFormatting>
  <conditionalFormatting sqref="AC431:AC432">
    <cfRule type="cellIs" dxfId="406" priority="253" operator="equal">
      <formula>$AY$7</formula>
    </cfRule>
  </conditionalFormatting>
  <conditionalFormatting sqref="AB431:AB432">
    <cfRule type="iconSet" priority="256">
      <iconSet iconSet="3Symbols">
        <cfvo type="percent" val="0"/>
        <cfvo type="num" val="20"/>
        <cfvo type="num" val="60"/>
      </iconSet>
    </cfRule>
    <cfRule type="iconSet" priority="257">
      <iconSet iconSet="3Symbols">
        <cfvo type="percent" val="0"/>
        <cfvo type="percent" val="33"/>
        <cfvo type="percent" val="67"/>
      </iconSet>
    </cfRule>
  </conditionalFormatting>
  <conditionalFormatting sqref="Y435:Y436">
    <cfRule type="cellIs" dxfId="405" priority="245" operator="equal">
      <formula>$AX$7</formula>
    </cfRule>
    <cfRule type="cellIs" dxfId="404" priority="246" operator="equal">
      <formula>$AX$7</formula>
    </cfRule>
  </conditionalFormatting>
  <conditionalFormatting sqref="AC435:AC436">
    <cfRule type="cellIs" dxfId="403" priority="244" operator="equal">
      <formula>$AY$7</formula>
    </cfRule>
  </conditionalFormatting>
  <conditionalFormatting sqref="AB435:AB436">
    <cfRule type="iconSet" priority="247">
      <iconSet iconSet="3Symbols">
        <cfvo type="percent" val="0"/>
        <cfvo type="num" val="20"/>
        <cfvo type="num" val="60"/>
      </iconSet>
    </cfRule>
    <cfRule type="iconSet" priority="248">
      <iconSet iconSet="3Symbols">
        <cfvo type="percent" val="0"/>
        <cfvo type="percent" val="33"/>
        <cfvo type="percent" val="67"/>
      </iconSet>
    </cfRule>
  </conditionalFormatting>
  <conditionalFormatting sqref="AC439:AC440">
    <cfRule type="cellIs" dxfId="402" priority="233" operator="equal">
      <formula>$AY$7</formula>
    </cfRule>
  </conditionalFormatting>
  <conditionalFormatting sqref="AC437:AC438">
    <cfRule type="cellIs" dxfId="401" priority="222" operator="equal">
      <formula>$AY$7</formula>
    </cfRule>
  </conditionalFormatting>
  <conditionalFormatting sqref="AB437:AB600">
    <cfRule type="iconSet" priority="225">
      <iconSet iconSet="3Symbols">
        <cfvo type="percent" val="0"/>
        <cfvo type="num" val="20"/>
        <cfvo type="num" val="60"/>
      </iconSet>
    </cfRule>
    <cfRule type="iconSet" priority="226">
      <iconSet iconSet="3Symbols">
        <cfvo type="percent" val="0"/>
        <cfvo type="percent" val="33"/>
        <cfvo type="percent" val="67"/>
      </iconSet>
    </cfRule>
  </conditionalFormatting>
  <conditionalFormatting sqref="AC441:AC442">
    <cfRule type="cellIs" dxfId="400" priority="213" operator="equal">
      <formula>$AY$7</formula>
    </cfRule>
  </conditionalFormatting>
  <conditionalFormatting sqref="AC445:AC446">
    <cfRule type="cellIs" dxfId="399" priority="202" operator="equal">
      <formula>$AY$7</formula>
    </cfRule>
  </conditionalFormatting>
  <conditionalFormatting sqref="AC443:AC444">
    <cfRule type="cellIs" dxfId="398" priority="191" operator="equal">
      <formula>$AY$7</formula>
    </cfRule>
  </conditionalFormatting>
  <conditionalFormatting sqref="AC447:AC448">
    <cfRule type="cellIs" dxfId="397" priority="182" operator="equal">
      <formula>$AY$7</formula>
    </cfRule>
  </conditionalFormatting>
  <conditionalFormatting sqref="AC451:AC452">
    <cfRule type="cellIs" dxfId="396" priority="171" operator="equal">
      <formula>$AY$7</formula>
    </cfRule>
  </conditionalFormatting>
  <conditionalFormatting sqref="AC449:AC450">
    <cfRule type="cellIs" dxfId="395" priority="160" operator="equal">
      <formula>$AY$7</formula>
    </cfRule>
  </conditionalFormatting>
  <conditionalFormatting sqref="AC453:AC454">
    <cfRule type="cellIs" dxfId="394" priority="151" operator="equal">
      <formula>$AY$7</formula>
    </cfRule>
  </conditionalFormatting>
  <conditionalFormatting sqref="AC458">
    <cfRule type="cellIs" dxfId="393" priority="140" operator="equal">
      <formula>$AY$7</formula>
    </cfRule>
  </conditionalFormatting>
  <conditionalFormatting sqref="Y457">
    <cfRule type="cellIs" dxfId="392" priority="119" operator="equal">
      <formula>$AX$7</formula>
    </cfRule>
    <cfRule type="cellIs" dxfId="391" priority="120" operator="equal">
      <formula>$AX$7</formula>
    </cfRule>
  </conditionalFormatting>
  <conditionalFormatting sqref="AC457">
    <cfRule type="cellIs" dxfId="390" priority="112" operator="equal">
      <formula>$AY$7</formula>
    </cfRule>
  </conditionalFormatting>
  <conditionalFormatting sqref="Y459">
    <cfRule type="cellIs" dxfId="389" priority="108" operator="equal">
      <formula>$AX$7</formula>
    </cfRule>
    <cfRule type="cellIs" dxfId="388" priority="109" operator="equal">
      <formula>$AX$7</formula>
    </cfRule>
  </conditionalFormatting>
  <conditionalFormatting sqref="AC459">
    <cfRule type="cellIs" dxfId="387" priority="103" operator="equal">
      <formula>$AY$7</formula>
    </cfRule>
  </conditionalFormatting>
  <conditionalFormatting sqref="Y460">
    <cfRule type="cellIs" dxfId="386" priority="99" operator="equal">
      <formula>$AX$7</formula>
    </cfRule>
    <cfRule type="cellIs" dxfId="385" priority="100" operator="equal">
      <formula>$AX$7</formula>
    </cfRule>
  </conditionalFormatting>
  <conditionalFormatting sqref="AN7:AO600">
    <cfRule type="cellIs" dxfId="384" priority="53" operator="equal">
      <formula>"NO"</formula>
    </cfRule>
    <cfRule type="cellIs" dxfId="383" priority="54" operator="equal">
      <formula>"NO"</formula>
    </cfRule>
    <cfRule type="cellIs" dxfId="382" priority="55" operator="equal">
      <formula>"NO"</formula>
    </cfRule>
    <cfRule type="cellIs" dxfId="381" priority="56" operator="equal">
      <formula>"SI"</formula>
    </cfRule>
  </conditionalFormatting>
  <conditionalFormatting sqref="AN7:AO600">
    <cfRule type="cellIs" dxfId="380" priority="52" operator="equal">
      <formula>"NO"</formula>
    </cfRule>
  </conditionalFormatting>
  <conditionalFormatting sqref="AN115:AO600">
    <cfRule type="containsText" dxfId="379" priority="45" operator="containsText" text="SI">
      <formula>NOT(ISERROR(SEARCH("SI",AN115)))</formula>
    </cfRule>
  </conditionalFormatting>
  <conditionalFormatting sqref="AN7:AO600">
    <cfRule type="cellIs" dxfId="378" priority="43" operator="equal">
      <formula>"SI"</formula>
    </cfRule>
  </conditionalFormatting>
  <conditionalFormatting sqref="E7:E600 E608:E1048576">
    <cfRule type="expression" dxfId="377" priority="32">
      <formula>AN7="DEVUELTO"</formula>
    </cfRule>
    <cfRule type="expression" dxfId="376" priority="33">
      <formula>AN7="LIQUIDADO"</formula>
    </cfRule>
    <cfRule type="expression" dxfId="375" priority="34">
      <formula>AN7="EN TRÁMITE"</formula>
    </cfRule>
    <cfRule type="expression" dxfId="374" priority="35">
      <formula>T7&gt;=$F$3</formula>
    </cfRule>
    <cfRule type="expression" dxfId="373" priority="36">
      <formula>AN7="NO"</formula>
    </cfRule>
  </conditionalFormatting>
  <conditionalFormatting sqref="Y601:Y607">
    <cfRule type="cellIs" dxfId="372" priority="20" operator="equal">
      <formula>$AX$7</formula>
    </cfRule>
    <cfRule type="cellIs" dxfId="371" priority="21" operator="equal">
      <formula>$AX$7</formula>
    </cfRule>
  </conditionalFormatting>
  <conditionalFormatting sqref="AC601:AC607">
    <cfRule type="cellIs" dxfId="370" priority="19" operator="equal">
      <formula>$AY$7</formula>
    </cfRule>
  </conditionalFormatting>
  <conditionalFormatting sqref="AB601:AB607">
    <cfRule type="iconSet" priority="13">
      <iconSet iconSet="3Symbols">
        <cfvo type="percent" val="0"/>
        <cfvo type="num" val="20"/>
        <cfvo type="num" val="60"/>
      </iconSet>
    </cfRule>
    <cfRule type="iconSet" priority="14">
      <iconSet iconSet="3Symbols">
        <cfvo type="percent" val="0"/>
        <cfvo type="percent" val="33"/>
        <cfvo type="percent" val="67"/>
      </iconSet>
    </cfRule>
  </conditionalFormatting>
  <conditionalFormatting sqref="AN601:AO607">
    <cfRule type="cellIs" dxfId="369" priority="9" operator="equal">
      <formula>"NO"</formula>
    </cfRule>
    <cfRule type="cellIs" dxfId="368" priority="10" operator="equal">
      <formula>"NO"</formula>
    </cfRule>
    <cfRule type="cellIs" dxfId="367" priority="11" operator="equal">
      <formula>"NO"</formula>
    </cfRule>
    <cfRule type="cellIs" dxfId="366" priority="12" operator="equal">
      <formula>"SI"</formula>
    </cfRule>
  </conditionalFormatting>
  <conditionalFormatting sqref="AN601:AO607">
    <cfRule type="cellIs" dxfId="365" priority="8" operator="equal">
      <formula>"NO"</formula>
    </cfRule>
  </conditionalFormatting>
  <conditionalFormatting sqref="AN601:AO607">
    <cfRule type="containsText" dxfId="364" priority="7" operator="containsText" text="SI">
      <formula>NOT(ISERROR(SEARCH("SI",AN601)))</formula>
    </cfRule>
  </conditionalFormatting>
  <conditionalFormatting sqref="AN601:AO607">
    <cfRule type="cellIs" dxfId="363" priority="6" operator="equal">
      <formula>"SI"</formula>
    </cfRule>
  </conditionalFormatting>
  <conditionalFormatting sqref="E601:E607">
    <cfRule type="expression" dxfId="362" priority="1">
      <formula>AN601="DEVUELTO"</formula>
    </cfRule>
    <cfRule type="expression" dxfId="361" priority="2">
      <formula>AN601="LIQUIDADO"</formula>
    </cfRule>
    <cfRule type="expression" dxfId="360" priority="3">
      <formula>AN601="EN TRÁMITE"</formula>
    </cfRule>
    <cfRule type="expression" dxfId="359" priority="4">
      <formula>T601&gt;=$F$3</formula>
    </cfRule>
    <cfRule type="expression" dxfId="358" priority="5">
      <formula>AN601="NO"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4" r:id="rId373"/>
    <hyperlink ref="J545" r:id="rId374"/>
    <hyperlink ref="J546" r:id="rId375"/>
    <hyperlink ref="J547" r:id="rId376"/>
    <hyperlink ref="J548" r:id="rId377"/>
    <hyperlink ref="J549" r:id="rId378"/>
    <hyperlink ref="J550" r:id="rId379"/>
    <hyperlink ref="J551" r:id="rId380"/>
    <hyperlink ref="J553" r:id="rId381"/>
    <hyperlink ref="J554" r:id="rId382"/>
    <hyperlink ref="J555" r:id="rId383"/>
    <hyperlink ref="J557" r:id="rId384"/>
    <hyperlink ref="J558" r:id="rId385"/>
    <hyperlink ref="J559" r:id="rId386"/>
    <hyperlink ref="J561" r:id="rId387"/>
    <hyperlink ref="J560" r:id="rId388"/>
    <hyperlink ref="J563" r:id="rId389"/>
    <hyperlink ref="J562" r:id="rId390"/>
    <hyperlink ref="J564" r:id="rId391"/>
    <hyperlink ref="J565" r:id="rId392"/>
    <hyperlink ref="J566" r:id="rId393"/>
    <hyperlink ref="J556" r:id="rId394"/>
    <hyperlink ref="J567" r:id="rId395"/>
    <hyperlink ref="J568" r:id="rId396"/>
    <hyperlink ref="J569" r:id="rId397"/>
    <hyperlink ref="J570" r:id="rId398"/>
    <hyperlink ref="J572" r:id="rId399"/>
    <hyperlink ref="J571" r:id="rId400"/>
    <hyperlink ref="J573" r:id="rId401"/>
    <hyperlink ref="J574" r:id="rId402"/>
    <hyperlink ref="J575" r:id="rId403"/>
    <hyperlink ref="J576" r:id="rId404"/>
    <hyperlink ref="J577" r:id="rId405"/>
    <hyperlink ref="J578" r:id="rId406"/>
    <hyperlink ref="J580" r:id="rId407"/>
    <hyperlink ref="J581" r:id="rId408"/>
    <hyperlink ref="J579" r:id="rId409"/>
    <hyperlink ref="J582" r:id="rId410"/>
    <hyperlink ref="J583" r:id="rId411"/>
    <hyperlink ref="J552" r:id="rId412"/>
    <hyperlink ref="J584" r:id="rId413"/>
    <hyperlink ref="J585" r:id="rId414"/>
    <hyperlink ref="J586" r:id="rId415"/>
    <hyperlink ref="J588" r:id="rId416"/>
    <hyperlink ref="J590" r:id="rId417"/>
    <hyperlink ref="J589" r:id="rId418"/>
    <hyperlink ref="J591" r:id="rId419"/>
    <hyperlink ref="J592" r:id="rId420"/>
    <hyperlink ref="J593" r:id="rId421"/>
    <hyperlink ref="J587" r:id="rId422"/>
    <hyperlink ref="J594" r:id="rId423"/>
    <hyperlink ref="J596" r:id="rId424"/>
    <hyperlink ref="J595" r:id="rId425"/>
    <hyperlink ref="J597" r:id="rId426"/>
    <hyperlink ref="L268" r:id="rId427"/>
    <hyperlink ref="J599" r:id="rId428"/>
    <hyperlink ref="J600" r:id="rId429"/>
    <hyperlink ref="J598" r:id="rId430"/>
  </hyperlinks>
  <pageMargins left="0.31496062992125984" right="0.31496062992125984" top="0.74803149606299213" bottom="0.74803149606299213" header="0.31496062992125984" footer="0.31496062992125984"/>
  <pageSetup scale="75" orientation="landscape" r:id="rId431"/>
  <drawing r:id="rId432"/>
  <legacyDrawing r:id="rId433"/>
  <extLst>
    <ext xmlns:x14="http://schemas.microsoft.com/office/spreadsheetml/2009/9/main" uri="{78C0D931-6437-407d-A8EE-F0AAD7539E65}">
      <x14:conditionalFormattings>
        <x14:conditionalFormatting xmlns:xm="http://schemas.microsoft.com/office/excel/2006/main">
          <x14:cfRule type="containsText" priority="329"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328"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326" operator="containsText" id="{8F57F5D0-8850-4230-949E-FFCAA930A9C1}">
            <xm:f>NOT(ISERROR(SEARCH($AZ$8,AQ7)))</xm:f>
            <xm:f>$AZ$8</xm:f>
            <x14:dxf>
              <font>
                <b/>
                <i val="0"/>
                <color rgb="FFFF0000"/>
              </font>
            </x14:dxf>
          </x14:cfRule>
          <x14:cfRule type="containsText" priority="327"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477"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479"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312"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311"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318"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319"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303"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302"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300" operator="containsText" id="{08835A8B-8F33-4E2F-84F3-0C6229B664A7}">
            <xm:f>NOT(ISERROR(SEARCH($AZ$8,AQ423)))</xm:f>
            <xm:f>$AZ$8</xm:f>
            <x14:dxf>
              <font>
                <b/>
                <i val="0"/>
                <color rgb="FFFF0000"/>
              </font>
            </x14:dxf>
          </x14:cfRule>
          <x14:cfRule type="containsText" priority="301"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309"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310"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292"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291"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298"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299"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283"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282"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280" operator="containsText" id="{4150BDEB-E016-4AA1-93AB-C80A820FF8E9}">
            <xm:f>NOT(ISERROR(SEARCH($AZ$8,AQ427)))</xm:f>
            <xm:f>$AZ$8</xm:f>
            <x14:dxf>
              <font>
                <b/>
                <i val="0"/>
                <color rgb="FFFF0000"/>
              </font>
            </x14:dxf>
          </x14:cfRule>
          <x14:cfRule type="containsText" priority="281"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289"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290"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272"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271"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278"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279"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263"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262"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260" operator="containsText" id="{829CC1C1-22FF-409C-83D0-D07EE688D129}">
            <xm:f>NOT(ISERROR(SEARCH($AZ$8,AQ431)))</xm:f>
            <xm:f>$AZ$8</xm:f>
            <x14:dxf>
              <font>
                <b/>
                <i val="0"/>
                <color rgb="FFFF0000"/>
              </font>
            </x14:dxf>
          </x14:cfRule>
          <x14:cfRule type="containsText" priority="261"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269"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270"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252"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251"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258"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259"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243"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242"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240" operator="containsText" id="{EBB1EEDF-EC1F-4AFE-9453-D6F0706CF8FF}">
            <xm:f>NOT(ISERROR(SEARCH($AZ$8,AQ435)))</xm:f>
            <xm:f>$AZ$8</xm:f>
            <x14:dxf>
              <font>
                <b/>
                <i val="0"/>
                <color rgb="FFFF0000"/>
              </font>
            </x14:dxf>
          </x14:cfRule>
          <x14:cfRule type="containsText" priority="241"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249"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250"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232"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231"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229" operator="containsText" id="{6EFBB90C-D06A-471F-A150-CFD8DB66BE75}">
            <xm:f>NOT(ISERROR(SEARCH($AZ$8,AQ437)))</xm:f>
            <xm:f>$AZ$8</xm:f>
            <x14:dxf>
              <font>
                <b/>
                <i val="0"/>
                <color rgb="FFFF0000"/>
              </font>
            </x14:dxf>
          </x14:cfRule>
          <x14:cfRule type="containsText" priority="230"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221"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220"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227"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228"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212"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211"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209" operator="containsText" id="{AB3EE87F-D1D5-4762-9D8C-C8AD0923753E}">
            <xm:f>NOT(ISERROR(SEARCH($AZ$8,AQ441)))</xm:f>
            <xm:f>$AZ$8</xm:f>
            <x14:dxf>
              <font>
                <b/>
                <i val="0"/>
                <color rgb="FFFF0000"/>
              </font>
            </x14:dxf>
          </x14:cfRule>
          <x14:cfRule type="containsText" priority="210"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201"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200"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198" operator="containsText" id="{CAA0316D-0344-4AA6-BDC4-6B9A0D167593}">
            <xm:f>NOT(ISERROR(SEARCH($AZ$8,AQ443)))</xm:f>
            <xm:f>$AZ$8</xm:f>
            <x14:dxf>
              <font>
                <b/>
                <i val="0"/>
                <color rgb="FFFF0000"/>
              </font>
            </x14:dxf>
          </x14:cfRule>
          <x14:cfRule type="containsText" priority="199"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190"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189"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181"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180"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178" operator="containsText" id="{2786D6F3-BE3E-4D1A-8F50-A753CAF46C99}">
            <xm:f>NOT(ISERROR(SEARCH($AZ$8,AQ447)))</xm:f>
            <xm:f>$AZ$8</xm:f>
            <x14:dxf>
              <font>
                <b/>
                <i val="0"/>
                <color rgb="FFFF0000"/>
              </font>
            </x14:dxf>
          </x14:cfRule>
          <x14:cfRule type="containsText" priority="179"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170"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169"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167" operator="containsText" id="{15FB0DE1-DB7B-4B87-98DE-C25A13E6811A}">
            <xm:f>NOT(ISERROR(SEARCH($AZ$8,AQ449)))</xm:f>
            <xm:f>$AZ$8</xm:f>
            <x14:dxf>
              <font>
                <b/>
                <i val="0"/>
                <color rgb="FFFF0000"/>
              </font>
            </x14:dxf>
          </x14:cfRule>
          <x14:cfRule type="containsText" priority="168"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159"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158"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150"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149"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147" operator="containsText" id="{8B79D03C-8C8C-49A1-8200-5B870AEB97A0}">
            <xm:f>NOT(ISERROR(SEARCH($AZ$8,AQ453)))</xm:f>
            <xm:f>$AZ$8</xm:f>
            <x14:dxf>
              <font>
                <b/>
                <i val="0"/>
                <color rgb="FFFF0000"/>
              </font>
            </x14:dxf>
          </x14:cfRule>
          <x14:cfRule type="containsText" priority="148"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139"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138"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125" operator="containsText" id="{4BE44158-E1E6-4EC5-B8CE-17E79A17EA0C}">
            <xm:f>NOT(ISERROR(SEARCH($AZ$8,AQ448)))</xm:f>
            <xm:f>$AZ$8</xm:f>
            <x14:dxf>
              <font>
                <b/>
                <i val="0"/>
                <color rgb="FFFF0000"/>
              </font>
            </x14:dxf>
          </x14:cfRule>
          <x14:cfRule type="containsText" priority="126"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121" operator="containsText" id="{1DBB1C25-3310-4EDB-B60C-F02951E98347}">
            <xm:f>NOT(ISERROR(SEARCH($AZ$8,AQ451)))</xm:f>
            <xm:f>$AZ$8</xm:f>
            <x14:dxf>
              <font>
                <b/>
                <i val="0"/>
                <color rgb="FFFF0000"/>
              </font>
            </x14:dxf>
          </x14:cfRule>
          <x14:cfRule type="containsText" priority="122"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117" operator="containsText" id="{AC2E2BA2-08F4-4E35-8D1A-809AF892068E}">
            <xm:f>NOT(ISERROR(SEARCH($AZ$8,AQ457)))</xm:f>
            <xm:f>$AZ$8</xm:f>
            <x14:dxf>
              <font>
                <b/>
                <i val="0"/>
                <color rgb="FFFF0000"/>
              </font>
            </x14:dxf>
          </x14:cfRule>
          <x14:cfRule type="containsText" priority="118"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111"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110"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102"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101"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97" operator="containsText" id="{A3446065-D273-42B4-8A1E-58DBA26AC02A}">
            <xm:f>NOT(ISERROR(SEARCH($AZ$8,AQ466)))</xm:f>
            <xm:f>$AZ$8</xm:f>
            <x14:dxf>
              <font>
                <b/>
                <i val="0"/>
                <color rgb="FFFF0000"/>
              </font>
            </x14:dxf>
          </x14:cfRule>
          <x14:cfRule type="containsText" priority="98"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95" operator="containsText" id="{3B2B29B4-033A-4D92-BD11-E05459C06AD7}">
            <xm:f>NOT(ISERROR(SEARCH($AZ$8,AQ487)))</xm:f>
            <xm:f>$AZ$8</xm:f>
            <x14:dxf>
              <font>
                <b/>
                <i val="0"/>
                <color rgb="FFFF0000"/>
              </font>
            </x14:dxf>
          </x14:cfRule>
          <x14:cfRule type="containsText" priority="96"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91" operator="containsText" id="{3F8D53C8-AE9A-4802-BA82-977A736135C9}">
            <xm:f>NOT(ISERROR(SEARCH($AZ$8,AQ488)))</xm:f>
            <xm:f>$AZ$8</xm:f>
            <x14:dxf>
              <font>
                <b/>
                <i val="0"/>
                <color rgb="FFFF0000"/>
              </font>
            </x14:dxf>
          </x14:cfRule>
          <x14:cfRule type="containsText" priority="92"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89" operator="containsText" id="{9A1A9CB4-9C90-4F48-A3A4-0A104E5F85E5}">
            <xm:f>NOT(ISERROR(SEARCH($AZ$8,AQ496)))</xm:f>
            <xm:f>$AZ$8</xm:f>
            <x14:dxf>
              <font>
                <b/>
                <i val="0"/>
                <color rgb="FFFF0000"/>
              </font>
            </x14:dxf>
          </x14:cfRule>
          <x14:cfRule type="containsText" priority="90"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87" operator="containsText" id="{55AB6D91-FC48-43FD-B3C9-EDA7570DD788}">
            <xm:f>NOT(ISERROR(SEARCH($AZ$8,AQ498)))</xm:f>
            <xm:f>$AZ$8</xm:f>
            <x14:dxf>
              <font>
                <b/>
                <i val="0"/>
                <color rgb="FFFF0000"/>
              </font>
            </x14:dxf>
          </x14:cfRule>
          <x14:cfRule type="containsText" priority="88"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85" operator="containsText" id="{F847D8D3-BFC3-42BB-97CE-F58346308D8C}">
            <xm:f>NOT(ISERROR(SEARCH($AZ$8,AQ504)))</xm:f>
            <xm:f>$AZ$8</xm:f>
            <x14:dxf>
              <font>
                <b/>
                <i val="0"/>
                <color rgb="FFFF0000"/>
              </font>
            </x14:dxf>
          </x14:cfRule>
          <x14:cfRule type="containsText" priority="86"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83" operator="containsText" id="{5A59EBF2-6DD1-4531-8991-A50C016A9EC4}">
            <xm:f>NOT(ISERROR(SEARCH($AZ$8,AQ506)))</xm:f>
            <xm:f>$AZ$8</xm:f>
            <x14:dxf>
              <font>
                <b/>
                <i val="0"/>
                <color rgb="FFFF0000"/>
              </font>
            </x14:dxf>
          </x14:cfRule>
          <x14:cfRule type="containsText" priority="84"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81" operator="containsText" id="{FE2E2239-0E23-4853-81FB-10E50706BA25}">
            <xm:f>NOT(ISERROR(SEARCH($AZ$8,AQ507)))</xm:f>
            <xm:f>$AZ$8</xm:f>
            <x14:dxf>
              <font>
                <b/>
                <i val="0"/>
                <color rgb="FFFF0000"/>
              </font>
            </x14:dxf>
          </x14:cfRule>
          <x14:cfRule type="containsText" priority="82"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79" operator="containsText" id="{46FF7D3B-40E6-4A9D-8ABA-02A8F23B7BD4}">
            <xm:f>NOT(ISERROR(SEARCH($AZ$8,AQ515)))</xm:f>
            <xm:f>$AZ$8</xm:f>
            <x14:dxf>
              <font>
                <b/>
                <i val="0"/>
                <color rgb="FFFF0000"/>
              </font>
            </x14:dxf>
          </x14:cfRule>
          <x14:cfRule type="containsText" priority="80"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77" operator="containsText" id="{02C45C3A-1F42-487C-A423-B2E6567B95C0}">
            <xm:f>NOT(ISERROR(SEARCH($AZ$8,AQ505)))</xm:f>
            <xm:f>$AZ$8</xm:f>
            <x14:dxf>
              <font>
                <b/>
                <i val="0"/>
                <color rgb="FFFF0000"/>
              </font>
            </x14:dxf>
          </x14:cfRule>
          <x14:cfRule type="containsText" priority="78"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75" operator="containsText" id="{C947782D-C581-4AEB-9B3E-A68E5C5F237A}">
            <xm:f>NOT(ISERROR(SEARCH($AZ$8,AQ517)))</xm:f>
            <xm:f>$AZ$8</xm:f>
            <x14:dxf>
              <font>
                <b/>
                <i val="0"/>
                <color rgb="FFFF0000"/>
              </font>
            </x14:dxf>
          </x14:cfRule>
          <x14:cfRule type="containsText" priority="76"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73" operator="containsText" id="{4C782B14-859E-4BD3-AE09-E60B07E1A5AD}">
            <xm:f>NOT(ISERROR(SEARCH($AZ$8,AQ519)))</xm:f>
            <xm:f>$AZ$8</xm:f>
            <x14:dxf>
              <font>
                <b/>
                <i val="0"/>
                <color rgb="FFFF0000"/>
              </font>
            </x14:dxf>
          </x14:cfRule>
          <x14:cfRule type="containsText" priority="74"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71" operator="containsText" id="{8FC4316E-8B76-4EA6-9A46-B95B8A7A9DB5}">
            <xm:f>NOT(ISERROR(SEARCH($AZ$8,AQ520)))</xm:f>
            <xm:f>$AZ$8</xm:f>
            <x14:dxf>
              <font>
                <b/>
                <i val="0"/>
                <color rgb="FFFF0000"/>
              </font>
            </x14:dxf>
          </x14:cfRule>
          <x14:cfRule type="containsText" priority="72"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69" operator="containsText" id="{617465D6-8116-4F4D-B148-8E69E29CD507}">
            <xm:f>NOT(ISERROR(SEARCH($AZ$8,AQ521)))</xm:f>
            <xm:f>$AZ$8</xm:f>
            <x14:dxf>
              <font>
                <b/>
                <i val="0"/>
                <color rgb="FFFF0000"/>
              </font>
            </x14:dxf>
          </x14:cfRule>
          <x14:cfRule type="containsText" priority="70"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67" operator="containsText" id="{9E14E9FF-DB87-4545-902F-85D491E2C5F4}">
            <xm:f>NOT(ISERROR(SEARCH($AZ$8,AQ523)))</xm:f>
            <xm:f>$AZ$8</xm:f>
            <x14:dxf>
              <font>
                <b/>
                <i val="0"/>
                <color rgb="FFFF0000"/>
              </font>
            </x14:dxf>
          </x14:cfRule>
          <x14:cfRule type="containsText" priority="68"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65" operator="containsText" id="{DF3ACB8D-624A-4CB6-A405-FCAFCFA18D78}">
            <xm:f>NOT(ISERROR(SEARCH($AZ$8,AQ524)))</xm:f>
            <xm:f>$AZ$8</xm:f>
            <x14:dxf>
              <font>
                <b/>
                <i val="0"/>
                <color rgb="FFFF0000"/>
              </font>
            </x14:dxf>
          </x14:cfRule>
          <x14:cfRule type="containsText" priority="66"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63" operator="containsText" id="{84F015BB-0F24-4571-BE43-26888FF653D0}">
            <xm:f>NOT(ISERROR(SEARCH($AZ$8,AQ526)))</xm:f>
            <xm:f>$AZ$8</xm:f>
            <x14:dxf>
              <font>
                <b/>
                <i val="0"/>
                <color rgb="FFFF0000"/>
              </font>
            </x14:dxf>
          </x14:cfRule>
          <x14:cfRule type="containsText" priority="64"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61" operator="containsText" id="{E6F18C11-D5A5-424E-A0D1-20268EABE0FF}">
            <xm:f>NOT(ISERROR(SEARCH($AZ$8,AQ527)))</xm:f>
            <xm:f>$AZ$8</xm:f>
            <x14:dxf>
              <font>
                <b/>
                <i val="0"/>
                <color rgb="FFFF0000"/>
              </font>
            </x14:dxf>
          </x14:cfRule>
          <x14:cfRule type="containsText" priority="62"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59" operator="containsText" id="{5BA08E2E-457F-4EF2-B36A-64126030C5C9}">
            <xm:f>NOT(ISERROR(SEARCH($AZ$8,AQ528)))</xm:f>
            <xm:f>$AZ$8</xm:f>
            <x14:dxf>
              <font>
                <b/>
                <i val="0"/>
                <color rgb="FFFF0000"/>
              </font>
            </x14:dxf>
          </x14:cfRule>
          <x14:cfRule type="containsText" priority="60"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57" operator="containsText" id="{9E5C3296-A423-4E81-9574-630E6245EF49}">
            <xm:f>NOT(ISERROR(SEARCH($AZ$8,AQ529)))</xm:f>
            <xm:f>$AZ$8</xm:f>
            <x14:dxf>
              <font>
                <b/>
                <i val="0"/>
                <color rgb="FFFF0000"/>
              </font>
            </x14:dxf>
          </x14:cfRule>
          <x14:cfRule type="containsText" priority="58"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30" operator="containsText" id="{136E0FDB-B06C-4C7C-98E6-21344803C8A7}">
            <xm:f>NOT(ISERROR(SEARCH($AZ$8,AQ551)))</xm:f>
            <xm:f>$AZ$8</xm:f>
            <x14:dxf>
              <font>
                <b/>
                <i val="0"/>
                <color rgb="FFFF0000"/>
              </font>
            </x14:dxf>
          </x14:cfRule>
          <x14:cfRule type="containsText" priority="31"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28" operator="containsText" id="{F1AC245F-23D9-4E80-8071-EE31E446CC7D}">
            <xm:f>NOT(ISERROR(SEARCH($AZ$8,AQ555)))</xm:f>
            <xm:f>$AZ$8</xm:f>
            <x14:dxf>
              <font>
                <b/>
                <i val="0"/>
                <color rgb="FFFF0000"/>
              </font>
            </x14:dxf>
          </x14:cfRule>
          <x14:cfRule type="containsText" priority="29"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26" operator="containsText" id="{F6A60626-8AFB-4517-8581-66CC2D24950E}">
            <xm:f>NOT(ISERROR(SEARCH($AZ$8,AQ561)))</xm:f>
            <xm:f>$AZ$8</xm:f>
            <x14:dxf>
              <font>
                <b/>
                <i val="0"/>
                <color rgb="FFFF0000"/>
              </font>
            </x14:dxf>
          </x14:cfRule>
          <x14:cfRule type="containsText" priority="27"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24" operator="containsText" id="{036FA788-CB3A-45F4-A954-3FAE63494C9F}">
            <xm:f>NOT(ISERROR(SEARCH($AZ$8,AQ570)))</xm:f>
            <xm:f>$AZ$8</xm:f>
            <x14:dxf>
              <font>
                <b/>
                <i val="0"/>
                <color rgb="FFFF0000"/>
              </font>
            </x14:dxf>
          </x14:cfRule>
          <x14:cfRule type="containsText" priority="25"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22" operator="containsText" id="{4923CDF1-FF19-4F70-91C3-6AD3BBD08EAE}">
            <xm:f>NOT(ISERROR(SEARCH($AZ$8,AQ589)))</xm:f>
            <xm:f>$AZ$8</xm:f>
            <x14:dxf>
              <font>
                <b/>
                <i val="0"/>
                <color rgb="FFFF0000"/>
              </font>
            </x14:dxf>
          </x14:cfRule>
          <x14:cfRule type="containsText" priority="23"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18" operator="containsText" id="{B49A5E23-7E54-4B24-8AB6-8803EB9A07DC}">
            <xm:f>NOT(ISERROR(SEARCH($AY$8,AC601)))</xm:f>
            <xm:f>$AY$8</xm:f>
            <x14:dxf>
              <font>
                <b/>
                <i val="0"/>
                <color rgb="FFFF0000"/>
              </font>
            </x14:dxf>
          </x14:cfRule>
          <xm:sqref>AC601:AC607</xm:sqref>
        </x14:conditionalFormatting>
        <x14:conditionalFormatting xmlns:xm="http://schemas.microsoft.com/office/excel/2006/main">
          <x14:cfRule type="containsText" priority="17" operator="containsText" id="{89F6AC88-9B58-469B-A992-F001246B2E97}">
            <xm:f>NOT(ISERROR(SEARCH($AZ$7,AC601)))</xm:f>
            <xm:f>$AZ$7</xm:f>
            <x14:dxf>
              <font>
                <b/>
                <i val="0"/>
                <color rgb="FF00B050"/>
              </font>
            </x14:dxf>
          </x14:cfRule>
          <xm:sqref>AC601:AC607</xm:sqref>
        </x14:conditionalFormatting>
        <x14:conditionalFormatting xmlns:xm="http://schemas.microsoft.com/office/excel/2006/main">
          <x14:cfRule type="iconSet" priority="15"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Z601:Z607</xm:sqref>
        </x14:conditionalFormatting>
        <x14:conditionalFormatting xmlns:xm="http://schemas.microsoft.com/office/excel/2006/main">
          <x14:cfRule type="iconSet" priority="16"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Z601:Z607</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xm:sqref>
        </x14:dataValidation>
        <x14:dataValidation type="list" allowBlank="1" showInputMessage="1" showErrorMessage="1">
          <x14:formula1>
            <xm:f>Hoja1!$B$57:$B$58</xm:f>
          </x14:formula1>
          <xm:sqref>AE7:AE482 AE486:AE493 AE496:AE509 AE511:AE533 AE536:AE543 AE545:AE549 AE551:AE558 AE560:AE566 AE568:AE574 AE576:AE582 AE584:AE597 AE600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9">
        <v>29809977000</v>
      </c>
      <c r="H3" s="429">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3" t="s">
        <v>1687</v>
      </c>
      <c r="G4" s="480">
        <v>22267500000</v>
      </c>
      <c r="H4" s="429">
        <f>G5+G11</f>
        <v>22267500000</v>
      </c>
      <c r="J4" s="54"/>
      <c r="T4" s="57" t="s">
        <v>603</v>
      </c>
      <c r="U4" s="57" t="s">
        <v>908</v>
      </c>
      <c r="Z4" s="58" t="s">
        <v>267</v>
      </c>
      <c r="AA4" s="59" t="s">
        <v>908</v>
      </c>
      <c r="AE4" s="58" t="s">
        <v>267</v>
      </c>
      <c r="AF4" s="59" t="s">
        <v>901</v>
      </c>
    </row>
    <row r="5" spans="1:38" x14ac:dyDescent="0.25">
      <c r="A5" s="47"/>
      <c r="B5" s="52" t="s">
        <v>561</v>
      </c>
      <c r="C5" s="38"/>
      <c r="F5" s="97" t="s">
        <v>1686</v>
      </c>
      <c r="G5" s="479">
        <v>13495500000</v>
      </c>
      <c r="J5" s="16">
        <v>2015</v>
      </c>
      <c r="T5" s="57" t="s">
        <v>604</v>
      </c>
      <c r="U5" s="57" t="s">
        <v>908</v>
      </c>
      <c r="Z5" s="58" t="s">
        <v>245</v>
      </c>
      <c r="AA5" s="59" t="s">
        <v>908</v>
      </c>
      <c r="AE5" s="58" t="s">
        <v>245</v>
      </c>
      <c r="AF5" s="59" t="s">
        <v>898</v>
      </c>
    </row>
    <row r="6" spans="1:38" x14ac:dyDescent="0.25">
      <c r="A6" s="47"/>
      <c r="B6" s="52" t="s">
        <v>563</v>
      </c>
      <c r="C6" s="38"/>
      <c r="F6" s="430" t="s">
        <v>1685</v>
      </c>
      <c r="G6" s="479">
        <v>13495500000</v>
      </c>
      <c r="J6" s="16">
        <v>2016</v>
      </c>
      <c r="T6" s="57" t="s">
        <v>605</v>
      </c>
      <c r="U6" s="57" t="s">
        <v>908</v>
      </c>
      <c r="Z6" s="58" t="s">
        <v>247</v>
      </c>
      <c r="AA6" s="59" t="s">
        <v>908</v>
      </c>
      <c r="AE6" s="58" t="s">
        <v>247</v>
      </c>
      <c r="AF6" s="59" t="s">
        <v>898</v>
      </c>
    </row>
    <row r="7" spans="1:38" x14ac:dyDescent="0.25">
      <c r="A7" s="48"/>
      <c r="B7" s="52" t="s">
        <v>564</v>
      </c>
      <c r="C7" s="38"/>
      <c r="F7" s="431" t="s">
        <v>1684</v>
      </c>
      <c r="G7" s="481">
        <v>13475500000</v>
      </c>
      <c r="J7" s="54"/>
      <c r="T7" s="57" t="s">
        <v>606</v>
      </c>
      <c r="U7" s="57" t="s">
        <v>908</v>
      </c>
      <c r="Z7" s="58" t="s">
        <v>248</v>
      </c>
      <c r="AA7" s="59" t="s">
        <v>908</v>
      </c>
      <c r="AE7" s="58" t="s">
        <v>248</v>
      </c>
      <c r="AF7" s="59" t="s">
        <v>898</v>
      </c>
    </row>
    <row r="8" spans="1:38" x14ac:dyDescent="0.25">
      <c r="A8" s="48"/>
      <c r="B8" s="52" t="s">
        <v>565</v>
      </c>
      <c r="C8" s="38"/>
      <c r="F8" s="428" t="s">
        <v>1646</v>
      </c>
      <c r="G8" s="481">
        <v>730500000</v>
      </c>
      <c r="T8" s="57" t="s">
        <v>607</v>
      </c>
      <c r="U8" s="57" t="s">
        <v>908</v>
      </c>
      <c r="Z8" s="58" t="s">
        <v>268</v>
      </c>
      <c r="AA8" s="59" t="s">
        <v>908</v>
      </c>
      <c r="AE8" s="58" t="s">
        <v>268</v>
      </c>
      <c r="AF8" s="59" t="s">
        <v>898</v>
      </c>
    </row>
    <row r="9" spans="1:38" x14ac:dyDescent="0.25">
      <c r="A9" s="48"/>
      <c r="B9" s="52" t="s">
        <v>562</v>
      </c>
      <c r="C9" s="38"/>
      <c r="F9" s="428" t="s">
        <v>1647</v>
      </c>
      <c r="G9" s="481">
        <v>12745000000</v>
      </c>
      <c r="T9" s="57" t="s">
        <v>608</v>
      </c>
      <c r="U9" s="57" t="s">
        <v>908</v>
      </c>
      <c r="Z9" s="58" t="s">
        <v>253</v>
      </c>
      <c r="AA9" s="59" t="s">
        <v>908</v>
      </c>
      <c r="AE9" s="58" t="s">
        <v>253</v>
      </c>
      <c r="AF9" s="59" t="s">
        <v>951</v>
      </c>
    </row>
    <row r="10" spans="1:38" x14ac:dyDescent="0.25">
      <c r="A10" s="48"/>
      <c r="B10" s="48"/>
      <c r="C10" s="38"/>
      <c r="F10" s="428" t="s">
        <v>1648</v>
      </c>
      <c r="G10" s="481">
        <v>20000000</v>
      </c>
      <c r="J10" s="54"/>
      <c r="T10" s="57" t="s">
        <v>609</v>
      </c>
      <c r="U10" s="57" t="s">
        <v>908</v>
      </c>
      <c r="Z10" s="58" t="s">
        <v>255</v>
      </c>
      <c r="AA10" s="59" t="s">
        <v>908</v>
      </c>
      <c r="AE10" s="58" t="s">
        <v>255</v>
      </c>
      <c r="AF10" s="59" t="s">
        <v>898</v>
      </c>
    </row>
    <row r="11" spans="1:38" x14ac:dyDescent="0.25">
      <c r="A11" s="48"/>
      <c r="B11" s="48"/>
      <c r="C11" s="38"/>
      <c r="F11" s="432" t="s">
        <v>1649</v>
      </c>
      <c r="G11" s="482">
        <v>8772000000</v>
      </c>
      <c r="J11" s="54"/>
      <c r="T11" s="57" t="s">
        <v>610</v>
      </c>
      <c r="U11" s="57" t="s">
        <v>908</v>
      </c>
      <c r="Z11" s="58" t="s">
        <v>250</v>
      </c>
      <c r="AA11" s="59" t="s">
        <v>908</v>
      </c>
      <c r="AE11" s="58" t="s">
        <v>250</v>
      </c>
      <c r="AF11" s="59" t="s">
        <v>898</v>
      </c>
    </row>
    <row r="12" spans="1:38" x14ac:dyDescent="0.25">
      <c r="A12" s="48"/>
      <c r="B12" s="56" t="s">
        <v>572</v>
      </c>
      <c r="C12" s="38"/>
      <c r="D12" s="437" t="s">
        <v>1688</v>
      </c>
      <c r="F12" s="428" t="s">
        <v>1650</v>
      </c>
      <c r="G12" s="481">
        <v>1589000000</v>
      </c>
      <c r="J12" s="54"/>
      <c r="T12" s="57" t="s">
        <v>611</v>
      </c>
      <c r="U12" s="57" t="s">
        <v>908</v>
      </c>
      <c r="Z12" s="58" t="s">
        <v>256</v>
      </c>
      <c r="AA12" s="59" t="s">
        <v>908</v>
      </c>
      <c r="AE12" s="58" t="s">
        <v>256</v>
      </c>
      <c r="AF12" s="59" t="s">
        <v>898</v>
      </c>
    </row>
    <row r="13" spans="1:38" x14ac:dyDescent="0.25">
      <c r="A13" s="48"/>
      <c r="B13" s="2" t="s">
        <v>573</v>
      </c>
      <c r="C13" s="38"/>
      <c r="D13" s="52" t="s">
        <v>1678</v>
      </c>
      <c r="F13" s="428" t="s">
        <v>1651</v>
      </c>
      <c r="G13" s="481">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8" t="s">
        <v>1652</v>
      </c>
      <c r="G14" s="481">
        <v>452000000</v>
      </c>
      <c r="J14" s="54"/>
      <c r="T14" s="57" t="s">
        <v>613</v>
      </c>
      <c r="U14" s="57" t="s">
        <v>908</v>
      </c>
      <c r="Z14" s="58" t="s">
        <v>271</v>
      </c>
      <c r="AA14" s="59" t="s">
        <v>909</v>
      </c>
      <c r="AE14" s="58" t="s">
        <v>271</v>
      </c>
      <c r="AF14" s="59" t="s">
        <v>901</v>
      </c>
    </row>
    <row r="15" spans="1:38" x14ac:dyDescent="0.25">
      <c r="A15" s="47"/>
      <c r="B15" s="10" t="s">
        <v>575</v>
      </c>
      <c r="C15" s="38"/>
      <c r="F15" s="428" t="s">
        <v>1653</v>
      </c>
      <c r="G15" s="481">
        <v>223000000</v>
      </c>
      <c r="J15" s="54"/>
      <c r="T15" s="57" t="s">
        <v>614</v>
      </c>
      <c r="U15" s="57" t="s">
        <v>908</v>
      </c>
      <c r="Z15" s="58" t="s">
        <v>400</v>
      </c>
      <c r="AA15" s="59" t="s">
        <v>909</v>
      </c>
      <c r="AE15" s="58" t="s">
        <v>400</v>
      </c>
      <c r="AF15" s="59" t="s">
        <v>899</v>
      </c>
    </row>
    <row r="16" spans="1:38" x14ac:dyDescent="0.25">
      <c r="A16" s="49"/>
      <c r="B16" s="10" t="s">
        <v>576</v>
      </c>
      <c r="C16" s="38"/>
      <c r="F16" s="428" t="s">
        <v>1654</v>
      </c>
      <c r="G16" s="481">
        <v>7182000000</v>
      </c>
      <c r="J16" s="54"/>
      <c r="T16" s="57" t="s">
        <v>615</v>
      </c>
      <c r="U16" s="57" t="s">
        <v>908</v>
      </c>
      <c r="Z16" s="58" t="s">
        <v>279</v>
      </c>
      <c r="AA16" s="59" t="s">
        <v>909</v>
      </c>
      <c r="AE16" s="58" t="s">
        <v>279</v>
      </c>
      <c r="AF16" s="59" t="s">
        <v>899</v>
      </c>
    </row>
    <row r="17" spans="1:32" x14ac:dyDescent="0.25">
      <c r="A17" s="50"/>
      <c r="B17" s="5" t="s">
        <v>577</v>
      </c>
      <c r="C17" s="38"/>
      <c r="D17" t="s">
        <v>1068</v>
      </c>
      <c r="F17" s="428" t="s">
        <v>1655</v>
      </c>
      <c r="G17" s="481">
        <v>229000000</v>
      </c>
      <c r="J17" s="54"/>
      <c r="T17" s="57" t="s">
        <v>616</v>
      </c>
      <c r="U17" s="57" t="s">
        <v>908</v>
      </c>
      <c r="Z17" s="58" t="s">
        <v>283</v>
      </c>
      <c r="AA17" s="59" t="s">
        <v>910</v>
      </c>
      <c r="AE17" s="58" t="s">
        <v>283</v>
      </c>
      <c r="AF17" s="59" t="s">
        <v>898</v>
      </c>
    </row>
    <row r="18" spans="1:32" x14ac:dyDescent="0.25">
      <c r="A18" s="50"/>
      <c r="B18" s="2" t="s">
        <v>578</v>
      </c>
      <c r="C18" s="38"/>
      <c r="D18" t="s">
        <v>927</v>
      </c>
      <c r="F18" s="428" t="s">
        <v>1656</v>
      </c>
      <c r="G18" s="481">
        <v>54000000</v>
      </c>
      <c r="J18" s="54"/>
      <c r="T18" s="57" t="s">
        <v>617</v>
      </c>
      <c r="U18" s="57" t="s">
        <v>908</v>
      </c>
      <c r="Z18" s="58" t="s">
        <v>401</v>
      </c>
      <c r="AA18" s="59" t="s">
        <v>913</v>
      </c>
      <c r="AE18" s="58" t="s">
        <v>401</v>
      </c>
      <c r="AF18" s="59" t="s">
        <v>590</v>
      </c>
    </row>
    <row r="19" spans="1:32" x14ac:dyDescent="0.25">
      <c r="A19" s="50"/>
      <c r="B19" s="2" t="s">
        <v>579</v>
      </c>
      <c r="C19" s="38"/>
      <c r="F19" s="428" t="s">
        <v>1657</v>
      </c>
      <c r="G19" s="481">
        <v>1243000000</v>
      </c>
      <c r="T19" s="57" t="s">
        <v>618</v>
      </c>
      <c r="U19" s="57" t="s">
        <v>908</v>
      </c>
      <c r="Z19" s="58" t="s">
        <v>291</v>
      </c>
      <c r="AA19" s="59" t="s">
        <v>908</v>
      </c>
      <c r="AE19" s="58" t="s">
        <v>291</v>
      </c>
      <c r="AF19" s="59" t="s">
        <v>901</v>
      </c>
    </row>
    <row r="20" spans="1:32" x14ac:dyDescent="0.25">
      <c r="A20" s="50"/>
      <c r="B20" s="2" t="s">
        <v>580</v>
      </c>
      <c r="C20" s="38"/>
      <c r="F20" s="428" t="s">
        <v>1658</v>
      </c>
      <c r="G20" s="481">
        <v>1243000000</v>
      </c>
      <c r="J20" s="54"/>
      <c r="T20" s="57" t="s">
        <v>619</v>
      </c>
      <c r="U20" s="57" t="s">
        <v>908</v>
      </c>
      <c r="Z20" s="58" t="s">
        <v>285</v>
      </c>
      <c r="AA20" s="59" t="s">
        <v>920</v>
      </c>
      <c r="AE20" s="58" t="s">
        <v>285</v>
      </c>
      <c r="AF20" s="59" t="s">
        <v>900</v>
      </c>
    </row>
    <row r="21" spans="1:32" x14ac:dyDescent="0.25">
      <c r="A21" s="49"/>
      <c r="B21" s="10" t="s">
        <v>581</v>
      </c>
      <c r="C21" s="38"/>
      <c r="F21" s="428" t="s">
        <v>1659</v>
      </c>
      <c r="G21" s="481">
        <v>1488000000</v>
      </c>
      <c r="J21" s="54"/>
      <c r="T21" s="58" t="s">
        <v>78</v>
      </c>
      <c r="U21" s="57" t="s">
        <v>910</v>
      </c>
      <c r="Z21" s="58" t="s">
        <v>292</v>
      </c>
      <c r="AA21" s="59" t="s">
        <v>909</v>
      </c>
      <c r="AE21" s="58" t="s">
        <v>292</v>
      </c>
      <c r="AF21" s="59" t="s">
        <v>899</v>
      </c>
    </row>
    <row r="22" spans="1:32" x14ac:dyDescent="0.25">
      <c r="A22" s="50"/>
      <c r="B22" s="2" t="s">
        <v>582</v>
      </c>
      <c r="C22" s="38"/>
      <c r="F22" s="428" t="s">
        <v>1660</v>
      </c>
      <c r="G22" s="481">
        <v>194693000</v>
      </c>
      <c r="J22" s="54"/>
      <c r="T22" s="58" t="s">
        <v>78</v>
      </c>
      <c r="U22" s="57" t="s">
        <v>910</v>
      </c>
      <c r="Z22" s="58" t="s">
        <v>297</v>
      </c>
      <c r="AA22" s="59" t="s">
        <v>913</v>
      </c>
      <c r="AE22" s="58" t="s">
        <v>297</v>
      </c>
      <c r="AF22" s="59" t="s">
        <v>899</v>
      </c>
    </row>
    <row r="23" spans="1:32" x14ac:dyDescent="0.25">
      <c r="A23" s="50"/>
      <c r="B23" s="2" t="s">
        <v>583</v>
      </c>
      <c r="C23" s="38"/>
      <c r="F23" s="428" t="s">
        <v>1661</v>
      </c>
      <c r="G23" s="481">
        <v>212307000</v>
      </c>
      <c r="J23" s="54"/>
      <c r="T23" s="57" t="s">
        <v>620</v>
      </c>
      <c r="U23" s="57" t="s">
        <v>908</v>
      </c>
      <c r="Z23" s="58" t="s">
        <v>919</v>
      </c>
      <c r="AA23" s="59" t="s">
        <v>920</v>
      </c>
      <c r="AE23" s="58" t="s">
        <v>919</v>
      </c>
      <c r="AF23" s="59" t="s">
        <v>899</v>
      </c>
    </row>
    <row r="24" spans="1:32" x14ac:dyDescent="0.25">
      <c r="A24" s="50"/>
      <c r="B24" s="2" t="s">
        <v>584</v>
      </c>
      <c r="C24" s="38"/>
      <c r="F24" s="428" t="s">
        <v>1662</v>
      </c>
      <c r="G24" s="481">
        <v>1081000000</v>
      </c>
      <c r="J24" s="54"/>
      <c r="T24" s="57" t="s">
        <v>621</v>
      </c>
      <c r="U24" s="57" t="s">
        <v>908</v>
      </c>
      <c r="Z24" s="58" t="s">
        <v>304</v>
      </c>
      <c r="AA24" s="59" t="s">
        <v>908</v>
      </c>
      <c r="AE24" s="58" t="s">
        <v>304</v>
      </c>
      <c r="AF24" s="59" t="s">
        <v>899</v>
      </c>
    </row>
    <row r="25" spans="1:32" x14ac:dyDescent="0.25">
      <c r="A25" s="49"/>
      <c r="B25" s="10" t="s">
        <v>585</v>
      </c>
      <c r="C25" s="38"/>
      <c r="F25" s="428" t="s">
        <v>1663</v>
      </c>
      <c r="G25" s="481">
        <v>430000000</v>
      </c>
      <c r="J25" s="54"/>
      <c r="T25" s="57" t="s">
        <v>622</v>
      </c>
      <c r="U25" s="57" t="s">
        <v>909</v>
      </c>
      <c r="Z25" s="58" t="s">
        <v>307</v>
      </c>
      <c r="AA25" s="59" t="s">
        <v>908</v>
      </c>
      <c r="AE25" s="58" t="s">
        <v>307</v>
      </c>
      <c r="AF25" s="59" t="s">
        <v>952</v>
      </c>
    </row>
    <row r="26" spans="1:32" ht="22.5" x14ac:dyDescent="0.25">
      <c r="A26" s="51"/>
      <c r="B26" s="2" t="s">
        <v>586</v>
      </c>
      <c r="C26" s="38"/>
      <c r="F26" s="428" t="s">
        <v>1664</v>
      </c>
      <c r="G26" s="481">
        <v>206250000</v>
      </c>
      <c r="J26" s="54"/>
      <c r="T26" s="58" t="s">
        <v>80</v>
      </c>
      <c r="U26" s="57" t="s">
        <v>909</v>
      </c>
      <c r="Z26" s="58" t="s">
        <v>590</v>
      </c>
      <c r="AA26" s="59" t="s">
        <v>908</v>
      </c>
      <c r="AE26" s="58" t="s">
        <v>590</v>
      </c>
      <c r="AF26" s="59" t="s">
        <v>898</v>
      </c>
    </row>
    <row r="27" spans="1:32" ht="22.5" x14ac:dyDescent="0.25">
      <c r="B27" s="2" t="s">
        <v>587</v>
      </c>
      <c r="F27" s="428" t="s">
        <v>1665</v>
      </c>
      <c r="G27" s="481">
        <v>36750000</v>
      </c>
      <c r="J27" s="54"/>
      <c r="T27" s="57" t="s">
        <v>623</v>
      </c>
      <c r="U27" s="57" t="s">
        <v>908</v>
      </c>
      <c r="Z27" s="58" t="s">
        <v>590</v>
      </c>
      <c r="AA27" s="59" t="s">
        <v>908</v>
      </c>
      <c r="AE27" s="58" t="s">
        <v>590</v>
      </c>
      <c r="AF27" s="59" t="s">
        <v>953</v>
      </c>
    </row>
    <row r="28" spans="1:32" x14ac:dyDescent="0.25">
      <c r="B28" s="2" t="s">
        <v>588</v>
      </c>
      <c r="F28" s="428" t="s">
        <v>1666</v>
      </c>
      <c r="G28" s="481">
        <v>58000000</v>
      </c>
      <c r="J28" s="54"/>
      <c r="T28" s="57" t="s">
        <v>624</v>
      </c>
      <c r="U28" s="57" t="s">
        <v>908</v>
      </c>
      <c r="Z28" s="58"/>
    </row>
    <row r="29" spans="1:32" ht="22.5" x14ac:dyDescent="0.25">
      <c r="B29" s="2" t="s">
        <v>921</v>
      </c>
      <c r="F29" s="428" t="s">
        <v>1667</v>
      </c>
      <c r="G29" s="481">
        <v>129000000</v>
      </c>
      <c r="J29" s="54"/>
      <c r="T29" s="57" t="s">
        <v>625</v>
      </c>
      <c r="U29" s="57" t="s">
        <v>908</v>
      </c>
      <c r="Z29" s="58"/>
    </row>
    <row r="30" spans="1:32" x14ac:dyDescent="0.25">
      <c r="F30" s="428" t="s">
        <v>1668</v>
      </c>
      <c r="G30" s="481">
        <v>478000000</v>
      </c>
      <c r="J30" s="54"/>
      <c r="T30" s="57" t="s">
        <v>626</v>
      </c>
      <c r="U30" s="57" t="s">
        <v>908</v>
      </c>
      <c r="Z30" s="58"/>
    </row>
    <row r="31" spans="1:32" x14ac:dyDescent="0.25">
      <c r="B31" s="76" t="s">
        <v>980</v>
      </c>
      <c r="F31" s="428" t="s">
        <v>1669</v>
      </c>
      <c r="G31" s="481">
        <v>478000000</v>
      </c>
      <c r="J31" s="54"/>
      <c r="T31" s="57" t="s">
        <v>627</v>
      </c>
      <c r="U31" s="57" t="s">
        <v>909</v>
      </c>
      <c r="Z31" s="58"/>
    </row>
    <row r="32" spans="1:32" x14ac:dyDescent="0.25">
      <c r="F32" s="428" t="s">
        <v>1670</v>
      </c>
      <c r="G32" s="481">
        <v>834000000</v>
      </c>
      <c r="T32" s="57" t="s">
        <v>628</v>
      </c>
      <c r="U32" s="57" t="s">
        <v>908</v>
      </c>
      <c r="Z32" s="58"/>
    </row>
    <row r="33" spans="2:38" x14ac:dyDescent="0.25">
      <c r="B33" t="s">
        <v>2611</v>
      </c>
      <c r="F33" s="428" t="s">
        <v>1671</v>
      </c>
      <c r="G33" s="481">
        <v>478000000</v>
      </c>
      <c r="J33" s="54"/>
      <c r="T33" s="57" t="s">
        <v>629</v>
      </c>
      <c r="U33" s="57" t="s">
        <v>908</v>
      </c>
      <c r="Z33" s="58"/>
    </row>
    <row r="34" spans="2:38" x14ac:dyDescent="0.25">
      <c r="B34" t="s">
        <v>2613</v>
      </c>
      <c r="F34" s="428" t="s">
        <v>1672</v>
      </c>
      <c r="G34" s="481">
        <v>108000000</v>
      </c>
      <c r="J34" s="54"/>
      <c r="T34" s="57" t="s">
        <v>630</v>
      </c>
      <c r="U34" s="57" t="s">
        <v>908</v>
      </c>
    </row>
    <row r="35" spans="2:38" x14ac:dyDescent="0.25">
      <c r="B35" t="s">
        <v>2612</v>
      </c>
      <c r="F35" s="428" t="s">
        <v>1673</v>
      </c>
      <c r="G35" s="481">
        <v>40000000</v>
      </c>
      <c r="T35" s="57" t="s">
        <v>631</v>
      </c>
      <c r="U35" s="57" t="s">
        <v>908</v>
      </c>
    </row>
    <row r="36" spans="2:38" ht="30" x14ac:dyDescent="0.25">
      <c r="B36" s="52" t="s">
        <v>981</v>
      </c>
      <c r="F36" s="428" t="s">
        <v>1674</v>
      </c>
      <c r="G36" s="481">
        <v>40000000</v>
      </c>
      <c r="J36" s="54"/>
      <c r="T36" s="57" t="s">
        <v>632</v>
      </c>
      <c r="U36" s="57" t="s">
        <v>908</v>
      </c>
    </row>
    <row r="37" spans="2:38" x14ac:dyDescent="0.25">
      <c r="B37" s="52" t="s">
        <v>1393</v>
      </c>
      <c r="F37" s="428" t="s">
        <v>1675</v>
      </c>
      <c r="G37" s="481">
        <v>1800000000</v>
      </c>
      <c r="J37" s="54"/>
      <c r="T37" s="57" t="s">
        <v>632</v>
      </c>
      <c r="U37" s="57" t="s">
        <v>908</v>
      </c>
    </row>
    <row r="38" spans="2:38" s="57" customFormat="1" x14ac:dyDescent="0.25">
      <c r="B38" s="52" t="s">
        <v>1444</v>
      </c>
      <c r="F38" s="428" t="s">
        <v>1676</v>
      </c>
      <c r="G38" s="481">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8" t="s">
        <v>1677</v>
      </c>
      <c r="G39" s="481">
        <v>1000000</v>
      </c>
      <c r="J39" s="54"/>
      <c r="T39" s="57" t="s">
        <v>633</v>
      </c>
      <c r="U39" s="57" t="s">
        <v>908</v>
      </c>
    </row>
    <row r="40" spans="2:38" x14ac:dyDescent="0.25">
      <c r="B40" s="52" t="s">
        <v>1511</v>
      </c>
      <c r="F40" s="483" t="s">
        <v>1691</v>
      </c>
      <c r="G40" s="480">
        <v>7542477000</v>
      </c>
      <c r="J40" s="54"/>
      <c r="T40" s="57" t="s">
        <v>634</v>
      </c>
      <c r="U40" s="57" t="s">
        <v>908</v>
      </c>
    </row>
    <row r="41" spans="2:38" x14ac:dyDescent="0.25">
      <c r="B41" s="52" t="s">
        <v>983</v>
      </c>
      <c r="F41" s="484" t="s">
        <v>1690</v>
      </c>
      <c r="G41" s="479">
        <v>7542477000</v>
      </c>
      <c r="J41" s="54"/>
      <c r="T41" s="57" t="s">
        <v>82</v>
      </c>
      <c r="U41" s="57" t="s">
        <v>909</v>
      </c>
    </row>
    <row r="42" spans="2:38" s="57" customFormat="1" x14ac:dyDescent="0.25">
      <c r="B42" s="52" t="s">
        <v>1995</v>
      </c>
      <c r="F42" s="428" t="s">
        <v>1679</v>
      </c>
      <c r="G42" s="481">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8" t="s">
        <v>1680</v>
      </c>
      <c r="G43" s="481">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8" t="s">
        <v>1681</v>
      </c>
      <c r="G44" s="481">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8" t="s">
        <v>1682</v>
      </c>
      <c r="G45" s="481">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8" t="s">
        <v>1683</v>
      </c>
      <c r="G46" s="481">
        <v>7542477000</v>
      </c>
      <c r="J46" s="54"/>
      <c r="T46" s="57" t="s">
        <v>635</v>
      </c>
      <c r="U46" s="57" t="s">
        <v>908</v>
      </c>
    </row>
    <row r="47" spans="2:38" s="57" customFormat="1" x14ac:dyDescent="0.25">
      <c r="B47" s="52" t="s">
        <v>2395</v>
      </c>
      <c r="F47" s="842"/>
      <c r="G47" s="843"/>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2080</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2609</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2610</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9"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62" t="s">
        <v>411</v>
      </c>
      <c r="J4" s="1063"/>
      <c r="K4" s="1063"/>
      <c r="L4" s="1063"/>
      <c r="M4" s="1063"/>
      <c r="N4" s="1063"/>
      <c r="O4" s="1064"/>
      <c r="P4" s="21"/>
      <c r="Q4" s="27"/>
      <c r="R4" s="21"/>
      <c r="S4"/>
    </row>
    <row r="5" spans="1:19" ht="15" hidden="1" customHeight="1" x14ac:dyDescent="0.25">
      <c r="A5" s="21"/>
      <c r="B5" s="27"/>
      <c r="C5" s="21"/>
      <c r="D5" s="21"/>
      <c r="E5" s="21"/>
      <c r="F5" s="21"/>
      <c r="G5" s="27"/>
      <c r="H5" s="28"/>
      <c r="I5" s="1065"/>
      <c r="J5" s="1066"/>
      <c r="K5" s="1066"/>
      <c r="L5" s="1066"/>
      <c r="M5" s="1066"/>
      <c r="N5" s="1066"/>
      <c r="O5" s="1067"/>
      <c r="P5" s="21"/>
      <c r="Q5" s="27"/>
      <c r="R5" s="21"/>
      <c r="S5"/>
    </row>
    <row r="6" spans="1:19" x14ac:dyDescent="0.25">
      <c r="A6" s="21"/>
      <c r="B6" s="27"/>
      <c r="C6" s="21"/>
      <c r="D6" s="21"/>
      <c r="E6" s="21"/>
      <c r="F6" s="21"/>
      <c r="G6" s="27"/>
      <c r="H6" s="28"/>
      <c r="I6" s="1065"/>
      <c r="J6" s="1066"/>
      <c r="K6" s="1066"/>
      <c r="L6" s="1066"/>
      <c r="M6" s="1066"/>
      <c r="N6" s="1066"/>
      <c r="O6" s="1067"/>
      <c r="P6" s="21"/>
      <c r="Q6" s="27"/>
      <c r="R6" s="21"/>
      <c r="S6"/>
    </row>
    <row r="7" spans="1:19" ht="10.5" customHeight="1" x14ac:dyDescent="0.25">
      <c r="A7" s="21"/>
      <c r="B7" s="27"/>
      <c r="C7" s="21"/>
      <c r="D7" s="21"/>
      <c r="E7" s="21"/>
      <c r="F7" s="21"/>
      <c r="G7" s="27"/>
      <c r="H7" s="28"/>
      <c r="I7" s="1065" t="s">
        <v>412</v>
      </c>
      <c r="J7" s="1066"/>
      <c r="K7" s="1066"/>
      <c r="L7" s="1066"/>
      <c r="M7" s="1066"/>
      <c r="N7" s="1066"/>
      <c r="O7" s="1067"/>
      <c r="P7" s="21"/>
      <c r="Q7" s="27"/>
      <c r="R7" s="21"/>
      <c r="S7"/>
    </row>
    <row r="8" spans="1:19" x14ac:dyDescent="0.25">
      <c r="A8" s="21"/>
      <c r="B8" s="27"/>
      <c r="C8" s="21"/>
      <c r="D8" s="21"/>
      <c r="E8" s="21"/>
      <c r="F8" s="21"/>
      <c r="G8" s="27"/>
      <c r="H8" s="28"/>
      <c r="I8" s="1065"/>
      <c r="J8" s="1066"/>
      <c r="K8" s="1066"/>
      <c r="L8" s="1066"/>
      <c r="M8" s="1066"/>
      <c r="N8" s="1066"/>
      <c r="O8" s="1067"/>
      <c r="P8" s="21"/>
      <c r="Q8" s="27"/>
      <c r="R8" s="21"/>
      <c r="S8"/>
    </row>
    <row r="9" spans="1:19" x14ac:dyDescent="0.25">
      <c r="A9" s="21"/>
      <c r="B9" s="27"/>
      <c r="C9" s="21"/>
      <c r="D9" s="21"/>
      <c r="E9" s="21"/>
      <c r="F9" s="21"/>
      <c r="G9" s="27"/>
      <c r="H9" s="28"/>
      <c r="I9" s="1065"/>
      <c r="J9" s="1066"/>
      <c r="K9" s="1066"/>
      <c r="L9" s="1066"/>
      <c r="M9" s="1066"/>
      <c r="N9" s="1066"/>
      <c r="O9" s="1067"/>
      <c r="P9" s="21"/>
      <c r="Q9" s="27"/>
      <c r="R9" s="21"/>
      <c r="S9"/>
    </row>
    <row r="10" spans="1:19" ht="8.25" customHeight="1" thickBot="1" x14ac:dyDescent="0.3">
      <c r="A10" s="21"/>
      <c r="B10" s="27"/>
      <c r="C10" s="27"/>
      <c r="D10" s="27"/>
      <c r="E10" s="27"/>
      <c r="F10" s="27"/>
      <c r="G10" s="27"/>
      <c r="H10" s="28"/>
      <c r="I10" s="1068"/>
      <c r="J10" s="1069"/>
      <c r="K10" s="1069"/>
      <c r="L10" s="1069"/>
      <c r="M10" s="1069"/>
      <c r="N10" s="1069"/>
      <c r="O10" s="1070"/>
      <c r="P10" s="21"/>
      <c r="Q10" s="27"/>
      <c r="R10" s="21"/>
      <c r="S10"/>
    </row>
    <row r="11" spans="1:19" ht="16.5" thickTop="1" x14ac:dyDescent="0.25">
      <c r="A11" s="21"/>
      <c r="B11" s="27"/>
      <c r="C11" s="1071" t="s">
        <v>406</v>
      </c>
      <c r="D11" s="1071"/>
      <c r="E11" s="1071"/>
      <c r="F11" s="1071"/>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072" t="s">
        <v>413</v>
      </c>
      <c r="D15" s="1072"/>
      <c r="E15" s="1072"/>
      <c r="F15" s="1072"/>
      <c r="G15" s="1072"/>
      <c r="H15" s="1072"/>
      <c r="I15" s="1072"/>
      <c r="J15" s="1072"/>
      <c r="K15" s="1072"/>
      <c r="L15" s="1072"/>
      <c r="M15" s="1072"/>
      <c r="N15" s="1072"/>
      <c r="O15" s="1072"/>
      <c r="P15" s="1072"/>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073" t="s">
        <v>1076</v>
      </c>
      <c r="E18" s="1073"/>
      <c r="F18" s="1073"/>
      <c r="G18" s="1073"/>
      <c r="H18" s="1073"/>
      <c r="I18" s="1073"/>
      <c r="J18" s="1073"/>
      <c r="K18" s="1073"/>
      <c r="L18" s="1073"/>
      <c r="M18" s="1073"/>
      <c r="N18" s="1073"/>
      <c r="O18" s="1073"/>
      <c r="P18" s="21"/>
      <c r="Q18" s="27"/>
      <c r="R18" s="21"/>
      <c r="S18"/>
    </row>
    <row r="19" spans="1:19" x14ac:dyDescent="0.25">
      <c r="A19" s="21"/>
      <c r="B19" s="27"/>
      <c r="C19" s="21"/>
      <c r="D19" s="1073"/>
      <c r="E19" s="1073"/>
      <c r="F19" s="1073"/>
      <c r="G19" s="1073"/>
      <c r="H19" s="1073"/>
      <c r="I19" s="1073"/>
      <c r="J19" s="1073"/>
      <c r="K19" s="1073"/>
      <c r="L19" s="1073"/>
      <c r="M19" s="1073"/>
      <c r="N19" s="1073"/>
      <c r="O19" s="1073"/>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61" t="s">
        <v>1079</v>
      </c>
      <c r="F22" s="1061"/>
      <c r="G22" s="1061"/>
      <c r="H22" s="1061"/>
      <c r="I22" s="1061"/>
      <c r="J22" s="1061"/>
      <c r="K22" s="1061"/>
      <c r="L22" s="1061"/>
      <c r="M22" s="1061"/>
      <c r="N22" s="1061"/>
      <c r="O22" s="1061"/>
      <c r="P22" s="21"/>
      <c r="Q22" s="27"/>
      <c r="R22" s="21"/>
      <c r="S22"/>
    </row>
    <row r="23" spans="1:19" ht="18.75" customHeight="1" x14ac:dyDescent="0.25">
      <c r="A23" s="21"/>
      <c r="B23" s="27"/>
      <c r="C23" s="21"/>
      <c r="D23" s="21"/>
      <c r="E23" s="1061"/>
      <c r="F23" s="1061"/>
      <c r="G23" s="1061"/>
      <c r="H23" s="1061"/>
      <c r="I23" s="1061"/>
      <c r="J23" s="1061"/>
      <c r="K23" s="1061"/>
      <c r="L23" s="1061"/>
      <c r="M23" s="1061"/>
      <c r="N23" s="1061"/>
      <c r="O23" s="1061"/>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61" t="s">
        <v>1089</v>
      </c>
      <c r="F34" s="1061"/>
      <c r="G34" s="1061"/>
      <c r="H34" s="1061"/>
      <c r="I34" s="1061"/>
      <c r="J34" s="1061"/>
      <c r="K34" s="1061"/>
      <c r="L34" s="1061"/>
      <c r="M34" s="1061"/>
      <c r="N34" s="1061"/>
      <c r="O34" s="1061"/>
      <c r="P34" s="21"/>
      <c r="Q34" s="27"/>
      <c r="R34" s="21"/>
      <c r="S34"/>
    </row>
    <row r="35" spans="1:19" ht="18.75" x14ac:dyDescent="0.3">
      <c r="A35" s="21"/>
      <c r="B35" s="27"/>
      <c r="C35" s="21"/>
      <c r="D35" s="36"/>
      <c r="E35" s="1061"/>
      <c r="F35" s="1061"/>
      <c r="G35" s="1061"/>
      <c r="H35" s="1061"/>
      <c r="I35" s="1061"/>
      <c r="J35" s="1061"/>
      <c r="K35" s="1061"/>
      <c r="L35" s="1061"/>
      <c r="M35" s="1061"/>
      <c r="N35" s="1061"/>
      <c r="O35" s="1061"/>
      <c r="P35" s="21"/>
      <c r="Q35" s="27"/>
      <c r="R35" s="21"/>
      <c r="S35"/>
    </row>
    <row r="36" spans="1:19" s="57" customFormat="1" ht="18.75" x14ac:dyDescent="0.3">
      <c r="A36" s="59"/>
      <c r="B36" s="27"/>
      <c r="C36" s="59"/>
      <c r="D36" s="36"/>
      <c r="E36" s="1061" t="s">
        <v>1090</v>
      </c>
      <c r="F36" s="1061"/>
      <c r="G36" s="1061"/>
      <c r="H36" s="1061"/>
      <c r="I36" s="1061"/>
      <c r="J36" s="1061"/>
      <c r="K36" s="1061"/>
      <c r="L36" s="1061"/>
      <c r="M36" s="1061"/>
      <c r="N36" s="1061"/>
      <c r="O36" s="1061"/>
      <c r="P36" s="59"/>
      <c r="Q36" s="27"/>
      <c r="R36" s="59"/>
    </row>
    <row r="37" spans="1:19" s="57" customFormat="1" ht="18.75" x14ac:dyDescent="0.3">
      <c r="A37" s="59"/>
      <c r="B37" s="27"/>
      <c r="C37" s="59"/>
      <c r="D37" s="36"/>
      <c r="E37" s="1061"/>
      <c r="F37" s="1061"/>
      <c r="G37" s="1061"/>
      <c r="H37" s="1061"/>
      <c r="I37" s="1061"/>
      <c r="J37" s="1061"/>
      <c r="K37" s="1061"/>
      <c r="L37" s="1061"/>
      <c r="M37" s="1061"/>
      <c r="N37" s="1061"/>
      <c r="O37" s="1061"/>
      <c r="P37" s="59"/>
      <c r="Q37" s="27"/>
      <c r="R37" s="59"/>
    </row>
    <row r="38" spans="1:19" s="57" customFormat="1" ht="18.75" x14ac:dyDescent="0.3">
      <c r="A38" s="59"/>
      <c r="B38" s="27"/>
      <c r="C38" s="59"/>
      <c r="D38" s="36"/>
      <c r="E38" s="1061" t="s">
        <v>1091</v>
      </c>
      <c r="F38" s="1061"/>
      <c r="G38" s="1061"/>
      <c r="H38" s="1061"/>
      <c r="I38" s="1061"/>
      <c r="J38" s="1061"/>
      <c r="K38" s="1061"/>
      <c r="L38" s="1061"/>
      <c r="M38" s="1061"/>
      <c r="N38" s="1061"/>
      <c r="O38" s="1061"/>
      <c r="P38" s="59"/>
      <c r="Q38" s="27"/>
      <c r="R38" s="59"/>
    </row>
    <row r="39" spans="1:19" s="57" customFormat="1" ht="18.75" x14ac:dyDescent="0.3">
      <c r="A39" s="59"/>
      <c r="B39" s="27"/>
      <c r="C39" s="59"/>
      <c r="D39" s="36"/>
      <c r="E39" s="1061"/>
      <c r="F39" s="1061"/>
      <c r="G39" s="1061"/>
      <c r="H39" s="1061"/>
      <c r="I39" s="1061"/>
      <c r="J39" s="1061"/>
      <c r="K39" s="1061"/>
      <c r="L39" s="1061"/>
      <c r="M39" s="1061"/>
      <c r="N39" s="1061"/>
      <c r="O39" s="1061"/>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601"/>
  <sheetViews>
    <sheetView zoomScaleNormal="100" workbookViewId="0">
      <pane xSplit="2" ySplit="6" topLeftCell="AL466" activePane="bottomRight" state="frozen"/>
      <selection activeCell="B476" sqref="B476"/>
      <selection pane="topRight" activeCell="B476" sqref="B476"/>
      <selection pane="bottomLeft" activeCell="B476" sqref="B476"/>
      <selection pane="bottomRight" activeCell="AT602" sqref="AT602"/>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5" bestFit="1" customWidth="1"/>
    <col min="11" max="11" width="13.7109375" style="288" bestFit="1" customWidth="1"/>
    <col min="12" max="12" width="9.85546875" style="368" bestFit="1" customWidth="1"/>
    <col min="13" max="13" width="12" style="1" bestFit="1" customWidth="1"/>
    <col min="14" max="14" width="9.85546875" style="365" bestFit="1" customWidth="1"/>
    <col min="15" max="15" width="11.42578125" style="1"/>
    <col min="16" max="16" width="9.85546875" style="365" bestFit="1" customWidth="1"/>
    <col min="17" max="17" width="16.28515625" style="1" customWidth="1"/>
    <col min="18" max="18" width="11.42578125" style="289"/>
    <col min="19" max="19" width="11.42578125" style="372"/>
    <col min="20" max="20" width="11.42578125" style="289"/>
    <col min="21" max="21" width="11.42578125" style="372"/>
    <col min="22" max="22" width="11.42578125" style="289"/>
    <col min="23" max="23" width="11.42578125" style="372"/>
    <col min="24" max="24" width="11.42578125" style="289"/>
    <col min="25" max="25" width="11.42578125" style="372"/>
    <col min="26" max="26" width="11.42578125" style="359"/>
    <col min="27" max="27" width="11.42578125" style="1"/>
    <col min="28" max="28" width="15" style="290" bestFit="1" customWidth="1"/>
    <col min="29" max="29" width="16" style="290" bestFit="1" customWidth="1"/>
    <col min="30" max="33" width="15" style="290" bestFit="1" customWidth="1"/>
    <col min="34" max="34" width="13.7109375" style="290" customWidth="1"/>
    <col min="35" max="39" width="15" style="290" bestFit="1" customWidth="1"/>
    <col min="40" max="40" width="14.85546875" style="290" bestFit="1" customWidth="1"/>
    <col min="41" max="43" width="13.85546875" style="290" customWidth="1"/>
    <col min="44" max="44" width="14" style="290" bestFit="1" customWidth="1"/>
    <col min="45" max="45" width="14" style="290" customWidth="1"/>
    <col min="46" max="46" width="14" style="372"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62"/>
      <c r="K1" s="286"/>
      <c r="L1" s="366"/>
      <c r="M1" s="14"/>
      <c r="N1" s="362"/>
      <c r="O1" s="14"/>
      <c r="P1" s="362"/>
      <c r="Q1" s="14"/>
      <c r="R1" s="14"/>
      <c r="S1" s="362"/>
      <c r="T1" s="14"/>
      <c r="U1" s="362"/>
      <c r="V1" s="14"/>
      <c r="W1" s="362"/>
      <c r="X1" s="14"/>
      <c r="Y1" s="362"/>
      <c r="Z1" s="273"/>
      <c r="AA1" s="14"/>
      <c r="AB1" s="14"/>
      <c r="AC1" s="14"/>
      <c r="AD1" s="14"/>
      <c r="AE1" s="14"/>
      <c r="AF1" s="14"/>
      <c r="AG1" s="14"/>
      <c r="AH1" s="14"/>
      <c r="AI1" s="14"/>
      <c r="AJ1" s="14"/>
      <c r="AK1" s="14"/>
      <c r="AL1" s="14"/>
      <c r="AM1" s="14"/>
      <c r="AN1" s="14"/>
      <c r="AO1" s="14"/>
      <c r="AP1" s="14"/>
      <c r="AQ1" s="14"/>
      <c r="AR1" s="14"/>
      <c r="AS1" s="14"/>
      <c r="AT1" s="362"/>
      <c r="AU1" s="14"/>
    </row>
    <row r="2" spans="1:49" ht="23.25" x14ac:dyDescent="0.25">
      <c r="B2" s="104"/>
      <c r="C2" s="105"/>
      <c r="D2" s="216"/>
      <c r="E2" s="1074" t="s">
        <v>387</v>
      </c>
      <c r="F2" s="1074"/>
      <c r="G2" s="1074"/>
      <c r="H2" s="1074"/>
      <c r="I2" s="1074"/>
      <c r="J2" s="1074"/>
      <c r="K2" s="1074"/>
      <c r="L2" s="1074"/>
      <c r="M2" s="1074"/>
      <c r="N2" s="1074"/>
      <c r="O2" s="1074"/>
      <c r="P2" s="1074"/>
      <c r="Q2" s="1074"/>
      <c r="R2" s="1074"/>
      <c r="S2" s="1074"/>
      <c r="T2" s="1074"/>
      <c r="U2" s="1074"/>
      <c r="V2" s="1074"/>
      <c r="W2" s="1074"/>
      <c r="X2" s="1074"/>
      <c r="Y2" s="1074"/>
      <c r="Z2" s="1074"/>
      <c r="AA2" s="1074"/>
      <c r="AB2" s="1074"/>
      <c r="AC2" s="216"/>
      <c r="AD2" s="216"/>
      <c r="AE2" s="216"/>
      <c r="AF2" s="216"/>
      <c r="AG2" s="216"/>
      <c r="AH2" s="216"/>
      <c r="AI2" s="216"/>
      <c r="AJ2" s="216"/>
      <c r="AK2" s="216"/>
      <c r="AL2" s="216"/>
      <c r="AM2" s="216"/>
      <c r="AN2" s="216"/>
      <c r="AO2" s="1075" t="s">
        <v>1059</v>
      </c>
      <c r="AP2" s="1076"/>
      <c r="AQ2" s="1076"/>
      <c r="AR2" s="1076"/>
      <c r="AS2" s="1076"/>
      <c r="AT2" s="1076"/>
      <c r="AU2" s="1077"/>
    </row>
    <row r="3" spans="1:49" s="57" customFormat="1" ht="24" thickBot="1" x14ac:dyDescent="0.3">
      <c r="A3" s="59"/>
      <c r="B3" s="106"/>
      <c r="C3" s="107"/>
      <c r="D3" s="217"/>
      <c r="E3" s="1081" t="s">
        <v>961</v>
      </c>
      <c r="F3" s="1081"/>
      <c r="G3" s="1081"/>
      <c r="H3" s="1081"/>
      <c r="I3" s="1081"/>
      <c r="J3" s="1081"/>
      <c r="K3" s="1081"/>
      <c r="L3" s="1081"/>
      <c r="M3" s="1081"/>
      <c r="N3" s="1081"/>
      <c r="O3" s="1081"/>
      <c r="P3" s="1081"/>
      <c r="Q3" s="1081"/>
      <c r="R3" s="1081"/>
      <c r="S3" s="1081"/>
      <c r="T3" s="1081"/>
      <c r="U3" s="1081"/>
      <c r="V3" s="1081"/>
      <c r="W3" s="1081"/>
      <c r="X3" s="1081"/>
      <c r="Y3" s="1081"/>
      <c r="Z3" s="1081"/>
      <c r="AA3" s="1081"/>
      <c r="AB3" s="1081"/>
      <c r="AC3" s="217"/>
      <c r="AD3" s="217"/>
      <c r="AE3" s="217"/>
      <c r="AF3" s="217"/>
      <c r="AG3" s="217"/>
      <c r="AH3" s="217"/>
      <c r="AI3" s="217"/>
      <c r="AJ3" s="217"/>
      <c r="AK3" s="217"/>
      <c r="AL3" s="217"/>
      <c r="AM3" s="217"/>
      <c r="AN3" s="217"/>
      <c r="AO3" s="1078"/>
      <c r="AP3" s="1079"/>
      <c r="AQ3" s="1079"/>
      <c r="AR3" s="1079"/>
      <c r="AS3" s="1079"/>
      <c r="AT3" s="1079"/>
      <c r="AU3" s="1080"/>
      <c r="AV3" s="14"/>
      <c r="AW3" s="1"/>
    </row>
    <row r="4" spans="1:49" ht="15.75" thickBot="1" x14ac:dyDescent="0.3">
      <c r="B4" s="59"/>
      <c r="C4" s="59"/>
      <c r="D4" s="14"/>
      <c r="E4" s="14"/>
      <c r="F4" s="14"/>
      <c r="G4" s="14"/>
      <c r="H4" s="14"/>
      <c r="I4" s="14"/>
      <c r="J4" s="362"/>
      <c r="K4" s="286"/>
      <c r="L4" s="366"/>
      <c r="M4" s="14"/>
      <c r="N4" s="362"/>
      <c r="O4" s="14"/>
      <c r="P4" s="362"/>
      <c r="Q4" s="14"/>
      <c r="R4" s="14"/>
      <c r="S4" s="362"/>
      <c r="T4" s="14"/>
      <c r="U4" s="362"/>
      <c r="V4" s="14"/>
      <c r="W4" s="362"/>
      <c r="X4" s="14"/>
      <c r="Y4" s="362"/>
      <c r="Z4" s="273"/>
      <c r="AA4" s="14"/>
      <c r="AB4" s="14"/>
      <c r="AC4" s="14"/>
      <c r="AD4" s="14"/>
      <c r="AE4" s="14"/>
      <c r="AF4" s="14"/>
      <c r="AG4" s="14"/>
      <c r="AH4" s="14"/>
      <c r="AI4" s="14"/>
      <c r="AJ4" s="14"/>
      <c r="AK4" s="14"/>
      <c r="AL4" s="14"/>
      <c r="AM4" s="14"/>
      <c r="AN4" s="14"/>
      <c r="AO4" s="14"/>
      <c r="AP4" s="14"/>
      <c r="AQ4" s="14"/>
      <c r="AR4" s="14"/>
      <c r="AS4" s="14"/>
      <c r="AT4" s="362"/>
      <c r="AU4" s="14"/>
    </row>
    <row r="5" spans="1:49" ht="15" customHeight="1" thickTop="1" thickBot="1" x14ac:dyDescent="0.3">
      <c r="B5" s="59"/>
      <c r="C5" s="59"/>
      <c r="D5" s="14"/>
      <c r="E5" s="14"/>
      <c r="F5" s="14"/>
      <c r="G5" s="14"/>
      <c r="H5" s="14"/>
      <c r="I5" s="1087" t="s">
        <v>970</v>
      </c>
      <c r="J5" s="1087"/>
      <c r="K5" s="1087"/>
      <c r="L5" s="1087"/>
      <c r="M5" s="1087"/>
      <c r="N5" s="1087"/>
      <c r="O5" s="1087"/>
      <c r="P5" s="1087"/>
      <c r="Q5" s="1082" t="s">
        <v>942</v>
      </c>
      <c r="R5" s="1086" t="s">
        <v>944</v>
      </c>
      <c r="S5" s="1087"/>
      <c r="T5" s="1087" t="s">
        <v>945</v>
      </c>
      <c r="U5" s="1087"/>
      <c r="V5" s="1087" t="s">
        <v>946</v>
      </c>
      <c r="W5" s="1087"/>
      <c r="X5" s="1087" t="s">
        <v>947</v>
      </c>
      <c r="Y5" s="1088"/>
      <c r="Z5" s="1089" t="s">
        <v>948</v>
      </c>
      <c r="AA5" s="1089"/>
      <c r="AB5" s="1091" t="s">
        <v>950</v>
      </c>
      <c r="AC5" s="1092"/>
      <c r="AD5" s="1092"/>
      <c r="AE5" s="1092"/>
      <c r="AF5" s="1092"/>
      <c r="AG5" s="1092"/>
      <c r="AH5" s="1092"/>
      <c r="AI5" s="1092"/>
      <c r="AJ5" s="1092"/>
      <c r="AK5" s="1092"/>
      <c r="AL5" s="1092"/>
      <c r="AM5" s="1092"/>
      <c r="AN5" s="1092"/>
      <c r="AO5" s="1092"/>
      <c r="AP5" s="1092"/>
      <c r="AQ5" s="1092"/>
      <c r="AR5" s="1092"/>
      <c r="AS5" s="1093"/>
      <c r="AT5" s="1090" t="s">
        <v>1396</v>
      </c>
      <c r="AU5" s="1084" t="s">
        <v>943</v>
      </c>
    </row>
    <row r="6" spans="1:49" ht="45" customHeight="1" thickTop="1" thickBot="1" x14ac:dyDescent="0.3">
      <c r="B6" s="33" t="s">
        <v>0</v>
      </c>
      <c r="C6" s="33" t="s">
        <v>1</v>
      </c>
      <c r="D6" s="33" t="s">
        <v>394</v>
      </c>
      <c r="E6" s="33" t="s">
        <v>311</v>
      </c>
      <c r="F6" s="34" t="s">
        <v>386</v>
      </c>
      <c r="G6" s="35" t="s">
        <v>374</v>
      </c>
      <c r="H6" s="35" t="s">
        <v>375</v>
      </c>
      <c r="I6" s="46" t="s">
        <v>922</v>
      </c>
      <c r="J6" s="291" t="s">
        <v>1371</v>
      </c>
      <c r="K6" s="78" t="s">
        <v>923</v>
      </c>
      <c r="L6" s="291" t="s">
        <v>1371</v>
      </c>
      <c r="M6" s="46" t="s">
        <v>924</v>
      </c>
      <c r="N6" s="291" t="s">
        <v>1371</v>
      </c>
      <c r="O6" s="74" t="s">
        <v>925</v>
      </c>
      <c r="P6" s="291" t="s">
        <v>1371</v>
      </c>
      <c r="Q6" s="1083"/>
      <c r="R6" s="72" t="s">
        <v>926</v>
      </c>
      <c r="S6" s="370" t="s">
        <v>949</v>
      </c>
      <c r="T6" s="60" t="s">
        <v>926</v>
      </c>
      <c r="U6" s="370" t="s">
        <v>949</v>
      </c>
      <c r="V6" s="60" t="s">
        <v>926</v>
      </c>
      <c r="W6" s="370" t="s">
        <v>949</v>
      </c>
      <c r="X6" s="60" t="s">
        <v>926</v>
      </c>
      <c r="Y6" s="371"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090"/>
      <c r="AU6" s="1085"/>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60">
        <f>+'Base de Datos'!I7</f>
        <v>7329236109</v>
      </c>
      <c r="G7" s="361">
        <f>+'Base de Datos'!M7</f>
        <v>39724</v>
      </c>
      <c r="H7" s="361">
        <f>+'Base de Datos'!N7</f>
        <v>41673</v>
      </c>
      <c r="I7" s="183"/>
      <c r="J7" s="363"/>
      <c r="K7" s="183"/>
      <c r="L7" s="363"/>
      <c r="M7" s="183"/>
      <c r="N7" s="363"/>
      <c r="O7" s="183"/>
      <c r="P7" s="363"/>
      <c r="Q7" s="86">
        <f>SUM(I7,K7,M7,O7)</f>
        <v>0</v>
      </c>
      <c r="R7" s="376"/>
      <c r="S7" s="374"/>
      <c r="T7" s="376"/>
      <c r="U7" s="374"/>
      <c r="V7" s="376"/>
      <c r="W7" s="374"/>
      <c r="X7" s="376"/>
      <c r="Y7" s="374"/>
      <c r="Z7" s="378"/>
      <c r="AA7" s="87">
        <f>MAX(S7,U7,W7,Y7)</f>
        <v>0</v>
      </c>
      <c r="AB7" s="236">
        <v>6218260556</v>
      </c>
      <c r="AC7" s="236"/>
      <c r="AD7" s="236"/>
      <c r="AE7" s="236"/>
      <c r="AF7" s="236"/>
      <c r="AG7" s="236"/>
      <c r="AH7" s="236"/>
      <c r="AI7" s="236"/>
      <c r="AJ7" s="236"/>
      <c r="AK7" s="236"/>
      <c r="AL7" s="236"/>
      <c r="AM7" s="236"/>
      <c r="AN7" s="236"/>
      <c r="AO7" s="236"/>
      <c r="AP7" s="236"/>
      <c r="AQ7" s="236"/>
      <c r="AR7" s="236"/>
      <c r="AS7" s="236"/>
      <c r="AT7" s="373">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3"/>
      <c r="K8" s="183"/>
      <c r="L8" s="363"/>
      <c r="M8" s="183"/>
      <c r="N8" s="363"/>
      <c r="O8" s="183"/>
      <c r="P8" s="363"/>
      <c r="Q8" s="86">
        <f t="shared" ref="Q8:Q71" si="0">SUM(I8,K8,M8,O8)</f>
        <v>1073825676</v>
      </c>
      <c r="R8" s="376"/>
      <c r="S8" s="374"/>
      <c r="T8" s="376"/>
      <c r="U8" s="374"/>
      <c r="V8" s="376"/>
      <c r="W8" s="374"/>
      <c r="X8" s="376"/>
      <c r="Y8" s="374"/>
      <c r="Z8" s="379"/>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3">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3"/>
      <c r="K9" s="183"/>
      <c r="L9" s="363"/>
      <c r="M9" s="183"/>
      <c r="N9" s="363"/>
      <c r="O9" s="183"/>
      <c r="P9" s="363"/>
      <c r="Q9" s="86">
        <f t="shared" si="0"/>
        <v>0</v>
      </c>
      <c r="R9" s="376"/>
      <c r="S9" s="374"/>
      <c r="T9" s="376"/>
      <c r="U9" s="374"/>
      <c r="V9" s="376"/>
      <c r="W9" s="374"/>
      <c r="X9" s="376"/>
      <c r="Y9" s="374"/>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3">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3"/>
      <c r="K10" s="183"/>
      <c r="L10" s="363"/>
      <c r="M10" s="183"/>
      <c r="N10" s="363"/>
      <c r="O10" s="183"/>
      <c r="P10" s="363"/>
      <c r="Q10" s="86">
        <f t="shared" si="0"/>
        <v>0</v>
      </c>
      <c r="R10" s="376"/>
      <c r="S10" s="374"/>
      <c r="T10" s="376"/>
      <c r="U10" s="374"/>
      <c r="V10" s="376"/>
      <c r="W10" s="374"/>
      <c r="X10" s="376"/>
      <c r="Y10" s="374"/>
      <c r="Z10" s="380"/>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3">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3"/>
      <c r="K11" s="183"/>
      <c r="L11" s="363"/>
      <c r="M11" s="183"/>
      <c r="N11" s="363"/>
      <c r="O11" s="183"/>
      <c r="P11" s="363"/>
      <c r="Q11" s="86">
        <f t="shared" si="0"/>
        <v>0</v>
      </c>
      <c r="R11" s="376"/>
      <c r="S11" s="374"/>
      <c r="T11" s="376"/>
      <c r="U11" s="374"/>
      <c r="V11" s="376"/>
      <c r="W11" s="374"/>
      <c r="X11" s="376"/>
      <c r="Y11" s="374"/>
      <c r="Z11" s="380"/>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3">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3"/>
      <c r="K12" s="183"/>
      <c r="L12" s="363"/>
      <c r="M12" s="183"/>
      <c r="N12" s="363"/>
      <c r="O12" s="183"/>
      <c r="P12" s="363"/>
      <c r="Q12" s="86">
        <f t="shared" si="0"/>
        <v>0</v>
      </c>
      <c r="R12" s="376"/>
      <c r="S12" s="374"/>
      <c r="T12" s="376"/>
      <c r="U12" s="374"/>
      <c r="V12" s="376"/>
      <c r="W12" s="374"/>
      <c r="X12" s="376"/>
      <c r="Y12" s="374"/>
      <c r="Z12" s="380"/>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3">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3"/>
      <c r="K13" s="183"/>
      <c r="L13" s="363"/>
      <c r="M13" s="183"/>
      <c r="N13" s="363"/>
      <c r="O13" s="183"/>
      <c r="P13" s="363"/>
      <c r="Q13" s="86">
        <f t="shared" si="0"/>
        <v>875000</v>
      </c>
      <c r="R13" s="376" t="s">
        <v>382</v>
      </c>
      <c r="S13" s="374">
        <v>41370</v>
      </c>
      <c r="T13" s="376"/>
      <c r="U13" s="374"/>
      <c r="V13" s="376"/>
      <c r="W13" s="374"/>
      <c r="X13" s="376"/>
      <c r="Y13" s="374"/>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3">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3"/>
      <c r="K14" s="183"/>
      <c r="L14" s="363"/>
      <c r="M14" s="183"/>
      <c r="N14" s="363"/>
      <c r="O14" s="183"/>
      <c r="P14" s="363"/>
      <c r="Q14" s="86">
        <f t="shared" si="0"/>
        <v>0</v>
      </c>
      <c r="R14" s="376"/>
      <c r="S14" s="374"/>
      <c r="T14" s="376"/>
      <c r="U14" s="374"/>
      <c r="V14" s="376"/>
      <c r="W14" s="374"/>
      <c r="X14" s="376"/>
      <c r="Y14" s="374"/>
      <c r="Z14" s="380"/>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3">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3"/>
      <c r="K15" s="183"/>
      <c r="L15" s="363"/>
      <c r="M15" s="183"/>
      <c r="N15" s="363"/>
      <c r="O15" s="183"/>
      <c r="P15" s="363"/>
      <c r="Q15" s="86">
        <f t="shared" si="0"/>
        <v>0</v>
      </c>
      <c r="R15" s="376" t="s">
        <v>380</v>
      </c>
      <c r="S15" s="374">
        <v>41356</v>
      </c>
      <c r="T15" s="376"/>
      <c r="U15" s="374"/>
      <c r="V15" s="376"/>
      <c r="W15" s="374"/>
      <c r="X15" s="376"/>
      <c r="Y15" s="374"/>
      <c r="Z15" s="380"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3">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3"/>
      <c r="K16" s="183"/>
      <c r="L16" s="363"/>
      <c r="M16" s="183"/>
      <c r="N16" s="363"/>
      <c r="O16" s="183"/>
      <c r="P16" s="363"/>
      <c r="Q16" s="86">
        <f t="shared" si="0"/>
        <v>7930000</v>
      </c>
      <c r="R16" s="376"/>
      <c r="S16" s="374"/>
      <c r="T16" s="376"/>
      <c r="U16" s="374"/>
      <c r="V16" s="376"/>
      <c r="W16" s="374"/>
      <c r="X16" s="376"/>
      <c r="Y16" s="374"/>
      <c r="Z16" s="381"/>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3">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3">
        <v>41239</v>
      </c>
      <c r="K17" s="183"/>
      <c r="L17" s="363"/>
      <c r="M17" s="183"/>
      <c r="N17" s="363"/>
      <c r="O17" s="183"/>
      <c r="P17" s="363"/>
      <c r="Q17" s="86">
        <f t="shared" si="0"/>
        <v>4981040</v>
      </c>
      <c r="R17" s="376" t="s">
        <v>380</v>
      </c>
      <c r="S17" s="374">
        <v>41362</v>
      </c>
      <c r="T17" s="376"/>
      <c r="U17" s="374"/>
      <c r="V17" s="376"/>
      <c r="W17" s="374"/>
      <c r="X17" s="376"/>
      <c r="Y17" s="374"/>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3">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3">
        <v>41228</v>
      </c>
      <c r="K18" s="183"/>
      <c r="L18" s="363"/>
      <c r="M18" s="183"/>
      <c r="N18" s="363"/>
      <c r="O18" s="183"/>
      <c r="P18" s="363"/>
      <c r="Q18" s="86">
        <f t="shared" si="0"/>
        <v>1470000</v>
      </c>
      <c r="R18" s="376" t="s">
        <v>379</v>
      </c>
      <c r="S18" s="374">
        <v>41323</v>
      </c>
      <c r="T18" s="376"/>
      <c r="U18" s="374"/>
      <c r="V18" s="376"/>
      <c r="W18" s="374"/>
      <c r="X18" s="376"/>
      <c r="Y18" s="374"/>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3">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3"/>
      <c r="K19" s="183"/>
      <c r="L19" s="363"/>
      <c r="M19" s="183"/>
      <c r="N19" s="363"/>
      <c r="O19" s="183"/>
      <c r="P19" s="363"/>
      <c r="Q19" s="86">
        <f t="shared" si="0"/>
        <v>0</v>
      </c>
      <c r="R19" s="376"/>
      <c r="S19" s="374"/>
      <c r="T19" s="376"/>
      <c r="U19" s="374"/>
      <c r="V19" s="376"/>
      <c r="W19" s="374"/>
      <c r="X19" s="376"/>
      <c r="Y19" s="374"/>
      <c r="Z19" s="380"/>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3">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3"/>
      <c r="K20" s="183"/>
      <c r="L20" s="363"/>
      <c r="M20" s="183"/>
      <c r="N20" s="363"/>
      <c r="O20" s="183"/>
      <c r="P20" s="363"/>
      <c r="Q20" s="86">
        <f t="shared" si="0"/>
        <v>0</v>
      </c>
      <c r="R20" s="376" t="s">
        <v>1536</v>
      </c>
      <c r="S20" s="374">
        <v>41243</v>
      </c>
      <c r="T20" s="376"/>
      <c r="U20" s="374"/>
      <c r="V20" s="376"/>
      <c r="W20" s="374"/>
      <c r="X20" s="376"/>
      <c r="Y20" s="374"/>
      <c r="Z20" s="186" t="s">
        <v>1536</v>
      </c>
      <c r="AA20" s="88">
        <f t="shared" si="1"/>
        <v>41243</v>
      </c>
      <c r="AB20" s="236">
        <v>20163045</v>
      </c>
      <c r="AC20" s="236">
        <v>7922244</v>
      </c>
      <c r="AD20" s="236">
        <v>3457160</v>
      </c>
      <c r="AE20" s="236">
        <v>4795816</v>
      </c>
      <c r="AF20" s="236">
        <v>5037116</v>
      </c>
      <c r="AG20" s="236">
        <v>9132552</v>
      </c>
      <c r="AH20" s="236">
        <v>33358440</v>
      </c>
      <c r="AI20" s="419">
        <v>180000</v>
      </c>
      <c r="AJ20" s="236"/>
      <c r="AK20" s="236"/>
      <c r="AL20" s="236"/>
      <c r="AM20" s="236"/>
      <c r="AN20" s="236"/>
      <c r="AO20" s="236"/>
      <c r="AP20" s="236"/>
      <c r="AQ20" s="236"/>
      <c r="AR20" s="236"/>
      <c r="AS20" s="236"/>
      <c r="AT20" s="373">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3"/>
      <c r="K21" s="183"/>
      <c r="L21" s="363"/>
      <c r="M21" s="183"/>
      <c r="N21" s="363"/>
      <c r="O21" s="183"/>
      <c r="P21" s="363"/>
      <c r="Q21" s="86">
        <f t="shared" si="0"/>
        <v>0</v>
      </c>
      <c r="R21" s="376"/>
      <c r="S21" s="374"/>
      <c r="T21" s="376"/>
      <c r="U21" s="374"/>
      <c r="V21" s="376"/>
      <c r="W21" s="374"/>
      <c r="X21" s="376"/>
      <c r="Y21" s="374"/>
      <c r="Z21" s="380"/>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3">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3"/>
      <c r="K22" s="183"/>
      <c r="L22" s="363"/>
      <c r="M22" s="183"/>
      <c r="N22" s="363"/>
      <c r="O22" s="183"/>
      <c r="P22" s="363"/>
      <c r="Q22" s="86">
        <f t="shared" si="0"/>
        <v>0</v>
      </c>
      <c r="R22" s="376" t="s">
        <v>378</v>
      </c>
      <c r="S22" s="374">
        <v>41513</v>
      </c>
      <c r="T22" s="376"/>
      <c r="U22" s="374"/>
      <c r="V22" s="376"/>
      <c r="W22" s="374"/>
      <c r="X22" s="376"/>
      <c r="Y22" s="374"/>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3">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3"/>
      <c r="K23" s="183"/>
      <c r="L23" s="363"/>
      <c r="M23" s="183"/>
      <c r="N23" s="363"/>
      <c r="O23" s="183"/>
      <c r="P23" s="363"/>
      <c r="Q23" s="86">
        <f t="shared" si="0"/>
        <v>0</v>
      </c>
      <c r="R23" s="376"/>
      <c r="S23" s="374"/>
      <c r="T23" s="376"/>
      <c r="U23" s="374"/>
      <c r="V23" s="376"/>
      <c r="W23" s="374"/>
      <c r="X23" s="376"/>
      <c r="Y23" s="374"/>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3">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3"/>
      <c r="K24" s="183"/>
      <c r="L24" s="363"/>
      <c r="M24" s="183"/>
      <c r="N24" s="363"/>
      <c r="O24" s="183"/>
      <c r="P24" s="363"/>
      <c r="Q24" s="86">
        <f t="shared" si="0"/>
        <v>0</v>
      </c>
      <c r="R24" s="376"/>
      <c r="S24" s="374"/>
      <c r="T24" s="376"/>
      <c r="U24" s="374"/>
      <c r="V24" s="376"/>
      <c r="W24" s="374"/>
      <c r="X24" s="376"/>
      <c r="Y24" s="374"/>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3">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3">
        <v>41394</v>
      </c>
      <c r="K25" s="183">
        <v>18159786</v>
      </c>
      <c r="L25" s="363">
        <v>41451</v>
      </c>
      <c r="M25" s="183">
        <v>1780371</v>
      </c>
      <c r="N25" s="363">
        <v>41607</v>
      </c>
      <c r="O25" s="183"/>
      <c r="P25" s="363"/>
      <c r="Q25" s="86">
        <f t="shared" si="0"/>
        <v>22376157</v>
      </c>
      <c r="R25" s="376" t="s">
        <v>544</v>
      </c>
      <c r="S25" s="374">
        <v>41608</v>
      </c>
      <c r="T25" s="376" t="s">
        <v>962</v>
      </c>
      <c r="U25" s="374">
        <v>41623</v>
      </c>
      <c r="V25" s="376"/>
      <c r="W25" s="374"/>
      <c r="X25" s="376"/>
      <c r="Y25" s="374"/>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3">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3"/>
      <c r="K26" s="183"/>
      <c r="L26" s="363"/>
      <c r="M26" s="183"/>
      <c r="N26" s="363"/>
      <c r="O26" s="183"/>
      <c r="P26" s="363"/>
      <c r="Q26" s="86">
        <f t="shared" si="0"/>
        <v>0</v>
      </c>
      <c r="R26" s="376"/>
      <c r="S26" s="374"/>
      <c r="T26" s="376"/>
      <c r="U26" s="374"/>
      <c r="V26" s="376"/>
      <c r="W26" s="374"/>
      <c r="X26" s="376"/>
      <c r="Y26" s="374"/>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3">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3"/>
      <c r="K27" s="183"/>
      <c r="L27" s="363"/>
      <c r="M27" s="183"/>
      <c r="N27" s="363"/>
      <c r="O27" s="183"/>
      <c r="P27" s="363"/>
      <c r="Q27" s="86">
        <f t="shared" si="0"/>
        <v>0</v>
      </c>
      <c r="R27" s="376"/>
      <c r="S27" s="374"/>
      <c r="T27" s="376"/>
      <c r="U27" s="374"/>
      <c r="V27" s="376"/>
      <c r="W27" s="374"/>
      <c r="X27" s="376"/>
      <c r="Y27" s="374"/>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3">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3"/>
      <c r="K28" s="183"/>
      <c r="L28" s="363"/>
      <c r="M28" s="183"/>
      <c r="N28" s="363"/>
      <c r="O28" s="183"/>
      <c r="P28" s="363"/>
      <c r="Q28" s="86">
        <f t="shared" si="0"/>
        <v>0</v>
      </c>
      <c r="R28" s="376"/>
      <c r="S28" s="374"/>
      <c r="T28" s="376"/>
      <c r="U28" s="374"/>
      <c r="V28" s="376"/>
      <c r="W28" s="374"/>
      <c r="X28" s="376"/>
      <c r="Y28" s="374"/>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3">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3"/>
      <c r="K29" s="183"/>
      <c r="L29" s="363"/>
      <c r="M29" s="183"/>
      <c r="N29" s="363"/>
      <c r="O29" s="183"/>
      <c r="P29" s="363"/>
      <c r="Q29" s="86">
        <f t="shared" si="0"/>
        <v>0</v>
      </c>
      <c r="R29" s="376"/>
      <c r="S29" s="374"/>
      <c r="T29" s="376"/>
      <c r="U29" s="374"/>
      <c r="V29" s="376"/>
      <c r="W29" s="374"/>
      <c r="X29" s="376"/>
      <c r="Y29" s="374"/>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3">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3"/>
      <c r="K30" s="183"/>
      <c r="L30" s="363"/>
      <c r="M30" s="183"/>
      <c r="N30" s="363"/>
      <c r="O30" s="183"/>
      <c r="P30" s="363"/>
      <c r="Q30" s="86">
        <f t="shared" si="0"/>
        <v>0</v>
      </c>
      <c r="R30" s="376"/>
      <c r="S30" s="374"/>
      <c r="T30" s="376"/>
      <c r="U30" s="374"/>
      <c r="V30" s="376"/>
      <c r="W30" s="374"/>
      <c r="X30" s="376"/>
      <c r="Y30" s="374"/>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3">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3"/>
      <c r="K31" s="183"/>
      <c r="L31" s="363"/>
      <c r="M31" s="183"/>
      <c r="N31" s="363"/>
      <c r="O31" s="183"/>
      <c r="P31" s="363"/>
      <c r="Q31" s="86">
        <f t="shared" si="0"/>
        <v>0</v>
      </c>
      <c r="R31" s="376"/>
      <c r="S31" s="374"/>
      <c r="T31" s="376"/>
      <c r="U31" s="374"/>
      <c r="V31" s="376"/>
      <c r="W31" s="374"/>
      <c r="X31" s="376"/>
      <c r="Y31" s="374"/>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3">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c r="J32" s="363"/>
      <c r="K32" s="183"/>
      <c r="L32" s="363"/>
      <c r="M32" s="183"/>
      <c r="N32" s="363"/>
      <c r="O32" s="183"/>
      <c r="P32" s="363"/>
      <c r="Q32" s="86">
        <f t="shared" si="0"/>
        <v>0</v>
      </c>
      <c r="R32" s="376"/>
      <c r="S32" s="374"/>
      <c r="T32" s="376"/>
      <c r="U32" s="374"/>
      <c r="V32" s="376"/>
      <c r="W32" s="374"/>
      <c r="X32" s="376"/>
      <c r="Y32" s="374"/>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3">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3">
        <v>41478</v>
      </c>
      <c r="K33" s="183"/>
      <c r="L33" s="363"/>
      <c r="M33" s="183"/>
      <c r="N33" s="363"/>
      <c r="O33" s="183"/>
      <c r="P33" s="363"/>
      <c r="Q33" s="86">
        <f t="shared" si="0"/>
        <v>17234233</v>
      </c>
      <c r="R33" s="376" t="s">
        <v>542</v>
      </c>
      <c r="S33" s="374">
        <v>41608</v>
      </c>
      <c r="T33" s="376" t="s">
        <v>962</v>
      </c>
      <c r="U33" s="374">
        <v>41623</v>
      </c>
      <c r="V33" s="376"/>
      <c r="W33" s="374"/>
      <c r="X33" s="376"/>
      <c r="Y33" s="374"/>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3">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3"/>
      <c r="K34" s="183"/>
      <c r="L34" s="363"/>
      <c r="M34" s="183"/>
      <c r="N34" s="363"/>
      <c r="O34" s="183"/>
      <c r="P34" s="363"/>
      <c r="Q34" s="86">
        <f t="shared" si="0"/>
        <v>0</v>
      </c>
      <c r="R34" s="376"/>
      <c r="S34" s="374"/>
      <c r="T34" s="376"/>
      <c r="U34" s="374"/>
      <c r="V34" s="376"/>
      <c r="W34" s="374"/>
      <c r="X34" s="376"/>
      <c r="Y34" s="374"/>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3">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3"/>
      <c r="K35" s="183"/>
      <c r="L35" s="363"/>
      <c r="M35" s="183"/>
      <c r="N35" s="363"/>
      <c r="O35" s="183"/>
      <c r="P35" s="363"/>
      <c r="Q35" s="86">
        <f t="shared" si="0"/>
        <v>0</v>
      </c>
      <c r="R35" s="376"/>
      <c r="S35" s="374"/>
      <c r="T35" s="376"/>
      <c r="U35" s="374"/>
      <c r="V35" s="376"/>
      <c r="W35" s="374"/>
      <c r="X35" s="376"/>
      <c r="Y35" s="374"/>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3">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3"/>
      <c r="K36" s="183"/>
      <c r="L36" s="363"/>
      <c r="M36" s="183"/>
      <c r="N36" s="363"/>
      <c r="O36" s="183"/>
      <c r="P36" s="363"/>
      <c r="Q36" s="86">
        <f t="shared" si="0"/>
        <v>0</v>
      </c>
      <c r="R36" s="376"/>
      <c r="S36" s="374"/>
      <c r="T36" s="376"/>
      <c r="U36" s="374"/>
      <c r="V36" s="376"/>
      <c r="W36" s="374"/>
      <c r="X36" s="376"/>
      <c r="Y36" s="374"/>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3">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3"/>
      <c r="K37" s="183"/>
      <c r="L37" s="363"/>
      <c r="M37" s="183"/>
      <c r="N37" s="363"/>
      <c r="O37" s="183"/>
      <c r="P37" s="363"/>
      <c r="Q37" s="86">
        <f t="shared" si="0"/>
        <v>0</v>
      </c>
      <c r="R37" s="376"/>
      <c r="S37" s="374"/>
      <c r="T37" s="376"/>
      <c r="U37" s="374"/>
      <c r="V37" s="376"/>
      <c r="W37" s="374"/>
      <c r="X37" s="376"/>
      <c r="Y37" s="374"/>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3">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3"/>
      <c r="K38" s="183"/>
      <c r="L38" s="363"/>
      <c r="M38" s="183"/>
      <c r="N38" s="363"/>
      <c r="O38" s="183"/>
      <c r="P38" s="363"/>
      <c r="Q38" s="86">
        <f t="shared" si="0"/>
        <v>0</v>
      </c>
      <c r="R38" s="376"/>
      <c r="S38" s="374"/>
      <c r="T38" s="376"/>
      <c r="U38" s="374"/>
      <c r="V38" s="376"/>
      <c r="W38" s="374"/>
      <c r="X38" s="376"/>
      <c r="Y38" s="374"/>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3">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3"/>
      <c r="K39" s="183"/>
      <c r="L39" s="363"/>
      <c r="M39" s="183"/>
      <c r="N39" s="363"/>
      <c r="O39" s="183"/>
      <c r="P39" s="363"/>
      <c r="Q39" s="86">
        <f t="shared" si="0"/>
        <v>0</v>
      </c>
      <c r="R39" s="376"/>
      <c r="S39" s="374"/>
      <c r="T39" s="376"/>
      <c r="U39" s="374"/>
      <c r="V39" s="376"/>
      <c r="W39" s="374"/>
      <c r="X39" s="376"/>
      <c r="Y39" s="374"/>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3">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3"/>
      <c r="K40" s="183"/>
      <c r="L40" s="363"/>
      <c r="M40" s="183"/>
      <c r="N40" s="363"/>
      <c r="O40" s="183"/>
      <c r="P40" s="363"/>
      <c r="Q40" s="86">
        <f t="shared" si="0"/>
        <v>0</v>
      </c>
      <c r="R40" s="376"/>
      <c r="S40" s="374"/>
      <c r="T40" s="376"/>
      <c r="U40" s="374"/>
      <c r="V40" s="376"/>
      <c r="W40" s="374"/>
      <c r="X40" s="376"/>
      <c r="Y40" s="374"/>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3">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3"/>
      <c r="K41" s="183"/>
      <c r="L41" s="363"/>
      <c r="M41" s="183"/>
      <c r="N41" s="363"/>
      <c r="O41" s="183"/>
      <c r="P41" s="363"/>
      <c r="Q41" s="86">
        <f t="shared" si="0"/>
        <v>0</v>
      </c>
      <c r="R41" s="376" t="s">
        <v>377</v>
      </c>
      <c r="S41" s="374">
        <v>41452</v>
      </c>
      <c r="T41" s="376"/>
      <c r="U41" s="374"/>
      <c r="V41" s="376"/>
      <c r="W41" s="374"/>
      <c r="X41" s="376"/>
      <c r="Y41" s="374"/>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3">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3"/>
      <c r="K42" s="183"/>
      <c r="L42" s="363"/>
      <c r="M42" s="183"/>
      <c r="N42" s="363"/>
      <c r="O42" s="183"/>
      <c r="P42" s="363"/>
      <c r="Q42" s="86">
        <f t="shared" si="0"/>
        <v>0</v>
      </c>
      <c r="R42" s="376"/>
      <c r="S42" s="374"/>
      <c r="T42" s="376"/>
      <c r="U42" s="374"/>
      <c r="V42" s="376"/>
      <c r="W42" s="374"/>
      <c r="X42" s="376"/>
      <c r="Y42" s="374"/>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3">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3"/>
      <c r="K43" s="183"/>
      <c r="L43" s="363"/>
      <c r="M43" s="183"/>
      <c r="N43" s="363"/>
      <c r="O43" s="183"/>
      <c r="P43" s="363"/>
      <c r="Q43" s="86">
        <f t="shared" si="0"/>
        <v>0</v>
      </c>
      <c r="R43" s="376" t="s">
        <v>1323</v>
      </c>
      <c r="S43" s="374">
        <v>41263</v>
      </c>
      <c r="T43" s="376"/>
      <c r="U43" s="374"/>
      <c r="V43" s="376"/>
      <c r="W43" s="374"/>
      <c r="X43" s="376"/>
      <c r="Y43" s="374"/>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3">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3"/>
      <c r="K44" s="183"/>
      <c r="L44" s="363"/>
      <c r="M44" s="183"/>
      <c r="N44" s="363"/>
      <c r="O44" s="183"/>
      <c r="P44" s="363"/>
      <c r="Q44" s="86">
        <f t="shared" si="0"/>
        <v>0</v>
      </c>
      <c r="R44" s="376"/>
      <c r="S44" s="374"/>
      <c r="T44" s="376"/>
      <c r="U44" s="374"/>
      <c r="V44" s="376"/>
      <c r="W44" s="374"/>
      <c r="X44" s="376"/>
      <c r="Y44" s="374"/>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3">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3"/>
      <c r="K45" s="183"/>
      <c r="L45" s="363"/>
      <c r="M45" s="183"/>
      <c r="N45" s="363"/>
      <c r="O45" s="183"/>
      <c r="P45" s="363"/>
      <c r="Q45" s="86">
        <f t="shared" si="0"/>
        <v>0</v>
      </c>
      <c r="R45" s="376"/>
      <c r="S45" s="374"/>
      <c r="T45" s="376"/>
      <c r="U45" s="374"/>
      <c r="V45" s="376"/>
      <c r="W45" s="374"/>
      <c r="X45" s="376"/>
      <c r="Y45" s="374"/>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3">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3"/>
      <c r="K46" s="183"/>
      <c r="L46" s="363"/>
      <c r="M46" s="183"/>
      <c r="N46" s="363"/>
      <c r="O46" s="183"/>
      <c r="P46" s="363"/>
      <c r="Q46" s="86">
        <f t="shared" si="0"/>
        <v>0</v>
      </c>
      <c r="R46" s="376"/>
      <c r="S46" s="374"/>
      <c r="T46" s="376"/>
      <c r="U46" s="374"/>
      <c r="V46" s="376"/>
      <c r="W46" s="374"/>
      <c r="X46" s="376"/>
      <c r="Y46" s="374"/>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3">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3"/>
      <c r="K47" s="183"/>
      <c r="L47" s="363"/>
      <c r="M47" s="183"/>
      <c r="N47" s="363"/>
      <c r="O47" s="183"/>
      <c r="P47" s="363"/>
      <c r="Q47" s="86">
        <f t="shared" si="0"/>
        <v>0</v>
      </c>
      <c r="R47" s="376"/>
      <c r="S47" s="374"/>
      <c r="T47" s="376"/>
      <c r="U47" s="374"/>
      <c r="V47" s="376"/>
      <c r="W47" s="374"/>
      <c r="X47" s="376"/>
      <c r="Y47" s="374"/>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3">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3"/>
      <c r="K48" s="183"/>
      <c r="L48" s="363"/>
      <c r="M48" s="183"/>
      <c r="N48" s="363"/>
      <c r="O48" s="183"/>
      <c r="P48" s="363"/>
      <c r="Q48" s="86">
        <f t="shared" si="0"/>
        <v>0</v>
      </c>
      <c r="R48" s="376"/>
      <c r="S48" s="374"/>
      <c r="T48" s="376"/>
      <c r="U48" s="374"/>
      <c r="V48" s="376"/>
      <c r="W48" s="374"/>
      <c r="X48" s="376"/>
      <c r="Y48" s="374"/>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3">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3"/>
      <c r="K49" s="183"/>
      <c r="L49" s="363"/>
      <c r="M49" s="183"/>
      <c r="N49" s="363"/>
      <c r="O49" s="183"/>
      <c r="P49" s="363"/>
      <c r="Q49" s="86">
        <f t="shared" si="0"/>
        <v>0</v>
      </c>
      <c r="R49" s="376"/>
      <c r="S49" s="374"/>
      <c r="T49" s="376"/>
      <c r="U49" s="374"/>
      <c r="V49" s="376"/>
      <c r="W49" s="374"/>
      <c r="X49" s="376"/>
      <c r="Y49" s="374"/>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3">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3"/>
      <c r="K50" s="183"/>
      <c r="L50" s="363"/>
      <c r="M50" s="183"/>
      <c r="N50" s="363"/>
      <c r="O50" s="183"/>
      <c r="P50" s="363"/>
      <c r="Q50" s="86">
        <f t="shared" si="0"/>
        <v>0</v>
      </c>
      <c r="R50" s="376" t="s">
        <v>379</v>
      </c>
      <c r="S50" s="374">
        <v>41398</v>
      </c>
      <c r="T50" s="376"/>
      <c r="U50" s="374"/>
      <c r="V50" s="376"/>
      <c r="W50" s="374"/>
      <c r="X50" s="376"/>
      <c r="Y50" s="374"/>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3">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3"/>
      <c r="K51" s="183"/>
      <c r="L51" s="363"/>
      <c r="M51" s="183"/>
      <c r="N51" s="363"/>
      <c r="O51" s="183"/>
      <c r="P51" s="363"/>
      <c r="Q51" s="86">
        <f t="shared" si="0"/>
        <v>0</v>
      </c>
      <c r="R51" s="376" t="s">
        <v>414</v>
      </c>
      <c r="S51" s="374">
        <v>41400</v>
      </c>
      <c r="T51" s="376"/>
      <c r="U51" s="374"/>
      <c r="V51" s="376"/>
      <c r="W51" s="374"/>
      <c r="X51" s="376"/>
      <c r="Y51" s="374"/>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3">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3">
        <v>41158</v>
      </c>
      <c r="K52" s="183">
        <v>7238168</v>
      </c>
      <c r="L52" s="363">
        <v>41177</v>
      </c>
      <c r="M52" s="183"/>
      <c r="N52" s="363"/>
      <c r="O52" s="183"/>
      <c r="P52" s="363"/>
      <c r="Q52" s="86">
        <f t="shared" si="0"/>
        <v>13786987</v>
      </c>
      <c r="R52" s="376" t="s">
        <v>985</v>
      </c>
      <c r="S52" s="374">
        <v>41182</v>
      </c>
      <c r="T52" s="376" t="s">
        <v>986</v>
      </c>
      <c r="U52" s="374">
        <v>41213</v>
      </c>
      <c r="V52" s="376"/>
      <c r="W52" s="374"/>
      <c r="X52" s="376"/>
      <c r="Y52" s="374"/>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3">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3"/>
      <c r="K53" s="183"/>
      <c r="L53" s="363"/>
      <c r="M53" s="183"/>
      <c r="N53" s="363"/>
      <c r="O53" s="183"/>
      <c r="P53" s="363"/>
      <c r="Q53" s="86">
        <f t="shared" si="0"/>
        <v>0</v>
      </c>
      <c r="R53" s="376"/>
      <c r="S53" s="374"/>
      <c r="T53" s="376"/>
      <c r="U53" s="374"/>
      <c r="V53" s="376"/>
      <c r="W53" s="374"/>
      <c r="X53" s="376"/>
      <c r="Y53" s="374"/>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3">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3"/>
      <c r="K54" s="183"/>
      <c r="L54" s="363"/>
      <c r="M54" s="183"/>
      <c r="N54" s="363"/>
      <c r="O54" s="183"/>
      <c r="P54" s="363"/>
      <c r="Q54" s="86">
        <f t="shared" si="0"/>
        <v>0</v>
      </c>
      <c r="R54" s="376" t="s">
        <v>380</v>
      </c>
      <c r="S54" s="374">
        <v>41547</v>
      </c>
      <c r="T54" s="376"/>
      <c r="U54" s="374"/>
      <c r="V54" s="376"/>
      <c r="W54" s="374"/>
      <c r="X54" s="376"/>
      <c r="Y54" s="374"/>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3">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3"/>
      <c r="K55" s="183"/>
      <c r="L55" s="363"/>
      <c r="M55" s="183"/>
      <c r="N55" s="363"/>
      <c r="O55" s="183"/>
      <c r="P55" s="363"/>
      <c r="Q55" s="86">
        <f t="shared" si="0"/>
        <v>0</v>
      </c>
      <c r="R55" s="376" t="s">
        <v>379</v>
      </c>
      <c r="S55" s="374">
        <v>41458</v>
      </c>
      <c r="T55" s="376"/>
      <c r="U55" s="374"/>
      <c r="V55" s="376"/>
      <c r="W55" s="374"/>
      <c r="X55" s="376"/>
      <c r="Y55" s="374"/>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3">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3">
        <v>41379</v>
      </c>
      <c r="K56" s="183"/>
      <c r="L56" s="363"/>
      <c r="M56" s="183"/>
      <c r="N56" s="363"/>
      <c r="O56" s="183"/>
      <c r="P56" s="363"/>
      <c r="Q56" s="86">
        <f t="shared" si="0"/>
        <v>21739353</v>
      </c>
      <c r="R56" s="376" t="s">
        <v>378</v>
      </c>
      <c r="S56" s="374">
        <v>41445</v>
      </c>
      <c r="T56" s="376"/>
      <c r="U56" s="374"/>
      <c r="V56" s="376"/>
      <c r="W56" s="374"/>
      <c r="X56" s="376"/>
      <c r="Y56" s="374"/>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3">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3"/>
      <c r="K57" s="183"/>
      <c r="L57" s="363"/>
      <c r="M57" s="183"/>
      <c r="N57" s="363"/>
      <c r="O57" s="183"/>
      <c r="P57" s="363"/>
      <c r="Q57" s="86">
        <f t="shared" si="0"/>
        <v>0</v>
      </c>
      <c r="R57" s="376" t="s">
        <v>378</v>
      </c>
      <c r="S57" s="374">
        <v>41414</v>
      </c>
      <c r="T57" s="376"/>
      <c r="U57" s="374"/>
      <c r="V57" s="376"/>
      <c r="W57" s="374"/>
      <c r="X57" s="376"/>
      <c r="Y57" s="374"/>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3">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3">
        <v>41374</v>
      </c>
      <c r="K58" s="183"/>
      <c r="L58" s="363"/>
      <c r="M58" s="183"/>
      <c r="N58" s="363"/>
      <c r="O58" s="183"/>
      <c r="P58" s="363"/>
      <c r="Q58" s="86">
        <f t="shared" si="0"/>
        <v>2000000</v>
      </c>
      <c r="R58" s="376" t="s">
        <v>1324</v>
      </c>
      <c r="S58" s="374">
        <v>41425</v>
      </c>
      <c r="T58" s="376"/>
      <c r="U58" s="374"/>
      <c r="V58" s="376"/>
      <c r="W58" s="374"/>
      <c r="X58" s="376"/>
      <c r="Y58" s="374"/>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3">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3">
        <v>41379</v>
      </c>
      <c r="K59" s="183"/>
      <c r="L59" s="363"/>
      <c r="M59" s="183"/>
      <c r="N59" s="363"/>
      <c r="O59" s="183"/>
      <c r="P59" s="363"/>
      <c r="Q59" s="86">
        <f t="shared" si="0"/>
        <v>1807575</v>
      </c>
      <c r="R59" s="376" t="s">
        <v>543</v>
      </c>
      <c r="S59" s="374">
        <v>41409</v>
      </c>
      <c r="T59" s="376"/>
      <c r="U59" s="374"/>
      <c r="V59" s="376"/>
      <c r="W59" s="374"/>
      <c r="X59" s="376"/>
      <c r="Y59" s="374"/>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3">
        <v>0</v>
      </c>
      <c r="AU59" s="90">
        <f t="shared" si="2"/>
        <v>19912200</v>
      </c>
      <c r="AW59" s="418"/>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3"/>
      <c r="K60" s="183"/>
      <c r="L60" s="363"/>
      <c r="M60" s="183"/>
      <c r="N60" s="363"/>
      <c r="O60" s="183"/>
      <c r="P60" s="363"/>
      <c r="Q60" s="86">
        <f t="shared" si="0"/>
        <v>0</v>
      </c>
      <c r="R60" s="376"/>
      <c r="S60" s="374"/>
      <c r="T60" s="376"/>
      <c r="U60" s="374"/>
      <c r="V60" s="376"/>
      <c r="W60" s="374"/>
      <c r="X60" s="376"/>
      <c r="Y60" s="374"/>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3">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3"/>
      <c r="K61" s="183"/>
      <c r="L61" s="363"/>
      <c r="M61" s="183"/>
      <c r="N61" s="363"/>
      <c r="O61" s="183"/>
      <c r="P61" s="363"/>
      <c r="Q61" s="86">
        <f t="shared" si="0"/>
        <v>0</v>
      </c>
      <c r="R61" s="376"/>
      <c r="S61" s="374"/>
      <c r="T61" s="376"/>
      <c r="U61" s="374"/>
      <c r="V61" s="376"/>
      <c r="W61" s="374"/>
      <c r="X61" s="376"/>
      <c r="Y61" s="374"/>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3">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3"/>
      <c r="K62" s="183"/>
      <c r="L62" s="363"/>
      <c r="M62" s="183"/>
      <c r="N62" s="363"/>
      <c r="O62" s="183"/>
      <c r="P62" s="363"/>
      <c r="Q62" s="86">
        <f t="shared" si="0"/>
        <v>0</v>
      </c>
      <c r="R62" s="376" t="s">
        <v>1594</v>
      </c>
      <c r="S62" s="374"/>
      <c r="T62" s="376"/>
      <c r="U62" s="374"/>
      <c r="V62" s="376"/>
      <c r="W62" s="374"/>
      <c r="X62" s="376"/>
      <c r="Y62" s="374"/>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3">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3"/>
      <c r="K63" s="183"/>
      <c r="L63" s="363"/>
      <c r="M63" s="183"/>
      <c r="N63" s="363"/>
      <c r="O63" s="183"/>
      <c r="P63" s="363"/>
      <c r="Q63" s="86">
        <f t="shared" si="0"/>
        <v>0</v>
      </c>
      <c r="R63" s="376"/>
      <c r="S63" s="374"/>
      <c r="T63" s="376"/>
      <c r="U63" s="374"/>
      <c r="V63" s="376"/>
      <c r="W63" s="374"/>
      <c r="X63" s="376"/>
      <c r="Y63" s="374"/>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3">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3"/>
      <c r="K64" s="183"/>
      <c r="L64" s="363"/>
      <c r="M64" s="183"/>
      <c r="N64" s="363"/>
      <c r="O64" s="183"/>
      <c r="P64" s="363"/>
      <c r="Q64" s="86">
        <f t="shared" si="0"/>
        <v>0</v>
      </c>
      <c r="R64" s="376"/>
      <c r="S64" s="374"/>
      <c r="T64" s="376"/>
      <c r="U64" s="374"/>
      <c r="V64" s="376"/>
      <c r="W64" s="374"/>
      <c r="X64" s="376"/>
      <c r="Y64" s="374"/>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3">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3"/>
      <c r="K65" s="183"/>
      <c r="L65" s="363"/>
      <c r="M65" s="183"/>
      <c r="N65" s="363"/>
      <c r="O65" s="183"/>
      <c r="P65" s="363"/>
      <c r="Q65" s="86">
        <f t="shared" si="0"/>
        <v>0</v>
      </c>
      <c r="R65" s="376"/>
      <c r="S65" s="374"/>
      <c r="T65" s="376"/>
      <c r="U65" s="374"/>
      <c r="V65" s="376"/>
      <c r="W65" s="374"/>
      <c r="X65" s="376"/>
      <c r="Y65" s="374"/>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3">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3"/>
      <c r="K66" s="183"/>
      <c r="L66" s="363"/>
      <c r="M66" s="183"/>
      <c r="N66" s="363"/>
      <c r="O66" s="183"/>
      <c r="P66" s="363"/>
      <c r="Q66" s="86">
        <f t="shared" si="0"/>
        <v>0</v>
      </c>
      <c r="R66" s="376"/>
      <c r="S66" s="374"/>
      <c r="T66" s="376"/>
      <c r="U66" s="374"/>
      <c r="V66" s="376"/>
      <c r="W66" s="374"/>
      <c r="X66" s="376"/>
      <c r="Y66" s="374"/>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3">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3"/>
      <c r="K67" s="183"/>
      <c r="L67" s="363"/>
      <c r="M67" s="183"/>
      <c r="N67" s="363"/>
      <c r="O67" s="183"/>
      <c r="P67" s="363"/>
      <c r="Q67" s="86">
        <f t="shared" si="0"/>
        <v>0</v>
      </c>
      <c r="R67" s="376"/>
      <c r="S67" s="374"/>
      <c r="T67" s="376"/>
      <c r="U67" s="374"/>
      <c r="V67" s="376"/>
      <c r="W67" s="374"/>
      <c r="X67" s="376"/>
      <c r="Y67" s="374"/>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3">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3"/>
      <c r="K68" s="183"/>
      <c r="L68" s="363"/>
      <c r="M68" s="183"/>
      <c r="N68" s="363"/>
      <c r="O68" s="183"/>
      <c r="P68" s="363"/>
      <c r="Q68" s="86">
        <f t="shared" si="0"/>
        <v>0</v>
      </c>
      <c r="R68" s="376" t="s">
        <v>379</v>
      </c>
      <c r="S68" s="374">
        <v>41394</v>
      </c>
      <c r="T68" s="376" t="s">
        <v>1321</v>
      </c>
      <c r="U68" s="374">
        <v>41486</v>
      </c>
      <c r="V68" s="376" t="s">
        <v>379</v>
      </c>
      <c r="W68" s="374">
        <v>41534</v>
      </c>
      <c r="X68" s="376"/>
      <c r="Y68" s="403">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3">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3"/>
      <c r="K69" s="183"/>
      <c r="L69" s="363"/>
      <c r="M69" s="183"/>
      <c r="N69" s="363"/>
      <c r="O69" s="183"/>
      <c r="P69" s="363"/>
      <c r="Q69" s="86">
        <f t="shared" si="0"/>
        <v>0</v>
      </c>
      <c r="R69" s="376"/>
      <c r="S69" s="374"/>
      <c r="T69" s="376"/>
      <c r="U69" s="374"/>
      <c r="V69" s="376"/>
      <c r="W69" s="374"/>
      <c r="X69" s="376"/>
      <c r="Y69" s="374"/>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3">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3">
        <v>41513</v>
      </c>
      <c r="K70" s="183"/>
      <c r="L70" s="363"/>
      <c r="M70" s="183"/>
      <c r="N70" s="363"/>
      <c r="O70" s="183"/>
      <c r="P70" s="363"/>
      <c r="Q70" s="86">
        <f t="shared" si="0"/>
        <v>95000000</v>
      </c>
      <c r="R70" s="376" t="s">
        <v>378</v>
      </c>
      <c r="S70" s="374">
        <v>41579</v>
      </c>
      <c r="T70" s="376"/>
      <c r="U70" s="374"/>
      <c r="V70" s="376"/>
      <c r="W70" s="374"/>
      <c r="X70" s="376"/>
      <c r="Y70" s="374"/>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3">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3">
        <v>41337</v>
      </c>
      <c r="K71" s="183">
        <v>166889880</v>
      </c>
      <c r="L71" s="363">
        <v>41446</v>
      </c>
      <c r="M71" s="183"/>
      <c r="N71" s="363"/>
      <c r="O71" s="183"/>
      <c r="P71" s="363"/>
      <c r="Q71" s="86">
        <f t="shared" si="0"/>
        <v>211889880</v>
      </c>
      <c r="R71" s="376" t="s">
        <v>381</v>
      </c>
      <c r="S71" s="374">
        <v>41413</v>
      </c>
      <c r="T71" s="376" t="s">
        <v>987</v>
      </c>
      <c r="U71" s="374">
        <v>41517</v>
      </c>
      <c r="V71" s="376" t="s">
        <v>381</v>
      </c>
      <c r="W71" s="374">
        <v>41547</v>
      </c>
      <c r="X71" s="376" t="s">
        <v>962</v>
      </c>
      <c r="Y71" s="374">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3">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3"/>
      <c r="K72" s="183"/>
      <c r="L72" s="363"/>
      <c r="M72" s="183"/>
      <c r="N72" s="363"/>
      <c r="O72" s="183"/>
      <c r="P72" s="363"/>
      <c r="Q72" s="86">
        <f t="shared" ref="Q72:Q135" si="3">SUM(I72,K72,M72,O72)</f>
        <v>0</v>
      </c>
      <c r="R72" s="376"/>
      <c r="S72" s="374"/>
      <c r="T72" s="376"/>
      <c r="U72" s="374"/>
      <c r="V72" s="376"/>
      <c r="W72" s="374"/>
      <c r="X72" s="376"/>
      <c r="Y72" s="374"/>
      <c r="Z72" s="382"/>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3">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3">
        <v>41418</v>
      </c>
      <c r="K73" s="183"/>
      <c r="L73" s="363"/>
      <c r="M73" s="183"/>
      <c r="N73" s="363"/>
      <c r="O73" s="183"/>
      <c r="P73" s="363"/>
      <c r="Q73" s="86">
        <f t="shared" si="3"/>
        <v>8062000</v>
      </c>
      <c r="R73" s="376" t="s">
        <v>381</v>
      </c>
      <c r="S73" s="374">
        <v>41452</v>
      </c>
      <c r="T73" s="376"/>
      <c r="U73" s="374"/>
      <c r="V73" s="376"/>
      <c r="W73" s="374"/>
      <c r="X73" s="376"/>
      <c r="Y73" s="374"/>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3">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3">
        <v>41519</v>
      </c>
      <c r="K74" s="183"/>
      <c r="L74" s="363"/>
      <c r="M74" s="183"/>
      <c r="N74" s="363"/>
      <c r="O74" s="183"/>
      <c r="P74" s="363"/>
      <c r="Q74" s="86">
        <f t="shared" si="3"/>
        <v>2648556</v>
      </c>
      <c r="R74" s="376" t="s">
        <v>1325</v>
      </c>
      <c r="S74" s="374">
        <v>41500</v>
      </c>
      <c r="T74" s="376" t="s">
        <v>1326</v>
      </c>
      <c r="U74" s="374">
        <v>41519</v>
      </c>
      <c r="V74" s="376" t="s">
        <v>378</v>
      </c>
      <c r="W74" s="374">
        <v>41580</v>
      </c>
      <c r="X74" s="376"/>
      <c r="Y74" s="374"/>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3">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3"/>
      <c r="K75" s="183"/>
      <c r="L75" s="363"/>
      <c r="M75" s="183"/>
      <c r="N75" s="363"/>
      <c r="O75" s="183"/>
      <c r="P75" s="363"/>
      <c r="Q75" s="86">
        <f t="shared" si="3"/>
        <v>0</v>
      </c>
      <c r="R75" s="376"/>
      <c r="S75" s="374"/>
      <c r="T75" s="376"/>
      <c r="U75" s="374"/>
      <c r="V75" s="376"/>
      <c r="W75" s="374"/>
      <c r="X75" s="376"/>
      <c r="Y75" s="374"/>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3">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3">
        <v>41523</v>
      </c>
      <c r="K76" s="183">
        <v>72000000</v>
      </c>
      <c r="L76" s="363">
        <v>41558</v>
      </c>
      <c r="M76" s="183"/>
      <c r="N76" s="363"/>
      <c r="O76" s="183"/>
      <c r="P76" s="363"/>
      <c r="Q76" s="86">
        <f t="shared" si="3"/>
        <v>118000000</v>
      </c>
      <c r="R76" s="376" t="s">
        <v>964</v>
      </c>
      <c r="S76" s="374">
        <v>41496</v>
      </c>
      <c r="T76" s="376" t="s">
        <v>963</v>
      </c>
      <c r="U76" s="374">
        <v>41517</v>
      </c>
      <c r="V76" s="376" t="s">
        <v>381</v>
      </c>
      <c r="W76" s="374">
        <v>41547</v>
      </c>
      <c r="X76" s="376" t="s">
        <v>978</v>
      </c>
      <c r="Y76" s="374">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3">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3"/>
      <c r="K77" s="183"/>
      <c r="L77" s="363"/>
      <c r="M77" s="183"/>
      <c r="N77" s="363"/>
      <c r="O77" s="183"/>
      <c r="P77" s="363"/>
      <c r="Q77" s="86">
        <f t="shared" si="3"/>
        <v>0</v>
      </c>
      <c r="R77" s="376" t="s">
        <v>378</v>
      </c>
      <c r="S77" s="374">
        <v>41575</v>
      </c>
      <c r="T77" s="376"/>
      <c r="U77" s="374"/>
      <c r="V77" s="376"/>
      <c r="W77" s="374"/>
      <c r="X77" s="376"/>
      <c r="Y77" s="374"/>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3">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3">
        <v>41652</v>
      </c>
      <c r="K78" s="183"/>
      <c r="L78" s="363"/>
      <c r="M78" s="183"/>
      <c r="N78" s="363"/>
      <c r="O78" s="183"/>
      <c r="P78" s="363"/>
      <c r="Q78" s="86">
        <f t="shared" si="3"/>
        <v>285000</v>
      </c>
      <c r="R78" s="376" t="s">
        <v>378</v>
      </c>
      <c r="S78" s="374">
        <v>41711</v>
      </c>
      <c r="T78" s="376"/>
      <c r="U78" s="374"/>
      <c r="V78" s="376"/>
      <c r="W78" s="374"/>
      <c r="X78" s="376"/>
      <c r="Y78" s="374"/>
      <c r="Z78" s="383"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3">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3"/>
      <c r="K79" s="183"/>
      <c r="L79" s="363"/>
      <c r="M79" s="183"/>
      <c r="N79" s="363"/>
      <c r="O79" s="183"/>
      <c r="P79" s="363"/>
      <c r="Q79" s="86">
        <f t="shared" si="3"/>
        <v>0</v>
      </c>
      <c r="R79" s="376" t="s">
        <v>1379</v>
      </c>
      <c r="S79" s="374">
        <v>42321</v>
      </c>
      <c r="T79" s="376"/>
      <c r="U79" s="374"/>
      <c r="V79" s="376"/>
      <c r="W79" s="374"/>
      <c r="X79" s="376"/>
      <c r="Y79" s="374"/>
      <c r="Z79" s="384"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3">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3"/>
      <c r="K80" s="183"/>
      <c r="L80" s="363"/>
      <c r="M80" s="183"/>
      <c r="N80" s="363"/>
      <c r="O80" s="183"/>
      <c r="P80" s="363"/>
      <c r="Q80" s="86">
        <f t="shared" si="3"/>
        <v>0</v>
      </c>
      <c r="R80" s="376"/>
      <c r="S80" s="374"/>
      <c r="T80" s="376"/>
      <c r="U80" s="374"/>
      <c r="V80" s="376"/>
      <c r="W80" s="374"/>
      <c r="X80" s="376"/>
      <c r="Y80" s="374"/>
      <c r="Z80" s="385"/>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3">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7">
        <v>35588800</v>
      </c>
      <c r="J81" s="363"/>
      <c r="K81" s="183"/>
      <c r="L81" s="363"/>
      <c r="M81" s="183"/>
      <c r="N81" s="363"/>
      <c r="O81" s="183"/>
      <c r="P81" s="363"/>
      <c r="Q81" s="86">
        <f t="shared" si="3"/>
        <v>35588800</v>
      </c>
      <c r="R81" s="376" t="s">
        <v>381</v>
      </c>
      <c r="S81" s="374">
        <v>41736</v>
      </c>
      <c r="T81" s="376"/>
      <c r="U81" s="374"/>
      <c r="V81" s="376"/>
      <c r="W81" s="374"/>
      <c r="X81" s="376"/>
      <c r="Y81" s="374"/>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3">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3"/>
      <c r="K82" s="183"/>
      <c r="L82" s="363"/>
      <c r="M82" s="183"/>
      <c r="N82" s="363"/>
      <c r="O82" s="183"/>
      <c r="P82" s="363"/>
      <c r="Q82" s="86">
        <f t="shared" si="3"/>
        <v>0</v>
      </c>
      <c r="R82" s="376" t="s">
        <v>381</v>
      </c>
      <c r="S82" s="374">
        <v>41459</v>
      </c>
      <c r="T82" s="376"/>
      <c r="U82" s="374"/>
      <c r="V82" s="376"/>
      <c r="W82" s="374"/>
      <c r="X82" s="376"/>
      <c r="Y82" s="374"/>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3">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3">
        <v>41570</v>
      </c>
      <c r="K83" s="183"/>
      <c r="L83" s="363"/>
      <c r="M83" s="183"/>
      <c r="N83" s="363"/>
      <c r="O83" s="183"/>
      <c r="P83" s="363"/>
      <c r="Q83" s="86">
        <f t="shared" si="3"/>
        <v>20167111</v>
      </c>
      <c r="R83" s="376" t="s">
        <v>544</v>
      </c>
      <c r="S83" s="374">
        <v>41595</v>
      </c>
      <c r="T83" s="376" t="s">
        <v>1328</v>
      </c>
      <c r="U83" s="374">
        <v>41608</v>
      </c>
      <c r="V83" s="376"/>
      <c r="W83" s="374"/>
      <c r="X83" s="376"/>
      <c r="Y83" s="374"/>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3">
        <v>0</v>
      </c>
      <c r="AU83" s="90">
        <f t="shared" si="5"/>
        <v>65129800</v>
      </c>
      <c r="AW83" s="418">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3">
        <v>41401</v>
      </c>
      <c r="K84" s="183"/>
      <c r="L84" s="363"/>
      <c r="M84" s="183"/>
      <c r="N84" s="363"/>
      <c r="O84" s="183"/>
      <c r="P84" s="363"/>
      <c r="Q84" s="86">
        <f t="shared" si="3"/>
        <v>25746412</v>
      </c>
      <c r="R84" s="376"/>
      <c r="S84" s="374"/>
      <c r="T84" s="376"/>
      <c r="U84" s="374"/>
      <c r="V84" s="376"/>
      <c r="W84" s="374"/>
      <c r="X84" s="376"/>
      <c r="Y84" s="374"/>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3">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3"/>
      <c r="K85" s="183"/>
      <c r="L85" s="363"/>
      <c r="M85" s="183"/>
      <c r="N85" s="363"/>
      <c r="O85" s="183"/>
      <c r="P85" s="363"/>
      <c r="Q85" s="86">
        <f t="shared" si="3"/>
        <v>0</v>
      </c>
      <c r="R85" s="376"/>
      <c r="S85" s="374"/>
      <c r="T85" s="376"/>
      <c r="U85" s="374"/>
      <c r="V85" s="376"/>
      <c r="W85" s="374"/>
      <c r="X85" s="376"/>
      <c r="Y85" s="374"/>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3">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3"/>
      <c r="K86" s="183"/>
      <c r="L86" s="363"/>
      <c r="M86" s="183"/>
      <c r="N86" s="363"/>
      <c r="O86" s="183"/>
      <c r="P86" s="363"/>
      <c r="Q86" s="86">
        <f t="shared" si="3"/>
        <v>0</v>
      </c>
      <c r="R86" s="376"/>
      <c r="S86" s="374"/>
      <c r="T86" s="376"/>
      <c r="U86" s="374"/>
      <c r="V86" s="376"/>
      <c r="W86" s="374"/>
      <c r="X86" s="376"/>
      <c r="Y86" s="374"/>
      <c r="Z86" s="383"/>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3">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3"/>
      <c r="K87" s="183"/>
      <c r="L87" s="363"/>
      <c r="M87" s="183"/>
      <c r="N87" s="363"/>
      <c r="O87" s="183"/>
      <c r="P87" s="363"/>
      <c r="Q87" s="86">
        <f t="shared" si="3"/>
        <v>0</v>
      </c>
      <c r="R87" s="376"/>
      <c r="S87" s="374"/>
      <c r="T87" s="376"/>
      <c r="U87" s="374"/>
      <c r="V87" s="376"/>
      <c r="W87" s="374"/>
      <c r="X87" s="376"/>
      <c r="Y87" s="374"/>
      <c r="Z87" s="386"/>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3">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3"/>
      <c r="K88" s="183"/>
      <c r="L88" s="363"/>
      <c r="M88" s="183"/>
      <c r="N88" s="363"/>
      <c r="O88" s="183"/>
      <c r="P88" s="363"/>
      <c r="Q88" s="86">
        <f t="shared" si="3"/>
        <v>0</v>
      </c>
      <c r="R88" s="376"/>
      <c r="S88" s="374"/>
      <c r="T88" s="376"/>
      <c r="U88" s="374"/>
      <c r="V88" s="376"/>
      <c r="W88" s="374"/>
      <c r="X88" s="376"/>
      <c r="Y88" s="374"/>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3">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3"/>
      <c r="K89" s="183"/>
      <c r="L89" s="363"/>
      <c r="M89" s="183"/>
      <c r="N89" s="363"/>
      <c r="O89" s="183"/>
      <c r="P89" s="363"/>
      <c r="Q89" s="86">
        <f t="shared" si="3"/>
        <v>0</v>
      </c>
      <c r="R89" s="376"/>
      <c r="S89" s="374"/>
      <c r="T89" s="376"/>
      <c r="U89" s="374"/>
      <c r="V89" s="376"/>
      <c r="W89" s="374"/>
      <c r="X89" s="376"/>
      <c r="Y89" s="374"/>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3">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3"/>
      <c r="K90" s="183"/>
      <c r="L90" s="363"/>
      <c r="M90" s="183"/>
      <c r="N90" s="363"/>
      <c r="O90" s="183"/>
      <c r="P90" s="363"/>
      <c r="Q90" s="86">
        <f t="shared" si="3"/>
        <v>0</v>
      </c>
      <c r="R90" s="376"/>
      <c r="S90" s="374"/>
      <c r="T90" s="376"/>
      <c r="U90" s="374"/>
      <c r="V90" s="376"/>
      <c r="W90" s="374"/>
      <c r="X90" s="376"/>
      <c r="Y90" s="374"/>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3">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3"/>
      <c r="K91" s="183"/>
      <c r="L91" s="363"/>
      <c r="M91" s="183"/>
      <c r="N91" s="363"/>
      <c r="O91" s="183"/>
      <c r="P91" s="363"/>
      <c r="Q91" s="86">
        <f t="shared" si="3"/>
        <v>0</v>
      </c>
      <c r="R91" s="376"/>
      <c r="S91" s="374"/>
      <c r="T91" s="376"/>
      <c r="U91" s="374"/>
      <c r="V91" s="376"/>
      <c r="W91" s="374"/>
      <c r="X91" s="376"/>
      <c r="Y91" s="374"/>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3">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3"/>
      <c r="K92" s="183"/>
      <c r="L92" s="363"/>
      <c r="M92" s="183"/>
      <c r="N92" s="363"/>
      <c r="O92" s="183"/>
      <c r="P92" s="363"/>
      <c r="Q92" s="86">
        <f t="shared" si="3"/>
        <v>0</v>
      </c>
      <c r="R92" s="376"/>
      <c r="S92" s="374"/>
      <c r="T92" s="376"/>
      <c r="U92" s="374"/>
      <c r="V92" s="376"/>
      <c r="W92" s="374"/>
      <c r="X92" s="376"/>
      <c r="Y92" s="374"/>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3">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3"/>
      <c r="K93" s="183"/>
      <c r="L93" s="363"/>
      <c r="M93" s="183"/>
      <c r="N93" s="363"/>
      <c r="O93" s="183"/>
      <c r="P93" s="363"/>
      <c r="Q93" s="86">
        <f t="shared" si="3"/>
        <v>0</v>
      </c>
      <c r="R93" s="376"/>
      <c r="S93" s="374"/>
      <c r="T93" s="376"/>
      <c r="U93" s="374"/>
      <c r="V93" s="376"/>
      <c r="W93" s="374"/>
      <c r="X93" s="376"/>
      <c r="Y93" s="374"/>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3">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3"/>
      <c r="K94" s="183"/>
      <c r="L94" s="363"/>
      <c r="M94" s="183"/>
      <c r="N94" s="363"/>
      <c r="O94" s="183"/>
      <c r="P94" s="363"/>
      <c r="Q94" s="86">
        <f t="shared" si="3"/>
        <v>0</v>
      </c>
      <c r="R94" s="376"/>
      <c r="S94" s="374"/>
      <c r="T94" s="376"/>
      <c r="U94" s="374"/>
      <c r="V94" s="376"/>
      <c r="W94" s="374"/>
      <c r="X94" s="376"/>
      <c r="Y94" s="374"/>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3">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3"/>
      <c r="K95" s="183"/>
      <c r="L95" s="363"/>
      <c r="M95" s="183"/>
      <c r="N95" s="363"/>
      <c r="O95" s="183"/>
      <c r="P95" s="363"/>
      <c r="Q95" s="86">
        <f t="shared" si="3"/>
        <v>0</v>
      </c>
      <c r="R95" s="376"/>
      <c r="S95" s="374"/>
      <c r="T95" s="376"/>
      <c r="U95" s="374"/>
      <c r="V95" s="376"/>
      <c r="W95" s="374"/>
      <c r="X95" s="376"/>
      <c r="Y95" s="374"/>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3">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3">
        <v>41477</v>
      </c>
      <c r="K96" s="183"/>
      <c r="L96" s="363"/>
      <c r="M96" s="183"/>
      <c r="N96" s="363"/>
      <c r="O96" s="183"/>
      <c r="P96" s="363"/>
      <c r="Q96" s="86">
        <f t="shared" si="3"/>
        <v>80000000</v>
      </c>
      <c r="R96" s="376" t="s">
        <v>381</v>
      </c>
      <c r="S96" s="374">
        <v>41508</v>
      </c>
      <c r="T96" s="376"/>
      <c r="U96" s="374"/>
      <c r="V96" s="376"/>
      <c r="W96" s="374"/>
      <c r="X96" s="376"/>
      <c r="Y96" s="374"/>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3">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3">
        <v>41796</v>
      </c>
      <c r="K97" s="183"/>
      <c r="L97" s="363"/>
      <c r="M97" s="183"/>
      <c r="N97" s="363"/>
      <c r="O97" s="183"/>
      <c r="P97" s="363"/>
      <c r="Q97" s="86">
        <f t="shared" si="3"/>
        <v>11395000</v>
      </c>
      <c r="R97" s="376" t="s">
        <v>379</v>
      </c>
      <c r="S97" s="374">
        <v>41767</v>
      </c>
      <c r="T97" s="376" t="s">
        <v>381</v>
      </c>
      <c r="U97" s="374">
        <v>41798</v>
      </c>
      <c r="V97" s="376" t="s">
        <v>379</v>
      </c>
      <c r="W97" s="374">
        <v>41890</v>
      </c>
      <c r="X97" s="376"/>
      <c r="Y97" s="374"/>
      <c r="Z97" s="381"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3">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3">
        <v>41711</v>
      </c>
      <c r="K98" s="183">
        <v>40839060</v>
      </c>
      <c r="L98" s="363">
        <v>41788</v>
      </c>
      <c r="M98" s="183"/>
      <c r="N98" s="363"/>
      <c r="O98" s="183"/>
      <c r="P98" s="363"/>
      <c r="Q98" s="86">
        <f t="shared" si="3"/>
        <v>121839060</v>
      </c>
      <c r="R98" s="376" t="s">
        <v>978</v>
      </c>
      <c r="S98" s="374">
        <v>41714</v>
      </c>
      <c r="T98" s="376" t="s">
        <v>966</v>
      </c>
      <c r="U98" s="374">
        <v>41790</v>
      </c>
      <c r="V98" s="376" t="s">
        <v>381</v>
      </c>
      <c r="W98" s="374">
        <v>41820</v>
      </c>
      <c r="X98" s="376"/>
      <c r="Y98" s="374"/>
      <c r="Z98" s="381"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3">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3"/>
      <c r="K99" s="183"/>
      <c r="L99" s="363"/>
      <c r="M99" s="183"/>
      <c r="N99" s="363"/>
      <c r="O99" s="183"/>
      <c r="P99" s="363"/>
      <c r="Q99" s="86">
        <f t="shared" si="3"/>
        <v>0</v>
      </c>
      <c r="R99" s="376"/>
      <c r="S99" s="374"/>
      <c r="T99" s="376"/>
      <c r="U99" s="374"/>
      <c r="V99" s="376"/>
      <c r="W99" s="374"/>
      <c r="X99" s="376"/>
      <c r="Y99" s="374"/>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3">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3">
        <v>41516</v>
      </c>
      <c r="K100" s="183"/>
      <c r="L100" s="363"/>
      <c r="M100" s="183"/>
      <c r="N100" s="363"/>
      <c r="O100" s="183"/>
      <c r="P100" s="363"/>
      <c r="Q100" s="86">
        <f t="shared" si="3"/>
        <v>6150000</v>
      </c>
      <c r="R100" s="376"/>
      <c r="S100" s="374"/>
      <c r="T100" s="376"/>
      <c r="U100" s="374"/>
      <c r="V100" s="376"/>
      <c r="W100" s="374"/>
      <c r="X100" s="376"/>
      <c r="Y100" s="374"/>
      <c r="Z100" s="381"/>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3">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3"/>
      <c r="K101" s="183"/>
      <c r="L101" s="363"/>
      <c r="M101" s="183"/>
      <c r="N101" s="363"/>
      <c r="O101" s="183"/>
      <c r="P101" s="363"/>
      <c r="Q101" s="86">
        <f t="shared" si="3"/>
        <v>0</v>
      </c>
      <c r="R101" s="376"/>
      <c r="S101" s="374"/>
      <c r="T101" s="376"/>
      <c r="U101" s="374"/>
      <c r="V101" s="376"/>
      <c r="W101" s="374"/>
      <c r="X101" s="376"/>
      <c r="Y101" s="374"/>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3">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3"/>
      <c r="K102" s="183"/>
      <c r="L102" s="363"/>
      <c r="M102" s="183"/>
      <c r="N102" s="363"/>
      <c r="O102" s="183"/>
      <c r="P102" s="363"/>
      <c r="Q102" s="86">
        <f t="shared" si="3"/>
        <v>0</v>
      </c>
      <c r="R102" s="376"/>
      <c r="S102" s="374"/>
      <c r="T102" s="376"/>
      <c r="U102" s="374"/>
      <c r="V102" s="376"/>
      <c r="W102" s="374"/>
      <c r="X102" s="376"/>
      <c r="Y102" s="374"/>
      <c r="Z102" s="380"/>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3">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3"/>
      <c r="K103" s="183"/>
      <c r="L103" s="363"/>
      <c r="M103" s="183"/>
      <c r="N103" s="363"/>
      <c r="O103" s="183"/>
      <c r="P103" s="363"/>
      <c r="Q103" s="86">
        <f t="shared" si="3"/>
        <v>0</v>
      </c>
      <c r="R103" s="376"/>
      <c r="S103" s="374"/>
      <c r="T103" s="376"/>
      <c r="U103" s="374"/>
      <c r="V103" s="376"/>
      <c r="W103" s="374"/>
      <c r="X103" s="376"/>
      <c r="Y103" s="374"/>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3">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3"/>
      <c r="K104" s="183">
        <v>3000000</v>
      </c>
      <c r="L104" s="363"/>
      <c r="M104" s="183">
        <v>5020000</v>
      </c>
      <c r="N104" s="363"/>
      <c r="O104" s="183"/>
      <c r="P104" s="363"/>
      <c r="Q104" s="86">
        <f t="shared" si="3"/>
        <v>10820000</v>
      </c>
      <c r="R104" s="376" t="s">
        <v>379</v>
      </c>
      <c r="S104" s="374">
        <v>41714</v>
      </c>
      <c r="T104" s="376" t="s">
        <v>381</v>
      </c>
      <c r="U104" s="374">
        <v>41745</v>
      </c>
      <c r="V104" s="376" t="s">
        <v>378</v>
      </c>
      <c r="W104" s="374">
        <v>41806</v>
      </c>
      <c r="X104" s="376"/>
      <c r="Y104" s="374"/>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3">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3"/>
      <c r="K105" s="183"/>
      <c r="L105" s="363"/>
      <c r="M105" s="183"/>
      <c r="N105" s="363"/>
      <c r="O105" s="183"/>
      <c r="P105" s="363"/>
      <c r="Q105" s="86">
        <f t="shared" si="3"/>
        <v>0</v>
      </c>
      <c r="R105" s="376"/>
      <c r="S105" s="374"/>
      <c r="T105" s="376"/>
      <c r="U105" s="374"/>
      <c r="V105" s="376"/>
      <c r="W105" s="374"/>
      <c r="X105" s="376"/>
      <c r="Y105" s="374"/>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3">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3"/>
      <c r="K106" s="183"/>
      <c r="L106" s="363"/>
      <c r="M106" s="183"/>
      <c r="N106" s="363"/>
      <c r="O106" s="183"/>
      <c r="P106" s="363"/>
      <c r="Q106" s="86">
        <f t="shared" si="3"/>
        <v>172492424</v>
      </c>
      <c r="R106" s="376" t="s">
        <v>988</v>
      </c>
      <c r="S106" s="374">
        <v>41817</v>
      </c>
      <c r="T106" s="376" t="s">
        <v>381</v>
      </c>
      <c r="U106" s="374">
        <v>41847</v>
      </c>
      <c r="V106" s="376" t="s">
        <v>989</v>
      </c>
      <c r="W106" s="374">
        <v>41897</v>
      </c>
      <c r="X106" s="376"/>
      <c r="Y106" s="374"/>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3">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3"/>
      <c r="K107" s="183"/>
      <c r="L107" s="363"/>
      <c r="M107" s="183"/>
      <c r="N107" s="363"/>
      <c r="O107" s="183"/>
      <c r="P107" s="363"/>
      <c r="Q107" s="86">
        <f t="shared" si="3"/>
        <v>0</v>
      </c>
      <c r="R107" s="376"/>
      <c r="S107" s="374"/>
      <c r="T107" s="376"/>
      <c r="U107" s="374"/>
      <c r="V107" s="376"/>
      <c r="W107" s="374"/>
      <c r="X107" s="376"/>
      <c r="Y107" s="374"/>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3">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3"/>
      <c r="K108" s="183"/>
      <c r="L108" s="363"/>
      <c r="M108" s="183"/>
      <c r="N108" s="363"/>
      <c r="O108" s="183"/>
      <c r="P108" s="363"/>
      <c r="Q108" s="86">
        <f t="shared" si="3"/>
        <v>0</v>
      </c>
      <c r="R108" s="376" t="s">
        <v>380</v>
      </c>
      <c r="S108" s="374">
        <v>41823</v>
      </c>
      <c r="T108" s="376"/>
      <c r="U108" s="374"/>
      <c r="V108" s="376"/>
      <c r="W108" s="374"/>
      <c r="X108" s="376"/>
      <c r="Y108" s="374"/>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3">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3"/>
      <c r="K109" s="183">
        <v>2500000</v>
      </c>
      <c r="L109" s="363"/>
      <c r="M109" s="183"/>
      <c r="N109" s="363"/>
      <c r="O109" s="183"/>
      <c r="P109" s="363"/>
      <c r="Q109" s="86">
        <f t="shared" si="3"/>
        <v>4000000</v>
      </c>
      <c r="R109" s="376" t="s">
        <v>990</v>
      </c>
      <c r="S109" s="374">
        <v>41790</v>
      </c>
      <c r="T109" s="376" t="s">
        <v>381</v>
      </c>
      <c r="U109" s="374">
        <v>41820</v>
      </c>
      <c r="V109" s="376"/>
      <c r="W109" s="374"/>
      <c r="X109" s="376"/>
      <c r="Y109" s="374"/>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3">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3"/>
      <c r="K110" s="183"/>
      <c r="L110" s="363"/>
      <c r="M110" s="183"/>
      <c r="N110" s="363"/>
      <c r="O110" s="183"/>
      <c r="P110" s="363"/>
      <c r="Q110" s="86">
        <f t="shared" si="3"/>
        <v>0</v>
      </c>
      <c r="R110" s="376"/>
      <c r="S110" s="374"/>
      <c r="T110" s="376"/>
      <c r="U110" s="374"/>
      <c r="V110" s="376"/>
      <c r="W110" s="374"/>
      <c r="X110" s="376"/>
      <c r="Y110" s="374"/>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3">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3"/>
      <c r="K111" s="183"/>
      <c r="L111" s="363"/>
      <c r="M111" s="183"/>
      <c r="N111" s="363"/>
      <c r="O111" s="183"/>
      <c r="P111" s="363"/>
      <c r="Q111" s="86">
        <f t="shared" si="3"/>
        <v>0</v>
      </c>
      <c r="R111" s="376"/>
      <c r="S111" s="374"/>
      <c r="T111" s="376"/>
      <c r="U111" s="374"/>
      <c r="V111" s="376"/>
      <c r="W111" s="374"/>
      <c r="X111" s="376"/>
      <c r="Y111" s="374"/>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3">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3"/>
      <c r="K112" s="183"/>
      <c r="L112" s="363"/>
      <c r="M112" s="183"/>
      <c r="N112" s="363"/>
      <c r="O112" s="183"/>
      <c r="P112" s="363"/>
      <c r="Q112" s="86">
        <f t="shared" si="3"/>
        <v>0</v>
      </c>
      <c r="R112" s="376"/>
      <c r="S112" s="374"/>
      <c r="T112" s="376"/>
      <c r="U112" s="374"/>
      <c r="V112" s="376"/>
      <c r="W112" s="374"/>
      <c r="X112" s="376"/>
      <c r="Y112" s="374"/>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3">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3"/>
      <c r="K113" s="183"/>
      <c r="L113" s="363"/>
      <c r="M113" s="183"/>
      <c r="N113" s="363"/>
      <c r="O113" s="183"/>
      <c r="P113" s="363"/>
      <c r="Q113" s="86">
        <f t="shared" si="3"/>
        <v>0</v>
      </c>
      <c r="R113" s="376"/>
      <c r="S113" s="374"/>
      <c r="T113" s="376"/>
      <c r="U113" s="374"/>
      <c r="V113" s="376"/>
      <c r="W113" s="374"/>
      <c r="X113" s="376"/>
      <c r="Y113" s="374"/>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3">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3"/>
      <c r="K114" s="183"/>
      <c r="L114" s="363"/>
      <c r="M114" s="183"/>
      <c r="N114" s="363"/>
      <c r="O114" s="183"/>
      <c r="P114" s="363"/>
      <c r="Q114" s="86">
        <f t="shared" si="3"/>
        <v>0</v>
      </c>
      <c r="R114" s="376"/>
      <c r="S114" s="374"/>
      <c r="T114" s="376"/>
      <c r="U114" s="374"/>
      <c r="V114" s="376"/>
      <c r="W114" s="374"/>
      <c r="X114" s="376"/>
      <c r="Y114" s="374"/>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3">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3"/>
      <c r="K115" s="183">
        <v>88911605</v>
      </c>
      <c r="L115" s="363"/>
      <c r="M115" s="183"/>
      <c r="N115" s="363"/>
      <c r="O115" s="183"/>
      <c r="P115" s="363"/>
      <c r="Q115" s="86">
        <f t="shared" si="3"/>
        <v>116897514</v>
      </c>
      <c r="R115" s="376" t="s">
        <v>975</v>
      </c>
      <c r="S115" s="374">
        <v>41849</v>
      </c>
      <c r="T115" s="376"/>
      <c r="U115" s="374"/>
      <c r="V115" s="376"/>
      <c r="W115" s="374"/>
      <c r="X115" s="376"/>
      <c r="Y115" s="374"/>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3">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3"/>
      <c r="K116" s="183"/>
      <c r="L116" s="363"/>
      <c r="M116" s="183"/>
      <c r="N116" s="363"/>
      <c r="O116" s="183"/>
      <c r="P116" s="363"/>
      <c r="Q116" s="86">
        <f t="shared" si="3"/>
        <v>0</v>
      </c>
      <c r="R116" s="376" t="s">
        <v>378</v>
      </c>
      <c r="S116" s="374">
        <v>41705</v>
      </c>
      <c r="T116" s="376" t="s">
        <v>381</v>
      </c>
      <c r="U116" s="374">
        <v>41736</v>
      </c>
      <c r="V116" s="376"/>
      <c r="W116" s="374"/>
      <c r="X116" s="376"/>
      <c r="Y116" s="374"/>
      <c r="Z116" s="387"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3">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3"/>
      <c r="K117" s="183"/>
      <c r="L117" s="363"/>
      <c r="M117" s="183"/>
      <c r="N117" s="363"/>
      <c r="O117" s="183"/>
      <c r="P117" s="363"/>
      <c r="Q117" s="86">
        <f t="shared" si="3"/>
        <v>20373359</v>
      </c>
      <c r="R117" s="376" t="s">
        <v>378</v>
      </c>
      <c r="S117" s="374">
        <v>41779</v>
      </c>
      <c r="T117" s="376" t="s">
        <v>381</v>
      </c>
      <c r="U117" s="374">
        <v>41810</v>
      </c>
      <c r="V117" s="376"/>
      <c r="W117" s="374"/>
      <c r="X117" s="376"/>
      <c r="Y117" s="374"/>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3">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3"/>
      <c r="K118" s="183">
        <v>1696087</v>
      </c>
      <c r="L118" s="363"/>
      <c r="M118" s="183"/>
      <c r="N118" s="363"/>
      <c r="O118" s="183"/>
      <c r="P118" s="363"/>
      <c r="Q118" s="86">
        <f t="shared" si="3"/>
        <v>6494721</v>
      </c>
      <c r="R118" s="376" t="s">
        <v>997</v>
      </c>
      <c r="S118" s="374">
        <v>41820</v>
      </c>
      <c r="T118" s="376" t="s">
        <v>381</v>
      </c>
      <c r="U118" s="374">
        <v>41851</v>
      </c>
      <c r="V118" s="376"/>
      <c r="W118" s="374"/>
      <c r="X118" s="376"/>
      <c r="Y118" s="374"/>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3">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3"/>
      <c r="K119" s="183"/>
      <c r="L119" s="363"/>
      <c r="M119" s="183"/>
      <c r="N119" s="363"/>
      <c r="O119" s="183"/>
      <c r="P119" s="363"/>
      <c r="Q119" s="86">
        <f t="shared" si="3"/>
        <v>0</v>
      </c>
      <c r="R119" s="376"/>
      <c r="S119" s="374"/>
      <c r="T119" s="376"/>
      <c r="U119" s="374"/>
      <c r="V119" s="376"/>
      <c r="W119" s="374"/>
      <c r="X119" s="376"/>
      <c r="Y119" s="374"/>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3">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3"/>
      <c r="K120" s="183"/>
      <c r="L120" s="363"/>
      <c r="M120" s="183"/>
      <c r="N120" s="363"/>
      <c r="O120" s="183"/>
      <c r="P120" s="363"/>
      <c r="Q120" s="86">
        <f t="shared" si="3"/>
        <v>6000000</v>
      </c>
      <c r="R120" s="376"/>
      <c r="S120" s="374"/>
      <c r="T120" s="376"/>
      <c r="U120" s="374"/>
      <c r="V120" s="376"/>
      <c r="W120" s="374"/>
      <c r="X120" s="376"/>
      <c r="Y120" s="374"/>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3">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3"/>
      <c r="K121" s="183"/>
      <c r="L121" s="363"/>
      <c r="M121" s="183"/>
      <c r="N121" s="363"/>
      <c r="O121" s="183"/>
      <c r="P121" s="363"/>
      <c r="Q121" s="86">
        <f t="shared" si="3"/>
        <v>0</v>
      </c>
      <c r="R121" s="376"/>
      <c r="S121" s="374"/>
      <c r="T121" s="376"/>
      <c r="U121" s="374"/>
      <c r="V121" s="376"/>
      <c r="W121" s="374"/>
      <c r="X121" s="376"/>
      <c r="Y121" s="374"/>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3">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3"/>
      <c r="K122" s="183"/>
      <c r="L122" s="363"/>
      <c r="M122" s="183"/>
      <c r="N122" s="363"/>
      <c r="O122" s="183"/>
      <c r="P122" s="363"/>
      <c r="Q122" s="86">
        <f t="shared" si="3"/>
        <v>0</v>
      </c>
      <c r="R122" s="376"/>
      <c r="S122" s="374"/>
      <c r="T122" s="376"/>
      <c r="U122" s="374"/>
      <c r="V122" s="376"/>
      <c r="W122" s="374"/>
      <c r="X122" s="376"/>
      <c r="Y122" s="374"/>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3">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3"/>
      <c r="K123" s="183"/>
      <c r="L123" s="363"/>
      <c r="M123" s="183"/>
      <c r="N123" s="363"/>
      <c r="O123" s="183"/>
      <c r="P123" s="363"/>
      <c r="Q123" s="86">
        <f t="shared" si="3"/>
        <v>0</v>
      </c>
      <c r="R123" s="376" t="s">
        <v>976</v>
      </c>
      <c r="S123" s="374">
        <v>41790</v>
      </c>
      <c r="T123" s="376" t="s">
        <v>381</v>
      </c>
      <c r="U123" s="374">
        <v>41820</v>
      </c>
      <c r="V123" s="376"/>
      <c r="W123" s="374"/>
      <c r="X123" s="376"/>
      <c r="Y123" s="374"/>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3">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3"/>
      <c r="K124" s="183"/>
      <c r="L124" s="363"/>
      <c r="M124" s="183"/>
      <c r="N124" s="363"/>
      <c r="O124" s="183"/>
      <c r="P124" s="363"/>
      <c r="Q124" s="86">
        <f t="shared" si="3"/>
        <v>0</v>
      </c>
      <c r="R124" s="376"/>
      <c r="S124" s="374"/>
      <c r="T124" s="376"/>
      <c r="U124" s="374"/>
      <c r="V124" s="376"/>
      <c r="W124" s="374"/>
      <c r="X124" s="376"/>
      <c r="Y124" s="374"/>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3">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3"/>
      <c r="K125" s="183"/>
      <c r="L125" s="363"/>
      <c r="M125" s="183"/>
      <c r="N125" s="363"/>
      <c r="O125" s="183"/>
      <c r="P125" s="363"/>
      <c r="Q125" s="86">
        <f t="shared" si="3"/>
        <v>0</v>
      </c>
      <c r="R125" s="376" t="s">
        <v>381</v>
      </c>
      <c r="S125" s="374">
        <v>41714</v>
      </c>
      <c r="T125" s="376"/>
      <c r="U125" s="374"/>
      <c r="V125" s="376"/>
      <c r="W125" s="374"/>
      <c r="X125" s="376"/>
      <c r="Y125" s="374"/>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3">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3"/>
      <c r="K126" s="183"/>
      <c r="L126" s="363"/>
      <c r="M126" s="183"/>
      <c r="N126" s="363"/>
      <c r="O126" s="183"/>
      <c r="P126" s="363"/>
      <c r="Q126" s="86">
        <f t="shared" si="3"/>
        <v>0</v>
      </c>
      <c r="R126" s="376" t="s">
        <v>381</v>
      </c>
      <c r="S126" s="374">
        <v>41714</v>
      </c>
      <c r="T126" s="376"/>
      <c r="U126" s="374"/>
      <c r="V126" s="376"/>
      <c r="W126" s="374"/>
      <c r="X126" s="376"/>
      <c r="Y126" s="374"/>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3">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3"/>
      <c r="K127" s="183"/>
      <c r="L127" s="363"/>
      <c r="M127" s="183"/>
      <c r="N127" s="363"/>
      <c r="O127" s="183"/>
      <c r="P127" s="363"/>
      <c r="Q127" s="86">
        <f t="shared" si="3"/>
        <v>0</v>
      </c>
      <c r="R127" s="376"/>
      <c r="S127" s="374"/>
      <c r="T127" s="376"/>
      <c r="U127" s="374"/>
      <c r="V127" s="376"/>
      <c r="W127" s="374"/>
      <c r="X127" s="376"/>
      <c r="Y127" s="374"/>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3">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3"/>
      <c r="K128" s="183"/>
      <c r="L128" s="363"/>
      <c r="M128" s="183"/>
      <c r="N128" s="363"/>
      <c r="O128" s="183"/>
      <c r="P128" s="363"/>
      <c r="Q128" s="86">
        <f t="shared" si="3"/>
        <v>0</v>
      </c>
      <c r="R128" s="376"/>
      <c r="S128" s="374"/>
      <c r="T128" s="376"/>
      <c r="U128" s="374"/>
      <c r="V128" s="376"/>
      <c r="W128" s="374"/>
      <c r="X128" s="376"/>
      <c r="Y128" s="374"/>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3">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3"/>
      <c r="K129" s="183"/>
      <c r="L129" s="363"/>
      <c r="M129" s="183"/>
      <c r="N129" s="363"/>
      <c r="O129" s="183"/>
      <c r="P129" s="363"/>
      <c r="Q129" s="86">
        <f t="shared" si="3"/>
        <v>0</v>
      </c>
      <c r="R129" s="376"/>
      <c r="S129" s="374"/>
      <c r="T129" s="376"/>
      <c r="U129" s="374"/>
      <c r="V129" s="376"/>
      <c r="W129" s="374"/>
      <c r="X129" s="376"/>
      <c r="Y129" s="374"/>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3">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3"/>
      <c r="K130" s="183"/>
      <c r="L130" s="363"/>
      <c r="M130" s="183"/>
      <c r="N130" s="363"/>
      <c r="O130" s="183"/>
      <c r="P130" s="363"/>
      <c r="Q130" s="86">
        <f t="shared" si="3"/>
        <v>0</v>
      </c>
      <c r="R130" s="376"/>
      <c r="S130" s="374"/>
      <c r="T130" s="376"/>
      <c r="U130" s="374"/>
      <c r="V130" s="376"/>
      <c r="W130" s="374"/>
      <c r="X130" s="376"/>
      <c r="Y130" s="374"/>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3">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3"/>
      <c r="K131" s="183"/>
      <c r="L131" s="363"/>
      <c r="M131" s="183"/>
      <c r="N131" s="363"/>
      <c r="O131" s="183"/>
      <c r="P131" s="363"/>
      <c r="Q131" s="86">
        <f t="shared" si="3"/>
        <v>0</v>
      </c>
      <c r="R131" s="376" t="s">
        <v>379</v>
      </c>
      <c r="S131" s="374">
        <v>41858</v>
      </c>
      <c r="T131" s="376"/>
      <c r="U131" s="374"/>
      <c r="V131" s="376"/>
      <c r="W131" s="374"/>
      <c r="X131" s="376"/>
      <c r="Y131" s="374"/>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3">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3"/>
      <c r="K132" s="183">
        <v>9282200</v>
      </c>
      <c r="L132" s="363"/>
      <c r="M132" s="183"/>
      <c r="N132" s="363"/>
      <c r="O132" s="183"/>
      <c r="P132" s="363"/>
      <c r="Q132" s="86">
        <f t="shared" si="3"/>
        <v>14282200</v>
      </c>
      <c r="R132" s="376" t="s">
        <v>378</v>
      </c>
      <c r="S132" s="374">
        <v>41864</v>
      </c>
      <c r="T132" s="376"/>
      <c r="U132" s="374"/>
      <c r="V132" s="376"/>
      <c r="W132" s="374"/>
      <c r="X132" s="376"/>
      <c r="Y132" s="374"/>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3">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3"/>
      <c r="K133" s="183"/>
      <c r="L133" s="363"/>
      <c r="M133" s="183"/>
      <c r="N133" s="363"/>
      <c r="O133" s="183"/>
      <c r="P133" s="363"/>
      <c r="Q133" s="86">
        <f t="shared" si="3"/>
        <v>0</v>
      </c>
      <c r="R133" s="376" t="s">
        <v>379</v>
      </c>
      <c r="S133" s="374">
        <v>41876</v>
      </c>
      <c r="T133" s="376"/>
      <c r="U133" s="374"/>
      <c r="V133" s="376"/>
      <c r="W133" s="374"/>
      <c r="X133" s="376"/>
      <c r="Y133" s="374"/>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3">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3"/>
      <c r="K134" s="183"/>
      <c r="L134" s="363"/>
      <c r="M134" s="183"/>
      <c r="N134" s="363"/>
      <c r="O134" s="183"/>
      <c r="P134" s="363"/>
      <c r="Q134" s="86">
        <f t="shared" si="3"/>
        <v>8400000</v>
      </c>
      <c r="R134" s="376" t="s">
        <v>379</v>
      </c>
      <c r="S134" s="374">
        <v>41856</v>
      </c>
      <c r="T134" s="376" t="s">
        <v>977</v>
      </c>
      <c r="U134" s="374">
        <v>41917</v>
      </c>
      <c r="V134" s="376" t="s">
        <v>382</v>
      </c>
      <c r="W134" s="374">
        <v>42099</v>
      </c>
      <c r="X134" s="376"/>
      <c r="Y134" s="374"/>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3">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3"/>
      <c r="K135" s="183"/>
      <c r="L135" s="363"/>
      <c r="M135" s="183"/>
      <c r="N135" s="363"/>
      <c r="O135" s="183"/>
      <c r="P135" s="363"/>
      <c r="Q135" s="86">
        <f t="shared" si="3"/>
        <v>43461566</v>
      </c>
      <c r="R135" s="376" t="s">
        <v>544</v>
      </c>
      <c r="S135" s="374">
        <v>42055</v>
      </c>
      <c r="T135" s="376"/>
      <c r="U135" s="374"/>
      <c r="V135" s="376"/>
      <c r="W135" s="374"/>
      <c r="X135" s="376"/>
      <c r="Y135" s="374"/>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3">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3"/>
      <c r="K136" s="183"/>
      <c r="L136" s="363"/>
      <c r="M136" s="183"/>
      <c r="N136" s="363"/>
      <c r="O136" s="183"/>
      <c r="P136" s="363"/>
      <c r="Q136" s="86">
        <f t="shared" ref="Q136:Q199" si="6">SUM(I136,K136,M136,O136)</f>
        <v>0</v>
      </c>
      <c r="R136" s="376"/>
      <c r="S136" s="374"/>
      <c r="T136" s="376"/>
      <c r="U136" s="374"/>
      <c r="V136" s="376"/>
      <c r="W136" s="374"/>
      <c r="X136" s="376"/>
      <c r="Y136" s="374"/>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3">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3"/>
      <c r="K137" s="183">
        <v>25002288</v>
      </c>
      <c r="L137" s="363"/>
      <c r="M137" s="183"/>
      <c r="N137" s="363"/>
      <c r="O137" s="183"/>
      <c r="P137" s="363"/>
      <c r="Q137" s="86">
        <f t="shared" si="6"/>
        <v>38002288</v>
      </c>
      <c r="R137" s="376" t="s">
        <v>378</v>
      </c>
      <c r="S137" s="374">
        <v>41782</v>
      </c>
      <c r="T137" s="376"/>
      <c r="U137" s="374"/>
      <c r="V137" s="376"/>
      <c r="W137" s="374"/>
      <c r="X137" s="376"/>
      <c r="Y137" s="374"/>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3">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3"/>
      <c r="K138" s="183"/>
      <c r="L138" s="363"/>
      <c r="M138" s="183"/>
      <c r="N138" s="363"/>
      <c r="O138" s="183"/>
      <c r="P138" s="363"/>
      <c r="Q138" s="86">
        <f t="shared" si="6"/>
        <v>0</v>
      </c>
      <c r="R138" s="376"/>
      <c r="S138" s="374"/>
      <c r="T138" s="376"/>
      <c r="U138" s="374"/>
      <c r="V138" s="376"/>
      <c r="W138" s="374"/>
      <c r="X138" s="376"/>
      <c r="Y138" s="374"/>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3">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3"/>
      <c r="K139" s="183"/>
      <c r="L139" s="363"/>
      <c r="M139" s="183"/>
      <c r="N139" s="363"/>
      <c r="O139" s="183"/>
      <c r="P139" s="363"/>
      <c r="Q139" s="86">
        <f t="shared" si="6"/>
        <v>0</v>
      </c>
      <c r="R139" s="376" t="s">
        <v>381</v>
      </c>
      <c r="S139" s="374">
        <v>41828</v>
      </c>
      <c r="T139" s="376" t="s">
        <v>378</v>
      </c>
      <c r="U139" s="374">
        <v>41890</v>
      </c>
      <c r="V139" s="376"/>
      <c r="W139" s="374"/>
      <c r="X139" s="376"/>
      <c r="Y139" s="374"/>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3">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3"/>
      <c r="K140" s="183"/>
      <c r="L140" s="363"/>
      <c r="M140" s="183"/>
      <c r="N140" s="363"/>
      <c r="O140" s="183"/>
      <c r="P140" s="363"/>
      <c r="Q140" s="86">
        <f t="shared" si="6"/>
        <v>0</v>
      </c>
      <c r="R140" s="376"/>
      <c r="S140" s="374"/>
      <c r="T140" s="376"/>
      <c r="U140" s="374"/>
      <c r="V140" s="376"/>
      <c r="W140" s="374"/>
      <c r="X140" s="376"/>
      <c r="Y140" s="374"/>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3">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3"/>
      <c r="K141" s="183"/>
      <c r="L141" s="363"/>
      <c r="M141" s="183"/>
      <c r="N141" s="363"/>
      <c r="O141" s="183"/>
      <c r="P141" s="363"/>
      <c r="Q141" s="86">
        <f t="shared" si="6"/>
        <v>0</v>
      </c>
      <c r="R141" s="376"/>
      <c r="S141" s="374"/>
      <c r="T141" s="376"/>
      <c r="U141" s="374"/>
      <c r="V141" s="376"/>
      <c r="W141" s="374"/>
      <c r="X141" s="376"/>
      <c r="Y141" s="374"/>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3">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3"/>
      <c r="K142" s="183"/>
      <c r="L142" s="363"/>
      <c r="M142" s="183"/>
      <c r="N142" s="363"/>
      <c r="O142" s="183"/>
      <c r="P142" s="363"/>
      <c r="Q142" s="86">
        <f t="shared" si="6"/>
        <v>0</v>
      </c>
      <c r="R142" s="376"/>
      <c r="S142" s="374"/>
      <c r="T142" s="376"/>
      <c r="U142" s="374"/>
      <c r="V142" s="376"/>
      <c r="W142" s="374"/>
      <c r="X142" s="376"/>
      <c r="Y142" s="374"/>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3">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3"/>
      <c r="K143" s="183"/>
      <c r="L143" s="363"/>
      <c r="M143" s="183"/>
      <c r="N143" s="363"/>
      <c r="O143" s="183"/>
      <c r="P143" s="363"/>
      <c r="Q143" s="86">
        <f t="shared" si="6"/>
        <v>0</v>
      </c>
      <c r="R143" s="376"/>
      <c r="S143" s="374"/>
      <c r="T143" s="376"/>
      <c r="U143" s="374"/>
      <c r="V143" s="376"/>
      <c r="W143" s="374"/>
      <c r="X143" s="376"/>
      <c r="Y143" s="374"/>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3">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3"/>
      <c r="K144" s="183"/>
      <c r="L144" s="363"/>
      <c r="M144" s="183"/>
      <c r="N144" s="363"/>
      <c r="O144" s="183"/>
      <c r="P144" s="363"/>
      <c r="Q144" s="86">
        <f t="shared" si="6"/>
        <v>0</v>
      </c>
      <c r="R144" s="376"/>
      <c r="S144" s="374"/>
      <c r="T144" s="376"/>
      <c r="U144" s="374"/>
      <c r="V144" s="376"/>
      <c r="W144" s="374"/>
      <c r="X144" s="376"/>
      <c r="Y144" s="374"/>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3">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3"/>
      <c r="K145" s="183"/>
      <c r="L145" s="363"/>
      <c r="M145" s="183"/>
      <c r="N145" s="363"/>
      <c r="O145" s="183"/>
      <c r="P145" s="363"/>
      <c r="Q145" s="86">
        <f t="shared" si="6"/>
        <v>0</v>
      </c>
      <c r="R145" s="376"/>
      <c r="S145" s="374"/>
      <c r="T145" s="376"/>
      <c r="U145" s="374"/>
      <c r="V145" s="376"/>
      <c r="W145" s="374"/>
      <c r="X145" s="376"/>
      <c r="Y145" s="374"/>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3">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3"/>
      <c r="K146" s="183"/>
      <c r="L146" s="363"/>
      <c r="M146" s="183"/>
      <c r="N146" s="363"/>
      <c r="O146" s="183"/>
      <c r="P146" s="363"/>
      <c r="Q146" s="86">
        <f t="shared" si="6"/>
        <v>0</v>
      </c>
      <c r="R146" s="376"/>
      <c r="S146" s="374"/>
      <c r="T146" s="376"/>
      <c r="U146" s="374"/>
      <c r="V146" s="376"/>
      <c r="W146" s="374"/>
      <c r="X146" s="376"/>
      <c r="Y146" s="374"/>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3">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3"/>
      <c r="K147" s="183"/>
      <c r="L147" s="363"/>
      <c r="M147" s="183"/>
      <c r="N147" s="363"/>
      <c r="O147" s="183"/>
      <c r="P147" s="363"/>
      <c r="Q147" s="86">
        <f t="shared" si="6"/>
        <v>0</v>
      </c>
      <c r="R147" s="376"/>
      <c r="S147" s="374"/>
      <c r="T147" s="376"/>
      <c r="U147" s="374"/>
      <c r="V147" s="376"/>
      <c r="W147" s="374"/>
      <c r="X147" s="376"/>
      <c r="Y147" s="374"/>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3">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3"/>
      <c r="K148" s="183">
        <v>125720800</v>
      </c>
      <c r="L148" s="363"/>
      <c r="M148" s="183"/>
      <c r="N148" s="363"/>
      <c r="O148" s="183"/>
      <c r="P148" s="363"/>
      <c r="Q148" s="86">
        <f t="shared" si="6"/>
        <v>165720800</v>
      </c>
      <c r="R148" s="376"/>
      <c r="S148" s="374"/>
      <c r="T148" s="376"/>
      <c r="U148" s="374"/>
      <c r="V148" s="376"/>
      <c r="W148" s="374"/>
      <c r="X148" s="376"/>
      <c r="Y148" s="374"/>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3">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3"/>
      <c r="K149" s="183"/>
      <c r="L149" s="363"/>
      <c r="M149" s="183"/>
      <c r="N149" s="363"/>
      <c r="O149" s="183"/>
      <c r="P149" s="363"/>
      <c r="Q149" s="86">
        <f t="shared" si="6"/>
        <v>159203272</v>
      </c>
      <c r="R149" s="376" t="s">
        <v>381</v>
      </c>
      <c r="S149" s="374">
        <v>41975</v>
      </c>
      <c r="T149" s="376"/>
      <c r="U149" s="374"/>
      <c r="V149" s="376"/>
      <c r="W149" s="374"/>
      <c r="X149" s="376"/>
      <c r="Y149" s="374"/>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3">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3"/>
      <c r="K150" s="183"/>
      <c r="L150" s="363"/>
      <c r="M150" s="183"/>
      <c r="N150" s="363"/>
      <c r="O150" s="183"/>
      <c r="P150" s="363"/>
      <c r="Q150" s="86">
        <f t="shared" si="6"/>
        <v>0</v>
      </c>
      <c r="R150" s="376"/>
      <c r="S150" s="374"/>
      <c r="T150" s="376"/>
      <c r="U150" s="374"/>
      <c r="V150" s="376"/>
      <c r="W150" s="374"/>
      <c r="X150" s="376"/>
      <c r="Y150" s="374"/>
      <c r="Z150" s="388"/>
      <c r="AA150" s="88"/>
      <c r="AB150" s="236"/>
      <c r="AC150" s="236"/>
      <c r="AD150" s="236"/>
      <c r="AE150" s="236"/>
      <c r="AF150" s="236"/>
      <c r="AG150" s="236"/>
      <c r="AH150" s="236"/>
      <c r="AI150" s="236"/>
      <c r="AJ150" s="236"/>
      <c r="AK150" s="236"/>
      <c r="AL150" s="236"/>
      <c r="AM150" s="236"/>
      <c r="AN150" s="236"/>
      <c r="AO150" s="236"/>
      <c r="AP150" s="236"/>
      <c r="AQ150" s="236"/>
      <c r="AR150" s="236"/>
      <c r="AS150" s="236"/>
      <c r="AT150" s="373">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3"/>
      <c r="K151" s="183"/>
      <c r="L151" s="363"/>
      <c r="M151" s="183"/>
      <c r="N151" s="363"/>
      <c r="O151" s="183"/>
      <c r="P151" s="363"/>
      <c r="Q151" s="86">
        <f t="shared" si="6"/>
        <v>0</v>
      </c>
      <c r="R151" s="376"/>
      <c r="S151" s="374"/>
      <c r="T151" s="376"/>
      <c r="U151" s="374"/>
      <c r="V151" s="376"/>
      <c r="W151" s="374"/>
      <c r="X151" s="376"/>
      <c r="Y151" s="374"/>
      <c r="Z151" s="389"/>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3">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3">
        <v>41999</v>
      </c>
      <c r="K152" s="183">
        <v>14000000</v>
      </c>
      <c r="L152" s="363">
        <v>42361</v>
      </c>
      <c r="M152" s="183">
        <v>550000000</v>
      </c>
      <c r="N152" s="363">
        <v>42501</v>
      </c>
      <c r="O152" s="183">
        <v>130000000</v>
      </c>
      <c r="P152" s="363">
        <v>42927</v>
      </c>
      <c r="Q152" s="86">
        <f t="shared" si="6"/>
        <v>1210934978</v>
      </c>
      <c r="R152" s="376" t="s">
        <v>1322</v>
      </c>
      <c r="S152" s="374">
        <v>42267</v>
      </c>
      <c r="T152" s="376" t="s">
        <v>2228</v>
      </c>
      <c r="U152" s="374">
        <v>42551</v>
      </c>
      <c r="V152" s="376" t="s">
        <v>2859</v>
      </c>
      <c r="W152" s="374">
        <v>43099</v>
      </c>
      <c r="X152" s="376" t="s">
        <v>382</v>
      </c>
      <c r="Y152" s="374">
        <v>43281</v>
      </c>
      <c r="Z152" s="390" t="s">
        <v>3746</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3">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3"/>
      <c r="K153" s="183"/>
      <c r="L153" s="363"/>
      <c r="M153" s="183"/>
      <c r="N153" s="363"/>
      <c r="O153" s="183"/>
      <c r="P153" s="363"/>
      <c r="Q153" s="86">
        <f t="shared" si="6"/>
        <v>0</v>
      </c>
      <c r="R153" s="376"/>
      <c r="S153" s="374"/>
      <c r="T153" s="376"/>
      <c r="U153" s="374"/>
      <c r="V153" s="376"/>
      <c r="W153" s="374"/>
      <c r="X153" s="376"/>
      <c r="Y153" s="374"/>
      <c r="Z153" s="391"/>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3">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3"/>
      <c r="K154" s="183"/>
      <c r="L154" s="363"/>
      <c r="M154" s="183"/>
      <c r="N154" s="363"/>
      <c r="O154" s="183"/>
      <c r="P154" s="363"/>
      <c r="Q154" s="86">
        <f t="shared" si="6"/>
        <v>0</v>
      </c>
      <c r="R154" s="376"/>
      <c r="S154" s="374"/>
      <c r="T154" s="376"/>
      <c r="U154" s="374"/>
      <c r="V154" s="376"/>
      <c r="W154" s="374"/>
      <c r="X154" s="376"/>
      <c r="Y154" s="374"/>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3">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3"/>
      <c r="K155" s="183"/>
      <c r="L155" s="363"/>
      <c r="M155" s="183"/>
      <c r="N155" s="363"/>
      <c r="O155" s="183"/>
      <c r="P155" s="363"/>
      <c r="Q155" s="86">
        <f t="shared" si="6"/>
        <v>0</v>
      </c>
      <c r="R155" s="376"/>
      <c r="S155" s="374"/>
      <c r="T155" s="376"/>
      <c r="U155" s="374"/>
      <c r="V155" s="376"/>
      <c r="W155" s="374"/>
      <c r="X155" s="376"/>
      <c r="Y155" s="374"/>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3">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3"/>
      <c r="K156" s="183"/>
      <c r="L156" s="363"/>
      <c r="M156" s="183"/>
      <c r="N156" s="363"/>
      <c r="O156" s="183"/>
      <c r="P156" s="363"/>
      <c r="Q156" s="86">
        <f t="shared" si="6"/>
        <v>0</v>
      </c>
      <c r="R156" s="376"/>
      <c r="S156" s="374"/>
      <c r="T156" s="376"/>
      <c r="U156" s="374"/>
      <c r="V156" s="376"/>
      <c r="W156" s="374"/>
      <c r="X156" s="376"/>
      <c r="Y156" s="374"/>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3">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3"/>
      <c r="K157" s="183"/>
      <c r="L157" s="363"/>
      <c r="M157" s="183"/>
      <c r="N157" s="363"/>
      <c r="O157" s="183"/>
      <c r="P157" s="363"/>
      <c r="Q157" s="86">
        <f t="shared" si="6"/>
        <v>0</v>
      </c>
      <c r="R157" s="376"/>
      <c r="S157" s="374"/>
      <c r="T157" s="376"/>
      <c r="U157" s="374"/>
      <c r="V157" s="376"/>
      <c r="W157" s="374"/>
      <c r="X157" s="376"/>
      <c r="Y157" s="374"/>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3">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3"/>
      <c r="K158" s="183"/>
      <c r="L158" s="363"/>
      <c r="M158" s="183"/>
      <c r="N158" s="363"/>
      <c r="O158" s="183"/>
      <c r="P158" s="363"/>
      <c r="Q158" s="86">
        <f t="shared" si="6"/>
        <v>0</v>
      </c>
      <c r="R158" s="376" t="s">
        <v>379</v>
      </c>
      <c r="S158" s="374">
        <v>41980</v>
      </c>
      <c r="T158" s="376"/>
      <c r="U158" s="374"/>
      <c r="V158" s="376"/>
      <c r="W158" s="374"/>
      <c r="X158" s="376"/>
      <c r="Y158" s="374"/>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3">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3"/>
      <c r="K159" s="183"/>
      <c r="L159" s="363"/>
      <c r="M159" s="183"/>
      <c r="N159" s="363"/>
      <c r="O159" s="183"/>
      <c r="P159" s="363"/>
      <c r="Q159" s="86">
        <f t="shared" si="6"/>
        <v>0</v>
      </c>
      <c r="R159" s="376"/>
      <c r="S159" s="374"/>
      <c r="T159" s="376"/>
      <c r="U159" s="374"/>
      <c r="V159" s="376"/>
      <c r="W159" s="374"/>
      <c r="X159" s="376"/>
      <c r="Y159" s="374"/>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3">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3"/>
      <c r="K160" s="183"/>
      <c r="L160" s="363"/>
      <c r="M160" s="183"/>
      <c r="N160" s="363"/>
      <c r="O160" s="183"/>
      <c r="P160" s="363"/>
      <c r="Q160" s="86">
        <f t="shared" si="6"/>
        <v>0</v>
      </c>
      <c r="R160" s="376"/>
      <c r="S160" s="374"/>
      <c r="T160" s="376"/>
      <c r="U160" s="374"/>
      <c r="V160" s="376"/>
      <c r="W160" s="374"/>
      <c r="X160" s="376"/>
      <c r="Y160" s="374"/>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3">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3"/>
      <c r="K161" s="183"/>
      <c r="L161" s="363"/>
      <c r="M161" s="183"/>
      <c r="N161" s="363"/>
      <c r="O161" s="183"/>
      <c r="P161" s="363"/>
      <c r="Q161" s="86">
        <f t="shared" si="6"/>
        <v>0</v>
      </c>
      <c r="R161" s="376"/>
      <c r="S161" s="374"/>
      <c r="T161" s="376"/>
      <c r="U161" s="374"/>
      <c r="V161" s="376"/>
      <c r="W161" s="374"/>
      <c r="X161" s="376"/>
      <c r="Y161" s="374"/>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3">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3"/>
      <c r="K162" s="183"/>
      <c r="L162" s="363"/>
      <c r="M162" s="183"/>
      <c r="N162" s="363"/>
      <c r="O162" s="183"/>
      <c r="P162" s="363"/>
      <c r="Q162" s="86">
        <f t="shared" si="6"/>
        <v>0</v>
      </c>
      <c r="R162" s="376" t="s">
        <v>378</v>
      </c>
      <c r="S162" s="374">
        <v>41766</v>
      </c>
      <c r="T162" s="376" t="s">
        <v>381</v>
      </c>
      <c r="U162" s="374">
        <v>41797</v>
      </c>
      <c r="V162" s="376"/>
      <c r="W162" s="374"/>
      <c r="X162" s="376"/>
      <c r="Y162" s="374"/>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3">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3"/>
      <c r="K163" s="183"/>
      <c r="L163" s="363"/>
      <c r="M163" s="183"/>
      <c r="N163" s="363"/>
      <c r="O163" s="183"/>
      <c r="P163" s="363"/>
      <c r="Q163" s="86">
        <f t="shared" si="6"/>
        <v>0</v>
      </c>
      <c r="R163" s="376"/>
      <c r="S163" s="374"/>
      <c r="T163" s="376"/>
      <c r="U163" s="374"/>
      <c r="V163" s="376"/>
      <c r="W163" s="374"/>
      <c r="X163" s="376"/>
      <c r="Y163" s="374"/>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3">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3"/>
      <c r="K164" s="183"/>
      <c r="L164" s="363"/>
      <c r="M164" s="183"/>
      <c r="N164" s="363"/>
      <c r="O164" s="183"/>
      <c r="P164" s="363"/>
      <c r="Q164" s="86">
        <f t="shared" si="6"/>
        <v>0</v>
      </c>
      <c r="R164" s="376"/>
      <c r="S164" s="374"/>
      <c r="T164" s="376"/>
      <c r="U164" s="374"/>
      <c r="V164" s="376"/>
      <c r="W164" s="374"/>
      <c r="X164" s="376"/>
      <c r="Y164" s="374"/>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3">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3"/>
      <c r="K165" s="183"/>
      <c r="L165" s="363"/>
      <c r="M165" s="183"/>
      <c r="N165" s="363"/>
      <c r="O165" s="183"/>
      <c r="P165" s="363"/>
      <c r="Q165" s="86">
        <f t="shared" si="6"/>
        <v>0</v>
      </c>
      <c r="R165" s="376"/>
      <c r="S165" s="374"/>
      <c r="T165" s="376"/>
      <c r="U165" s="374"/>
      <c r="V165" s="376"/>
      <c r="W165" s="374"/>
      <c r="X165" s="376"/>
      <c r="Y165" s="374"/>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3">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3">
        <v>41982</v>
      </c>
      <c r="K166" s="183"/>
      <c r="L166" s="363"/>
      <c r="M166" s="183"/>
      <c r="N166" s="363"/>
      <c r="O166" s="183"/>
      <c r="P166" s="363"/>
      <c r="Q166" s="86">
        <f t="shared" si="6"/>
        <v>30000000</v>
      </c>
      <c r="R166" s="376"/>
      <c r="S166" s="374"/>
      <c r="T166" s="376"/>
      <c r="U166" s="374"/>
      <c r="V166" s="376"/>
      <c r="W166" s="374"/>
      <c r="X166" s="376"/>
      <c r="Y166" s="374"/>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3">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3"/>
      <c r="K167" s="183"/>
      <c r="L167" s="363"/>
      <c r="M167" s="183"/>
      <c r="N167" s="363"/>
      <c r="O167" s="183"/>
      <c r="P167" s="363"/>
      <c r="Q167" s="86">
        <f t="shared" si="6"/>
        <v>0</v>
      </c>
      <c r="R167" s="376"/>
      <c r="S167" s="374"/>
      <c r="T167" s="376"/>
      <c r="U167" s="374"/>
      <c r="V167" s="376"/>
      <c r="W167" s="374"/>
      <c r="X167" s="376"/>
      <c r="Y167" s="374"/>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3">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3"/>
      <c r="K168" s="183"/>
      <c r="L168" s="363"/>
      <c r="M168" s="183"/>
      <c r="N168" s="363"/>
      <c r="O168" s="183"/>
      <c r="P168" s="363"/>
      <c r="Q168" s="86">
        <f t="shared" si="6"/>
        <v>0</v>
      </c>
      <c r="R168" s="376"/>
      <c r="S168" s="374"/>
      <c r="T168" s="376"/>
      <c r="U168" s="374"/>
      <c r="V168" s="376"/>
      <c r="W168" s="374"/>
      <c r="X168" s="376"/>
      <c r="Y168" s="374"/>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3">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3"/>
      <c r="K169" s="183"/>
      <c r="L169" s="363"/>
      <c r="M169" s="183"/>
      <c r="N169" s="363"/>
      <c r="O169" s="183"/>
      <c r="P169" s="363"/>
      <c r="Q169" s="86">
        <f t="shared" si="6"/>
        <v>0</v>
      </c>
      <c r="R169" s="376"/>
      <c r="S169" s="374"/>
      <c r="T169" s="376"/>
      <c r="U169" s="374"/>
      <c r="V169" s="376"/>
      <c r="W169" s="374"/>
      <c r="X169" s="376"/>
      <c r="Y169" s="374"/>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3">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3"/>
      <c r="K170" s="183"/>
      <c r="L170" s="363"/>
      <c r="M170" s="183"/>
      <c r="N170" s="363"/>
      <c r="O170" s="183"/>
      <c r="P170" s="363"/>
      <c r="Q170" s="86">
        <f t="shared" si="6"/>
        <v>0</v>
      </c>
      <c r="R170" s="376"/>
      <c r="S170" s="374"/>
      <c r="T170" s="376"/>
      <c r="U170" s="374"/>
      <c r="V170" s="376"/>
      <c r="W170" s="374"/>
      <c r="X170" s="376"/>
      <c r="Y170" s="374"/>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3">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3"/>
      <c r="K171" s="183"/>
      <c r="L171" s="363"/>
      <c r="M171" s="183"/>
      <c r="N171" s="363"/>
      <c r="O171" s="183"/>
      <c r="P171" s="363"/>
      <c r="Q171" s="86">
        <f t="shared" si="6"/>
        <v>0</v>
      </c>
      <c r="R171" s="376"/>
      <c r="S171" s="374"/>
      <c r="T171" s="376"/>
      <c r="U171" s="374"/>
      <c r="V171" s="376"/>
      <c r="W171" s="374"/>
      <c r="X171" s="376"/>
      <c r="Y171" s="374"/>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3">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3"/>
      <c r="K172" s="183"/>
      <c r="L172" s="363"/>
      <c r="M172" s="183"/>
      <c r="N172" s="363"/>
      <c r="O172" s="183"/>
      <c r="P172" s="363"/>
      <c r="Q172" s="86">
        <f t="shared" si="6"/>
        <v>0</v>
      </c>
      <c r="R172" s="376"/>
      <c r="S172" s="374"/>
      <c r="T172" s="376"/>
      <c r="U172" s="374"/>
      <c r="V172" s="376"/>
      <c r="W172" s="374"/>
      <c r="X172" s="376"/>
      <c r="Y172" s="374"/>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3">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3"/>
      <c r="K173" s="183"/>
      <c r="L173" s="363"/>
      <c r="M173" s="183"/>
      <c r="N173" s="363"/>
      <c r="O173" s="183"/>
      <c r="P173" s="363"/>
      <c r="Q173" s="86">
        <f t="shared" si="6"/>
        <v>0</v>
      </c>
      <c r="R173" s="376"/>
      <c r="S173" s="374"/>
      <c r="T173" s="376"/>
      <c r="U173" s="374"/>
      <c r="V173" s="376"/>
      <c r="W173" s="374"/>
      <c r="X173" s="376"/>
      <c r="Y173" s="374"/>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3">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3"/>
      <c r="K174" s="183"/>
      <c r="L174" s="363"/>
      <c r="M174" s="183"/>
      <c r="N174" s="363"/>
      <c r="O174" s="183"/>
      <c r="P174" s="363"/>
      <c r="Q174" s="86">
        <f t="shared" si="6"/>
        <v>0</v>
      </c>
      <c r="R174" s="376" t="s">
        <v>1325</v>
      </c>
      <c r="S174" s="374">
        <v>41789</v>
      </c>
      <c r="T174" s="376"/>
      <c r="U174" s="374"/>
      <c r="V174" s="376"/>
      <c r="W174" s="374"/>
      <c r="X174" s="376"/>
      <c r="Y174" s="374"/>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3">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3"/>
      <c r="K175" s="183"/>
      <c r="L175" s="363"/>
      <c r="M175" s="183"/>
      <c r="N175" s="363"/>
      <c r="O175" s="183"/>
      <c r="P175" s="363"/>
      <c r="Q175" s="86">
        <f t="shared" si="6"/>
        <v>0</v>
      </c>
      <c r="R175" s="376" t="s">
        <v>378</v>
      </c>
      <c r="S175" s="374">
        <v>42129</v>
      </c>
      <c r="T175" s="376"/>
      <c r="U175" s="374"/>
      <c r="V175" s="376"/>
      <c r="W175" s="374"/>
      <c r="X175" s="376"/>
      <c r="Y175" s="374"/>
      <c r="Z175" s="389"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3">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3"/>
      <c r="K176" s="183"/>
      <c r="L176" s="363"/>
      <c r="M176" s="183"/>
      <c r="N176" s="363"/>
      <c r="O176" s="183"/>
      <c r="P176" s="363"/>
      <c r="Q176" s="86">
        <f t="shared" si="6"/>
        <v>0</v>
      </c>
      <c r="R176" s="376"/>
      <c r="S176" s="374"/>
      <c r="T176" s="376"/>
      <c r="U176" s="374"/>
      <c r="V176" s="376"/>
      <c r="W176" s="374"/>
      <c r="X176" s="376"/>
      <c r="Y176" s="374"/>
      <c r="Z176" s="392"/>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3">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3"/>
      <c r="K177" s="183"/>
      <c r="L177" s="363"/>
      <c r="M177" s="183"/>
      <c r="N177" s="363"/>
      <c r="O177" s="183"/>
      <c r="P177" s="363"/>
      <c r="Q177" s="86">
        <f t="shared" si="6"/>
        <v>0</v>
      </c>
      <c r="R177" s="376"/>
      <c r="S177" s="374"/>
      <c r="T177" s="376"/>
      <c r="U177" s="374"/>
      <c r="V177" s="376"/>
      <c r="W177" s="374"/>
      <c r="X177" s="376"/>
      <c r="Y177" s="374"/>
      <c r="Z177" s="380"/>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3">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3"/>
      <c r="K178" s="183"/>
      <c r="L178" s="363"/>
      <c r="M178" s="183"/>
      <c r="N178" s="363"/>
      <c r="O178" s="183"/>
      <c r="P178" s="363"/>
      <c r="Q178" s="86">
        <f t="shared" si="6"/>
        <v>0</v>
      </c>
      <c r="R178" s="376"/>
      <c r="S178" s="374"/>
      <c r="T178" s="376"/>
      <c r="U178" s="374"/>
      <c r="V178" s="376"/>
      <c r="W178" s="374"/>
      <c r="X178" s="376"/>
      <c r="Y178" s="374"/>
      <c r="Z178" s="380"/>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3">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3"/>
      <c r="K179" s="183"/>
      <c r="L179" s="363"/>
      <c r="M179" s="183"/>
      <c r="N179" s="363"/>
      <c r="O179" s="183"/>
      <c r="P179" s="363"/>
      <c r="Q179" s="86">
        <f t="shared" si="6"/>
        <v>0</v>
      </c>
      <c r="R179" s="376"/>
      <c r="S179" s="374"/>
      <c r="T179" s="376"/>
      <c r="U179" s="374"/>
      <c r="V179" s="376"/>
      <c r="W179" s="374"/>
      <c r="X179" s="376"/>
      <c r="Y179" s="374"/>
      <c r="Z179" s="380"/>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3">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3"/>
      <c r="K180" s="183"/>
      <c r="L180" s="363"/>
      <c r="M180" s="183"/>
      <c r="N180" s="363"/>
      <c r="O180" s="183"/>
      <c r="P180" s="363"/>
      <c r="Q180" s="86">
        <f t="shared" si="6"/>
        <v>0</v>
      </c>
      <c r="R180" s="376"/>
      <c r="S180" s="374"/>
      <c r="T180" s="376"/>
      <c r="U180" s="374"/>
      <c r="V180" s="376"/>
      <c r="W180" s="374"/>
      <c r="X180" s="376"/>
      <c r="Y180" s="374"/>
      <c r="Z180" s="380"/>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3">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3"/>
      <c r="K181" s="183"/>
      <c r="L181" s="363"/>
      <c r="M181" s="183"/>
      <c r="N181" s="363"/>
      <c r="O181" s="183"/>
      <c r="P181" s="363"/>
      <c r="Q181" s="86">
        <f t="shared" si="6"/>
        <v>0</v>
      </c>
      <c r="R181" s="376"/>
      <c r="S181" s="374"/>
      <c r="T181" s="376"/>
      <c r="U181" s="374"/>
      <c r="V181" s="376"/>
      <c r="W181" s="374"/>
      <c r="X181" s="376"/>
      <c r="Y181" s="374"/>
      <c r="Z181" s="380"/>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3">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3"/>
      <c r="K182" s="183"/>
      <c r="L182" s="363"/>
      <c r="M182" s="183"/>
      <c r="N182" s="363"/>
      <c r="O182" s="183"/>
      <c r="P182" s="363"/>
      <c r="Q182" s="86">
        <f t="shared" si="6"/>
        <v>0</v>
      </c>
      <c r="R182" s="376"/>
      <c r="S182" s="374"/>
      <c r="T182" s="376"/>
      <c r="U182" s="374"/>
      <c r="V182" s="376"/>
      <c r="W182" s="374"/>
      <c r="X182" s="376"/>
      <c r="Y182" s="374"/>
      <c r="Z182" s="380"/>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3">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3"/>
      <c r="K183" s="183"/>
      <c r="L183" s="363"/>
      <c r="M183" s="183"/>
      <c r="N183" s="363"/>
      <c r="O183" s="183"/>
      <c r="P183" s="363"/>
      <c r="Q183" s="86">
        <f t="shared" si="6"/>
        <v>0</v>
      </c>
      <c r="R183" s="376"/>
      <c r="S183" s="374"/>
      <c r="T183" s="376"/>
      <c r="U183" s="374"/>
      <c r="V183" s="376"/>
      <c r="W183" s="374"/>
      <c r="X183" s="376"/>
      <c r="Y183" s="374"/>
      <c r="Z183" s="380"/>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3">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3"/>
      <c r="K184" s="183"/>
      <c r="L184" s="363"/>
      <c r="M184" s="183"/>
      <c r="N184" s="363"/>
      <c r="O184" s="183"/>
      <c r="P184" s="363"/>
      <c r="Q184" s="86">
        <f t="shared" si="6"/>
        <v>0</v>
      </c>
      <c r="R184" s="376"/>
      <c r="S184" s="374"/>
      <c r="T184" s="376"/>
      <c r="U184" s="374"/>
      <c r="V184" s="376"/>
      <c r="W184" s="374"/>
      <c r="X184" s="376"/>
      <c r="Y184" s="374"/>
      <c r="Z184" s="380"/>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3">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3"/>
      <c r="K185" s="183"/>
      <c r="L185" s="363"/>
      <c r="M185" s="183"/>
      <c r="N185" s="363"/>
      <c r="O185" s="183"/>
      <c r="P185" s="363"/>
      <c r="Q185" s="86">
        <f t="shared" si="6"/>
        <v>0</v>
      </c>
      <c r="R185" s="376"/>
      <c r="S185" s="374"/>
      <c r="T185" s="376"/>
      <c r="U185" s="374"/>
      <c r="V185" s="376"/>
      <c r="W185" s="374"/>
      <c r="X185" s="376"/>
      <c r="Y185" s="374"/>
      <c r="Z185" s="380"/>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3">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3"/>
      <c r="K186" s="183"/>
      <c r="L186" s="363"/>
      <c r="M186" s="183"/>
      <c r="N186" s="363"/>
      <c r="O186" s="183"/>
      <c r="P186" s="363"/>
      <c r="Q186" s="86">
        <f t="shared" si="6"/>
        <v>0</v>
      </c>
      <c r="R186" s="376"/>
      <c r="S186" s="374"/>
      <c r="T186" s="376"/>
      <c r="U186" s="374"/>
      <c r="V186" s="376"/>
      <c r="W186" s="374"/>
      <c r="X186" s="376"/>
      <c r="Y186" s="374"/>
      <c r="Z186" s="380"/>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3">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3"/>
      <c r="K187" s="183"/>
      <c r="L187" s="363"/>
      <c r="M187" s="183"/>
      <c r="N187" s="363"/>
      <c r="O187" s="183"/>
      <c r="P187" s="363"/>
      <c r="Q187" s="86">
        <f t="shared" si="6"/>
        <v>0</v>
      </c>
      <c r="R187" s="376"/>
      <c r="S187" s="374"/>
      <c r="T187" s="376"/>
      <c r="U187" s="374"/>
      <c r="V187" s="376"/>
      <c r="W187" s="374"/>
      <c r="X187" s="376"/>
      <c r="Y187" s="374"/>
      <c r="Z187" s="380"/>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3">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3"/>
      <c r="K188" s="183"/>
      <c r="L188" s="363"/>
      <c r="M188" s="183"/>
      <c r="N188" s="363"/>
      <c r="O188" s="183"/>
      <c r="P188" s="363"/>
      <c r="Q188" s="86">
        <f t="shared" si="6"/>
        <v>0</v>
      </c>
      <c r="R188" s="376"/>
      <c r="S188" s="374"/>
      <c r="T188" s="376"/>
      <c r="U188" s="374"/>
      <c r="V188" s="376"/>
      <c r="W188" s="374"/>
      <c r="X188" s="376"/>
      <c r="Y188" s="374"/>
      <c r="Z188" s="380"/>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3">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3"/>
      <c r="K189" s="183"/>
      <c r="L189" s="363"/>
      <c r="M189" s="183"/>
      <c r="N189" s="363"/>
      <c r="O189" s="183"/>
      <c r="P189" s="363"/>
      <c r="Q189" s="86">
        <f t="shared" si="6"/>
        <v>0</v>
      </c>
      <c r="R189" s="376"/>
      <c r="S189" s="374"/>
      <c r="T189" s="376"/>
      <c r="U189" s="374"/>
      <c r="V189" s="376"/>
      <c r="W189" s="374"/>
      <c r="X189" s="376"/>
      <c r="Y189" s="374"/>
      <c r="Z189" s="380"/>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3">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3"/>
      <c r="K190" s="183"/>
      <c r="L190" s="363"/>
      <c r="M190" s="183"/>
      <c r="N190" s="363"/>
      <c r="O190" s="183"/>
      <c r="P190" s="363"/>
      <c r="Q190" s="86">
        <f t="shared" si="6"/>
        <v>0</v>
      </c>
      <c r="R190" s="376"/>
      <c r="S190" s="374"/>
      <c r="T190" s="376"/>
      <c r="U190" s="374"/>
      <c r="V190" s="376"/>
      <c r="W190" s="374"/>
      <c r="X190" s="376"/>
      <c r="Y190" s="374"/>
      <c r="Z190" s="380"/>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3">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3"/>
      <c r="K191" s="183"/>
      <c r="L191" s="363"/>
      <c r="M191" s="183"/>
      <c r="N191" s="363"/>
      <c r="O191" s="183"/>
      <c r="P191" s="363"/>
      <c r="Q191" s="86">
        <f t="shared" si="6"/>
        <v>0</v>
      </c>
      <c r="R191" s="376"/>
      <c r="S191" s="374">
        <v>41887</v>
      </c>
      <c r="T191" s="376"/>
      <c r="U191" s="374"/>
      <c r="V191" s="376"/>
      <c r="W191" s="374"/>
      <c r="X191" s="376"/>
      <c r="Y191" s="374"/>
      <c r="Z191" s="380"/>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3">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3"/>
      <c r="K192" s="183"/>
      <c r="L192" s="363"/>
      <c r="M192" s="183"/>
      <c r="N192" s="363"/>
      <c r="O192" s="183"/>
      <c r="P192" s="363"/>
      <c r="Q192" s="86">
        <f t="shared" si="6"/>
        <v>0</v>
      </c>
      <c r="R192" s="376"/>
      <c r="S192" s="374"/>
      <c r="T192" s="376"/>
      <c r="U192" s="374"/>
      <c r="V192" s="376"/>
      <c r="W192" s="374"/>
      <c r="X192" s="376"/>
      <c r="Y192" s="374"/>
      <c r="Z192" s="380"/>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3">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3">
        <v>41978</v>
      </c>
      <c r="K193" s="183"/>
      <c r="L193" s="363"/>
      <c r="M193" s="183"/>
      <c r="N193" s="363"/>
      <c r="O193" s="183"/>
      <c r="P193" s="363"/>
      <c r="Q193" s="86">
        <f t="shared" si="6"/>
        <v>10300000</v>
      </c>
      <c r="R193" s="376" t="s">
        <v>378</v>
      </c>
      <c r="S193" s="374">
        <v>42041</v>
      </c>
      <c r="T193" s="376"/>
      <c r="U193" s="374">
        <v>42006</v>
      </c>
      <c r="V193" s="376"/>
      <c r="W193" s="374"/>
      <c r="X193" s="376"/>
      <c r="Y193" s="374"/>
      <c r="Z193" s="380"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3">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3"/>
      <c r="K194" s="183"/>
      <c r="L194" s="363"/>
      <c r="M194" s="183"/>
      <c r="N194" s="363"/>
      <c r="O194" s="183"/>
      <c r="P194" s="363"/>
      <c r="Q194" s="86">
        <f t="shared" si="6"/>
        <v>0</v>
      </c>
      <c r="R194" s="376"/>
      <c r="S194" s="374"/>
      <c r="T194" s="376"/>
      <c r="U194" s="374"/>
      <c r="V194" s="376"/>
      <c r="W194" s="374"/>
      <c r="X194" s="376"/>
      <c r="Y194" s="374"/>
      <c r="Z194" s="380"/>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3">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3"/>
      <c r="K195" s="183"/>
      <c r="L195" s="363"/>
      <c r="M195" s="183"/>
      <c r="N195" s="363"/>
      <c r="O195" s="183"/>
      <c r="P195" s="363"/>
      <c r="Q195" s="86">
        <f t="shared" si="6"/>
        <v>0</v>
      </c>
      <c r="R195" s="376"/>
      <c r="S195" s="374"/>
      <c r="T195" s="376"/>
      <c r="U195" s="374"/>
      <c r="V195" s="376"/>
      <c r="W195" s="374"/>
      <c r="X195" s="376"/>
      <c r="Y195" s="374"/>
      <c r="Z195" s="380"/>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3">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3"/>
      <c r="K196" s="183"/>
      <c r="L196" s="363"/>
      <c r="M196" s="183"/>
      <c r="N196" s="363"/>
      <c r="O196" s="183"/>
      <c r="P196" s="363"/>
      <c r="Q196" s="86">
        <f t="shared" si="6"/>
        <v>77128875</v>
      </c>
      <c r="R196" s="376"/>
      <c r="S196" s="374"/>
      <c r="T196" s="376"/>
      <c r="U196" s="374"/>
      <c r="V196" s="376"/>
      <c r="W196" s="374"/>
      <c r="X196" s="376"/>
      <c r="Y196" s="374"/>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3">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3"/>
      <c r="K197" s="183"/>
      <c r="L197" s="363"/>
      <c r="M197" s="183"/>
      <c r="N197" s="363"/>
      <c r="O197" s="183"/>
      <c r="P197" s="363"/>
      <c r="Q197" s="86">
        <f t="shared" si="6"/>
        <v>0</v>
      </c>
      <c r="R197" s="376"/>
      <c r="S197" s="374"/>
      <c r="T197" s="376"/>
      <c r="U197" s="374"/>
      <c r="V197" s="376"/>
      <c r="W197" s="374"/>
      <c r="X197" s="376"/>
      <c r="Y197" s="374"/>
      <c r="Z197" s="380"/>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3">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3"/>
      <c r="K198" s="183"/>
      <c r="L198" s="363"/>
      <c r="M198" s="183"/>
      <c r="N198" s="363"/>
      <c r="O198" s="183"/>
      <c r="P198" s="363"/>
      <c r="Q198" s="86">
        <f t="shared" si="6"/>
        <v>282000</v>
      </c>
      <c r="R198" s="376"/>
      <c r="S198" s="374"/>
      <c r="T198" s="376"/>
      <c r="U198" s="374"/>
      <c r="V198" s="376"/>
      <c r="W198" s="374"/>
      <c r="X198" s="376"/>
      <c r="Y198" s="374"/>
      <c r="Z198" s="380"/>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3">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3"/>
      <c r="K199" s="183"/>
      <c r="L199" s="363"/>
      <c r="M199" s="183"/>
      <c r="N199" s="363"/>
      <c r="O199" s="183"/>
      <c r="P199" s="363"/>
      <c r="Q199" s="86">
        <f t="shared" si="6"/>
        <v>0</v>
      </c>
      <c r="R199" s="376"/>
      <c r="S199" s="374"/>
      <c r="T199" s="376"/>
      <c r="U199" s="374"/>
      <c r="V199" s="376"/>
      <c r="W199" s="374"/>
      <c r="X199" s="376"/>
      <c r="Y199" s="374"/>
      <c r="Z199" s="380"/>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3">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3"/>
      <c r="K200" s="183"/>
      <c r="L200" s="363"/>
      <c r="M200" s="183"/>
      <c r="N200" s="363"/>
      <c r="O200" s="183"/>
      <c r="P200" s="363"/>
      <c r="Q200" s="86">
        <f t="shared" ref="Q200:Q263" si="12">SUM(I200,K200,M200,O200)</f>
        <v>0</v>
      </c>
      <c r="R200" s="376"/>
      <c r="S200" s="374"/>
      <c r="T200" s="376"/>
      <c r="U200" s="374"/>
      <c r="V200" s="376"/>
      <c r="W200" s="374"/>
      <c r="X200" s="376"/>
      <c r="Y200" s="374"/>
      <c r="Z200" s="380"/>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3">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3"/>
      <c r="K201" s="183"/>
      <c r="L201" s="363"/>
      <c r="M201" s="183"/>
      <c r="N201" s="363"/>
      <c r="O201" s="183"/>
      <c r="P201" s="363"/>
      <c r="Q201" s="86">
        <f t="shared" si="12"/>
        <v>0</v>
      </c>
      <c r="R201" s="376"/>
      <c r="S201" s="374"/>
      <c r="T201" s="376"/>
      <c r="U201" s="374"/>
      <c r="V201" s="376"/>
      <c r="W201" s="374"/>
      <c r="X201" s="376"/>
      <c r="Y201" s="374"/>
      <c r="Z201" s="380"/>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3">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3">
        <v>42002</v>
      </c>
      <c r="K202" s="183"/>
      <c r="L202" s="363"/>
      <c r="M202" s="183"/>
      <c r="N202" s="363"/>
      <c r="O202" s="183"/>
      <c r="P202" s="363"/>
      <c r="Q202" s="86">
        <f t="shared" si="12"/>
        <v>10346000</v>
      </c>
      <c r="R202" s="376" t="s">
        <v>381</v>
      </c>
      <c r="S202" s="374">
        <v>42091</v>
      </c>
      <c r="T202" s="376"/>
      <c r="U202" s="374"/>
      <c r="V202" s="376"/>
      <c r="W202" s="374"/>
      <c r="X202" s="376"/>
      <c r="Y202" s="374"/>
      <c r="Z202" s="380"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3">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7">
        <v>6072600</v>
      </c>
      <c r="J203" s="363"/>
      <c r="K203" s="183"/>
      <c r="L203" s="363"/>
      <c r="M203" s="183"/>
      <c r="N203" s="363"/>
      <c r="O203" s="183"/>
      <c r="P203" s="363"/>
      <c r="Q203" s="86">
        <f t="shared" si="12"/>
        <v>6072600</v>
      </c>
      <c r="R203" s="376" t="s">
        <v>978</v>
      </c>
      <c r="S203" s="374">
        <v>41901</v>
      </c>
      <c r="T203" s="376"/>
      <c r="U203" s="374"/>
      <c r="V203" s="376"/>
      <c r="W203" s="374"/>
      <c r="X203" s="376"/>
      <c r="Y203" s="374"/>
      <c r="Z203" s="380"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3">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3"/>
      <c r="K204" s="183"/>
      <c r="L204" s="363"/>
      <c r="M204" s="183"/>
      <c r="N204" s="363"/>
      <c r="O204" s="183"/>
      <c r="P204" s="363"/>
      <c r="Q204" s="86">
        <f t="shared" si="12"/>
        <v>0</v>
      </c>
      <c r="R204" s="376"/>
      <c r="S204" s="374"/>
      <c r="T204" s="376"/>
      <c r="U204" s="374"/>
      <c r="V204" s="376"/>
      <c r="W204" s="374"/>
      <c r="X204" s="376"/>
      <c r="Y204" s="374"/>
      <c r="Z204" s="380"/>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3">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3"/>
      <c r="K205" s="183"/>
      <c r="L205" s="363"/>
      <c r="M205" s="183"/>
      <c r="N205" s="363"/>
      <c r="O205" s="183"/>
      <c r="P205" s="363"/>
      <c r="Q205" s="86">
        <f t="shared" si="12"/>
        <v>0</v>
      </c>
      <c r="R205" s="376"/>
      <c r="S205" s="374"/>
      <c r="T205" s="376"/>
      <c r="U205" s="374"/>
      <c r="V205" s="376"/>
      <c r="W205" s="374"/>
      <c r="X205" s="376"/>
      <c r="Y205" s="374"/>
      <c r="Z205" s="380"/>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3">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3">
        <v>42039</v>
      </c>
      <c r="K206" s="183"/>
      <c r="L206" s="363"/>
      <c r="M206" s="183"/>
      <c r="N206" s="363"/>
      <c r="O206" s="183"/>
      <c r="P206" s="363"/>
      <c r="Q206" s="86">
        <f t="shared" si="12"/>
        <v>5100746</v>
      </c>
      <c r="R206" s="376" t="s">
        <v>378</v>
      </c>
      <c r="S206" s="374">
        <v>42110</v>
      </c>
      <c r="T206" s="376" t="s">
        <v>1834</v>
      </c>
      <c r="U206" s="374">
        <v>42128</v>
      </c>
      <c r="V206" s="376"/>
      <c r="W206" s="374"/>
      <c r="X206" s="376"/>
      <c r="Y206" s="374"/>
      <c r="Z206" s="380"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3">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3"/>
      <c r="K207" s="183"/>
      <c r="L207" s="363"/>
      <c r="M207" s="183"/>
      <c r="N207" s="363"/>
      <c r="O207" s="183"/>
      <c r="P207" s="363"/>
      <c r="Q207" s="86">
        <f t="shared" si="12"/>
        <v>0</v>
      </c>
      <c r="R207" s="376"/>
      <c r="S207" s="374"/>
      <c r="T207" s="376"/>
      <c r="U207" s="374"/>
      <c r="V207" s="376"/>
      <c r="W207" s="374"/>
      <c r="X207" s="376"/>
      <c r="Y207" s="374"/>
      <c r="Z207" s="380"/>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3">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3"/>
      <c r="K208" s="183"/>
      <c r="L208" s="363"/>
      <c r="M208" s="183"/>
      <c r="N208" s="363"/>
      <c r="O208" s="183"/>
      <c r="P208" s="363"/>
      <c r="Q208" s="86">
        <f t="shared" si="12"/>
        <v>0</v>
      </c>
      <c r="R208" s="376"/>
      <c r="S208" s="374"/>
      <c r="T208" s="376"/>
      <c r="U208" s="374"/>
      <c r="V208" s="376"/>
      <c r="W208" s="374"/>
      <c r="X208" s="376"/>
      <c r="Y208" s="374"/>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3">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3"/>
      <c r="K209" s="183"/>
      <c r="L209" s="363"/>
      <c r="M209" s="183"/>
      <c r="N209" s="363"/>
      <c r="O209" s="183"/>
      <c r="P209" s="363"/>
      <c r="Q209" s="86">
        <f t="shared" si="12"/>
        <v>0</v>
      </c>
      <c r="R209" s="376"/>
      <c r="S209" s="374"/>
      <c r="T209" s="376"/>
      <c r="U209" s="374"/>
      <c r="V209" s="376"/>
      <c r="W209" s="374"/>
      <c r="X209" s="376"/>
      <c r="Y209" s="374"/>
      <c r="Z209" s="380"/>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3">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3"/>
      <c r="K210" s="183"/>
      <c r="L210" s="363"/>
      <c r="M210" s="183"/>
      <c r="N210" s="363"/>
      <c r="O210" s="183"/>
      <c r="P210" s="363"/>
      <c r="Q210" s="86">
        <f t="shared" si="12"/>
        <v>0</v>
      </c>
      <c r="R210" s="376" t="s">
        <v>378</v>
      </c>
      <c r="S210" s="374">
        <v>42128</v>
      </c>
      <c r="T210" s="376" t="s">
        <v>382</v>
      </c>
      <c r="U210" s="374">
        <v>42312</v>
      </c>
      <c r="V210" s="376"/>
      <c r="W210" s="374"/>
      <c r="X210" s="376"/>
      <c r="Y210" s="374"/>
      <c r="Z210" s="380"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3">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3"/>
      <c r="K211" s="183"/>
      <c r="L211" s="363"/>
      <c r="M211" s="183"/>
      <c r="N211" s="363"/>
      <c r="O211" s="183"/>
      <c r="P211" s="363"/>
      <c r="Q211" s="86">
        <f t="shared" si="12"/>
        <v>0</v>
      </c>
      <c r="R211" s="376"/>
      <c r="S211" s="374"/>
      <c r="T211" s="376"/>
      <c r="U211" s="374"/>
      <c r="V211" s="376"/>
      <c r="W211" s="374"/>
      <c r="X211" s="376"/>
      <c r="Y211" s="374"/>
      <c r="Z211" s="380"/>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3">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3"/>
      <c r="K212" s="183"/>
      <c r="L212" s="363"/>
      <c r="M212" s="183"/>
      <c r="N212" s="363"/>
      <c r="O212" s="183"/>
      <c r="P212" s="363"/>
      <c r="Q212" s="86">
        <f t="shared" si="12"/>
        <v>0</v>
      </c>
      <c r="R212" s="376" t="s">
        <v>1875</v>
      </c>
      <c r="S212" s="374">
        <v>42170</v>
      </c>
      <c r="T212" s="376" t="s">
        <v>2004</v>
      </c>
      <c r="U212" s="374">
        <v>42186</v>
      </c>
      <c r="V212" s="376"/>
      <c r="W212" s="374"/>
      <c r="X212" s="376"/>
      <c r="Y212" s="374"/>
      <c r="Z212" s="380"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3">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3">
        <v>41989</v>
      </c>
      <c r="K213" s="183"/>
      <c r="L213" s="363"/>
      <c r="M213" s="183"/>
      <c r="N213" s="363"/>
      <c r="O213" s="183"/>
      <c r="P213" s="363"/>
      <c r="Q213" s="86">
        <f t="shared" si="12"/>
        <v>1015608000</v>
      </c>
      <c r="R213" s="376" t="s">
        <v>379</v>
      </c>
      <c r="S213" s="374">
        <v>42111</v>
      </c>
      <c r="T213" s="376" t="s">
        <v>1637</v>
      </c>
      <c r="U213" s="374">
        <v>42116</v>
      </c>
      <c r="V213" s="376"/>
      <c r="W213" s="374"/>
      <c r="X213" s="376"/>
      <c r="Y213" s="374"/>
      <c r="Z213" s="380"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3">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3"/>
      <c r="K214" s="183"/>
      <c r="L214" s="363"/>
      <c r="M214" s="183"/>
      <c r="N214" s="363"/>
      <c r="O214" s="183"/>
      <c r="P214" s="363"/>
      <c r="Q214" s="86">
        <f t="shared" si="12"/>
        <v>0</v>
      </c>
      <c r="R214" s="376"/>
      <c r="S214" s="374"/>
      <c r="T214" s="376"/>
      <c r="U214" s="374"/>
      <c r="V214" s="376"/>
      <c r="W214" s="374"/>
      <c r="X214" s="376"/>
      <c r="Y214" s="374"/>
      <c r="Z214" s="380"/>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3">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3"/>
      <c r="K215" s="183"/>
      <c r="L215" s="363"/>
      <c r="M215" s="183"/>
      <c r="N215" s="363"/>
      <c r="O215" s="183"/>
      <c r="P215" s="363"/>
      <c r="Q215" s="86">
        <f t="shared" si="12"/>
        <v>0</v>
      </c>
      <c r="R215" s="376"/>
      <c r="S215" s="374"/>
      <c r="T215" s="376"/>
      <c r="U215" s="374"/>
      <c r="V215" s="376"/>
      <c r="W215" s="374"/>
      <c r="X215" s="376"/>
      <c r="Y215" s="374"/>
      <c r="Z215" s="380"/>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3">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3"/>
      <c r="K216" s="183"/>
      <c r="L216" s="363"/>
      <c r="M216" s="183"/>
      <c r="N216" s="363"/>
      <c r="O216" s="183"/>
      <c r="P216" s="363"/>
      <c r="Q216" s="86">
        <f t="shared" si="12"/>
        <v>0</v>
      </c>
      <c r="R216" s="376"/>
      <c r="S216" s="374"/>
      <c r="T216" s="376"/>
      <c r="U216" s="374"/>
      <c r="V216" s="376"/>
      <c r="W216" s="374"/>
      <c r="X216" s="376"/>
      <c r="Y216" s="374"/>
      <c r="Z216" s="380"/>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3">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3"/>
      <c r="K217" s="183"/>
      <c r="L217" s="363"/>
      <c r="M217" s="183"/>
      <c r="N217" s="363"/>
      <c r="O217" s="183"/>
      <c r="P217" s="363"/>
      <c r="Q217" s="86">
        <f t="shared" si="12"/>
        <v>0</v>
      </c>
      <c r="R217" s="376"/>
      <c r="S217" s="374"/>
      <c r="T217" s="376"/>
      <c r="U217" s="374"/>
      <c r="V217" s="376"/>
      <c r="W217" s="374"/>
      <c r="X217" s="376"/>
      <c r="Y217" s="374"/>
      <c r="Z217" s="380"/>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3">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3"/>
      <c r="K218" s="183"/>
      <c r="L218" s="363"/>
      <c r="M218" s="183"/>
      <c r="N218" s="363"/>
      <c r="O218" s="183"/>
      <c r="P218" s="363"/>
      <c r="Q218" s="86">
        <f t="shared" si="12"/>
        <v>0</v>
      </c>
      <c r="R218" s="376" t="s">
        <v>379</v>
      </c>
      <c r="S218" s="374">
        <v>42186</v>
      </c>
      <c r="T218" s="376"/>
      <c r="U218" s="374"/>
      <c r="V218" s="376"/>
      <c r="W218" s="374"/>
      <c r="X218" s="376"/>
      <c r="Y218" s="374"/>
      <c r="Z218" s="380"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3">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3">
        <v>42194</v>
      </c>
      <c r="K219" s="183"/>
      <c r="L219" s="363"/>
      <c r="M219" s="183"/>
      <c r="N219" s="363"/>
      <c r="O219" s="183"/>
      <c r="P219" s="363"/>
      <c r="Q219" s="86">
        <f t="shared" si="12"/>
        <v>2324400</v>
      </c>
      <c r="R219" s="376" t="s">
        <v>2093</v>
      </c>
      <c r="S219" s="374">
        <v>42247</v>
      </c>
      <c r="T219" s="376"/>
      <c r="U219" s="374"/>
      <c r="V219" s="376"/>
      <c r="W219" s="374"/>
      <c r="X219" s="376"/>
      <c r="Y219" s="374"/>
      <c r="Z219" s="380" t="s">
        <v>2093</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3">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3"/>
      <c r="K220" s="183"/>
      <c r="L220" s="363"/>
      <c r="M220" s="183"/>
      <c r="N220" s="363"/>
      <c r="O220" s="183"/>
      <c r="P220" s="363"/>
      <c r="Q220" s="86">
        <f t="shared" si="12"/>
        <v>0</v>
      </c>
      <c r="R220" s="376"/>
      <c r="S220" s="374"/>
      <c r="T220" s="376"/>
      <c r="U220" s="374"/>
      <c r="V220" s="376"/>
      <c r="W220" s="374"/>
      <c r="X220" s="376"/>
      <c r="Y220" s="374"/>
      <c r="Z220" s="380"/>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3">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3"/>
      <c r="K221" s="183"/>
      <c r="L221" s="363"/>
      <c r="M221" s="183"/>
      <c r="N221" s="363"/>
      <c r="O221" s="183"/>
      <c r="P221" s="363"/>
      <c r="Q221" s="86">
        <f t="shared" si="12"/>
        <v>0</v>
      </c>
      <c r="R221" s="376"/>
      <c r="S221" s="374"/>
      <c r="T221" s="376"/>
      <c r="U221" s="374"/>
      <c r="V221" s="376"/>
      <c r="W221" s="374"/>
      <c r="X221" s="376"/>
      <c r="Y221" s="374"/>
      <c r="Z221" s="380"/>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3">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3"/>
      <c r="K222" s="183"/>
      <c r="L222" s="363"/>
      <c r="M222" s="183"/>
      <c r="N222" s="363"/>
      <c r="O222" s="183"/>
      <c r="P222" s="363"/>
      <c r="Q222" s="86">
        <f t="shared" si="12"/>
        <v>0</v>
      </c>
      <c r="R222" s="376"/>
      <c r="S222" s="374"/>
      <c r="T222" s="376"/>
      <c r="U222" s="374"/>
      <c r="V222" s="376"/>
      <c r="W222" s="374"/>
      <c r="X222" s="376"/>
      <c r="Y222" s="374"/>
      <c r="Z222" s="380"/>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3">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3"/>
      <c r="K223" s="183"/>
      <c r="L223" s="363"/>
      <c r="M223" s="183"/>
      <c r="N223" s="363"/>
      <c r="O223" s="183"/>
      <c r="P223" s="363"/>
      <c r="Q223" s="86">
        <f t="shared" si="12"/>
        <v>0</v>
      </c>
      <c r="R223" s="376"/>
      <c r="S223" s="374"/>
      <c r="T223" s="376"/>
      <c r="U223" s="374"/>
      <c r="V223" s="376"/>
      <c r="W223" s="374"/>
      <c r="X223" s="376"/>
      <c r="Y223" s="374"/>
      <c r="Z223" s="380"/>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3">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3"/>
      <c r="K224" s="183"/>
      <c r="L224" s="363"/>
      <c r="M224" s="183"/>
      <c r="N224" s="363"/>
      <c r="O224" s="183"/>
      <c r="P224" s="363"/>
      <c r="Q224" s="86">
        <f t="shared" si="12"/>
        <v>0</v>
      </c>
      <c r="R224" s="376" t="s">
        <v>964</v>
      </c>
      <c r="S224" s="374">
        <v>42216</v>
      </c>
      <c r="T224" s="376"/>
      <c r="U224" s="374"/>
      <c r="V224" s="376"/>
      <c r="W224" s="374"/>
      <c r="X224" s="376"/>
      <c r="Y224" s="374"/>
      <c r="Z224" s="380"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3">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3"/>
      <c r="K225" s="183"/>
      <c r="L225" s="363"/>
      <c r="M225" s="183"/>
      <c r="N225" s="363"/>
      <c r="O225" s="183"/>
      <c r="P225" s="363"/>
      <c r="Q225" s="86">
        <f t="shared" si="12"/>
        <v>0</v>
      </c>
      <c r="R225" s="376"/>
      <c r="S225" s="374"/>
      <c r="T225" s="376"/>
      <c r="U225" s="374"/>
      <c r="V225" s="376"/>
      <c r="W225" s="374"/>
      <c r="X225" s="376"/>
      <c r="Y225" s="374"/>
      <c r="Z225" s="380"/>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3">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3">
        <v>42076</v>
      </c>
      <c r="K226" s="183"/>
      <c r="L226" s="363"/>
      <c r="M226" s="183"/>
      <c r="N226" s="363"/>
      <c r="O226" s="183"/>
      <c r="P226" s="363"/>
      <c r="Q226" s="86">
        <f t="shared" si="12"/>
        <v>32600000</v>
      </c>
      <c r="R226" s="376" t="s">
        <v>378</v>
      </c>
      <c r="S226" s="374">
        <v>42139</v>
      </c>
      <c r="T226" s="376"/>
      <c r="U226" s="374"/>
      <c r="V226" s="376"/>
      <c r="W226" s="374"/>
      <c r="X226" s="376"/>
      <c r="Y226" s="374"/>
      <c r="Z226" s="357"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3">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3"/>
      <c r="K227" s="183"/>
      <c r="L227" s="363"/>
      <c r="M227" s="183"/>
      <c r="N227" s="363"/>
      <c r="O227" s="183"/>
      <c r="P227" s="363"/>
      <c r="Q227" s="86">
        <f t="shared" si="12"/>
        <v>0</v>
      </c>
      <c r="R227" s="376"/>
      <c r="S227" s="374"/>
      <c r="T227" s="376"/>
      <c r="U227" s="374"/>
      <c r="V227" s="376"/>
      <c r="W227" s="374"/>
      <c r="X227" s="376"/>
      <c r="Y227" s="374"/>
      <c r="Z227" s="357"/>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3">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3"/>
      <c r="K228" s="183"/>
      <c r="L228" s="363"/>
      <c r="M228" s="183"/>
      <c r="N228" s="363"/>
      <c r="O228" s="183"/>
      <c r="P228" s="363"/>
      <c r="Q228" s="86">
        <f t="shared" si="12"/>
        <v>0</v>
      </c>
      <c r="R228" s="376"/>
      <c r="S228" s="374"/>
      <c r="T228" s="376"/>
      <c r="U228" s="374"/>
      <c r="V228" s="376"/>
      <c r="W228" s="374"/>
      <c r="X228" s="376"/>
      <c r="Y228" s="374"/>
      <c r="Z228" s="357"/>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3">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3">
        <v>42034</v>
      </c>
      <c r="K229" s="183"/>
      <c r="L229" s="363"/>
      <c r="M229" s="183"/>
      <c r="N229" s="363"/>
      <c r="O229" s="183"/>
      <c r="P229" s="363"/>
      <c r="Q229" s="86">
        <f t="shared" si="12"/>
        <v>87669877</v>
      </c>
      <c r="R229" s="376" t="s">
        <v>966</v>
      </c>
      <c r="S229" s="374">
        <v>42108</v>
      </c>
      <c r="T229" s="376"/>
      <c r="U229" s="374"/>
      <c r="V229" s="376"/>
      <c r="W229" s="374"/>
      <c r="X229" s="376"/>
      <c r="Y229" s="374"/>
      <c r="Z229" s="357"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3">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3"/>
      <c r="K230" s="183"/>
      <c r="L230" s="363"/>
      <c r="M230" s="183"/>
      <c r="N230" s="363"/>
      <c r="O230" s="183"/>
      <c r="P230" s="363"/>
      <c r="Q230" s="86">
        <f t="shared" si="12"/>
        <v>0</v>
      </c>
      <c r="R230" s="376"/>
      <c r="S230" s="374"/>
      <c r="T230" s="376"/>
      <c r="U230" s="374"/>
      <c r="V230" s="376"/>
      <c r="W230" s="374"/>
      <c r="X230" s="376"/>
      <c r="Y230" s="374"/>
      <c r="Z230" s="357"/>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3">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3"/>
      <c r="K231" s="183"/>
      <c r="L231" s="363"/>
      <c r="M231" s="183"/>
      <c r="N231" s="363"/>
      <c r="O231" s="183"/>
      <c r="P231" s="363"/>
      <c r="Q231" s="86">
        <f t="shared" si="12"/>
        <v>0</v>
      </c>
      <c r="R231" s="376"/>
      <c r="S231" s="374"/>
      <c r="T231" s="376"/>
      <c r="U231" s="374"/>
      <c r="V231" s="376"/>
      <c r="W231" s="374"/>
      <c r="X231" s="376"/>
      <c r="Y231" s="374"/>
      <c r="Z231" s="357"/>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3">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3"/>
      <c r="K232" s="183"/>
      <c r="L232" s="363"/>
      <c r="M232" s="183"/>
      <c r="N232" s="363"/>
      <c r="O232" s="183"/>
      <c r="P232" s="363"/>
      <c r="Q232" s="86">
        <f t="shared" si="12"/>
        <v>0</v>
      </c>
      <c r="R232" s="376"/>
      <c r="S232" s="374"/>
      <c r="T232" s="376"/>
      <c r="U232" s="374"/>
      <c r="V232" s="376"/>
      <c r="W232" s="374"/>
      <c r="X232" s="376"/>
      <c r="Y232" s="374"/>
      <c r="Z232" s="357"/>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3">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3"/>
      <c r="K233" s="183"/>
      <c r="L233" s="363"/>
      <c r="M233" s="183"/>
      <c r="N233" s="363"/>
      <c r="O233" s="183"/>
      <c r="P233" s="363"/>
      <c r="Q233" s="86">
        <f t="shared" si="12"/>
        <v>0</v>
      </c>
      <c r="R233" s="376"/>
      <c r="S233" s="374"/>
      <c r="T233" s="376"/>
      <c r="U233" s="374"/>
      <c r="V233" s="376"/>
      <c r="W233" s="374"/>
      <c r="X233" s="376"/>
      <c r="Y233" s="374"/>
      <c r="Z233" s="357"/>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3">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3"/>
      <c r="K234" s="183"/>
      <c r="L234" s="363"/>
      <c r="M234" s="183"/>
      <c r="N234" s="363"/>
      <c r="O234" s="183"/>
      <c r="P234" s="363"/>
      <c r="Q234" s="86">
        <f t="shared" si="12"/>
        <v>0</v>
      </c>
      <c r="R234" s="376"/>
      <c r="S234" s="374"/>
      <c r="T234" s="376"/>
      <c r="U234" s="374"/>
      <c r="V234" s="376"/>
      <c r="W234" s="374"/>
      <c r="X234" s="376"/>
      <c r="Y234" s="374"/>
      <c r="Z234" s="357"/>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3">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3"/>
      <c r="K235" s="183"/>
      <c r="L235" s="363"/>
      <c r="M235" s="183"/>
      <c r="N235" s="363"/>
      <c r="O235" s="183"/>
      <c r="P235" s="363"/>
      <c r="Q235" s="86">
        <f t="shared" si="12"/>
        <v>0</v>
      </c>
      <c r="R235" s="376"/>
      <c r="S235" s="374"/>
      <c r="T235" s="376"/>
      <c r="U235" s="374"/>
      <c r="V235" s="376"/>
      <c r="W235" s="374"/>
      <c r="X235" s="376"/>
      <c r="Y235" s="374"/>
      <c r="Z235" s="357"/>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3">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3"/>
      <c r="K236" s="183"/>
      <c r="L236" s="363"/>
      <c r="M236" s="183"/>
      <c r="N236" s="363"/>
      <c r="O236" s="183"/>
      <c r="P236" s="363"/>
      <c r="Q236" s="86">
        <f t="shared" si="12"/>
        <v>0</v>
      </c>
      <c r="R236" s="376"/>
      <c r="S236" s="374"/>
      <c r="T236" s="376"/>
      <c r="U236" s="374"/>
      <c r="V236" s="376"/>
      <c r="W236" s="374"/>
      <c r="X236" s="376"/>
      <c r="Y236" s="374"/>
      <c r="Z236" s="357"/>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3">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3"/>
      <c r="K237" s="183"/>
      <c r="L237" s="363"/>
      <c r="M237" s="183"/>
      <c r="N237" s="363"/>
      <c r="O237" s="183"/>
      <c r="P237" s="363"/>
      <c r="Q237" s="86">
        <f t="shared" si="12"/>
        <v>0</v>
      </c>
      <c r="R237" s="376"/>
      <c r="S237" s="374"/>
      <c r="T237" s="376"/>
      <c r="U237" s="374"/>
      <c r="V237" s="376"/>
      <c r="W237" s="374"/>
      <c r="X237" s="376"/>
      <c r="Y237" s="374"/>
      <c r="Z237" s="357"/>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3">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3"/>
      <c r="K238" s="183"/>
      <c r="L238" s="363"/>
      <c r="M238" s="183"/>
      <c r="N238" s="363"/>
      <c r="O238" s="183"/>
      <c r="P238" s="363"/>
      <c r="Q238" s="86">
        <f t="shared" si="12"/>
        <v>0</v>
      </c>
      <c r="R238" s="376"/>
      <c r="S238" s="374"/>
      <c r="T238" s="376"/>
      <c r="U238" s="374"/>
      <c r="V238" s="376"/>
      <c r="W238" s="374"/>
      <c r="X238" s="376"/>
      <c r="Y238" s="374"/>
      <c r="Z238" s="357"/>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3">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3"/>
      <c r="K239" s="183"/>
      <c r="L239" s="363"/>
      <c r="M239" s="183"/>
      <c r="N239" s="363"/>
      <c r="O239" s="183"/>
      <c r="P239" s="363"/>
      <c r="Q239" s="86">
        <f t="shared" si="12"/>
        <v>0</v>
      </c>
      <c r="R239" s="376"/>
      <c r="S239" s="374"/>
      <c r="T239" s="376"/>
      <c r="U239" s="374"/>
      <c r="V239" s="376"/>
      <c r="W239" s="374"/>
      <c r="X239" s="376"/>
      <c r="Y239" s="374"/>
      <c r="Z239" s="357"/>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3">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3"/>
      <c r="K240" s="183"/>
      <c r="L240" s="363"/>
      <c r="M240" s="183"/>
      <c r="N240" s="363"/>
      <c r="O240" s="183"/>
      <c r="P240" s="363"/>
      <c r="Q240" s="86">
        <f t="shared" si="12"/>
        <v>0</v>
      </c>
      <c r="R240" s="376"/>
      <c r="S240" s="374"/>
      <c r="T240" s="376"/>
      <c r="U240" s="374"/>
      <c r="V240" s="376"/>
      <c r="W240" s="374"/>
      <c r="X240" s="376"/>
      <c r="Y240" s="374"/>
      <c r="Z240" s="357"/>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3">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3"/>
      <c r="K241" s="183"/>
      <c r="L241" s="363"/>
      <c r="M241" s="183"/>
      <c r="N241" s="363"/>
      <c r="O241" s="183"/>
      <c r="P241" s="363"/>
      <c r="Q241" s="86">
        <f t="shared" si="12"/>
        <v>0</v>
      </c>
      <c r="R241" s="376"/>
      <c r="S241" s="374"/>
      <c r="T241" s="376"/>
      <c r="U241" s="374"/>
      <c r="V241" s="376"/>
      <c r="W241" s="374"/>
      <c r="X241" s="376"/>
      <c r="Y241" s="374"/>
      <c r="Z241" s="357"/>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3">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3"/>
      <c r="K242" s="183"/>
      <c r="L242" s="363"/>
      <c r="M242" s="183"/>
      <c r="N242" s="363"/>
      <c r="O242" s="183"/>
      <c r="P242" s="363"/>
      <c r="Q242" s="86">
        <f t="shared" si="12"/>
        <v>0</v>
      </c>
      <c r="R242" s="376"/>
      <c r="S242" s="374"/>
      <c r="T242" s="376"/>
      <c r="U242" s="374"/>
      <c r="V242" s="376"/>
      <c r="W242" s="374"/>
      <c r="X242" s="376"/>
      <c r="Y242" s="374"/>
      <c r="Z242" s="357"/>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3"/>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3"/>
      <c r="K243" s="183"/>
      <c r="L243" s="363"/>
      <c r="M243" s="183"/>
      <c r="N243" s="363"/>
      <c r="O243" s="183"/>
      <c r="P243" s="363"/>
      <c r="Q243" s="86">
        <f t="shared" si="12"/>
        <v>0</v>
      </c>
      <c r="R243" s="376"/>
      <c r="S243" s="374"/>
      <c r="T243" s="376"/>
      <c r="U243" s="374"/>
      <c r="V243" s="376"/>
      <c r="W243" s="374"/>
      <c r="X243" s="376"/>
      <c r="Y243" s="374"/>
      <c r="Z243" s="357"/>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3">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3"/>
      <c r="K244" s="183"/>
      <c r="L244" s="363"/>
      <c r="M244" s="183"/>
      <c r="N244" s="363"/>
      <c r="O244" s="183"/>
      <c r="P244" s="363"/>
      <c r="Q244" s="86">
        <f t="shared" si="12"/>
        <v>0</v>
      </c>
      <c r="R244" s="376"/>
      <c r="S244" s="374"/>
      <c r="T244" s="376"/>
      <c r="U244" s="374"/>
      <c r="V244" s="376"/>
      <c r="W244" s="374"/>
      <c r="X244" s="376"/>
      <c r="Y244" s="374"/>
      <c r="Z244" s="357"/>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3">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3">
        <v>42291</v>
      </c>
      <c r="K245" s="183"/>
      <c r="L245" s="363"/>
      <c r="M245" s="183"/>
      <c r="N245" s="363"/>
      <c r="O245" s="183"/>
      <c r="P245" s="363"/>
      <c r="Q245" s="86">
        <f t="shared" si="12"/>
        <v>22272000</v>
      </c>
      <c r="R245" s="376" t="s">
        <v>382</v>
      </c>
      <c r="S245" s="374">
        <v>42477</v>
      </c>
      <c r="T245" s="376"/>
      <c r="U245" s="374"/>
      <c r="V245" s="376"/>
      <c r="W245" s="374"/>
      <c r="X245" s="376"/>
      <c r="Y245" s="374"/>
      <c r="Z245" s="357"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3">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3"/>
      <c r="K246" s="183"/>
      <c r="L246" s="363"/>
      <c r="M246" s="183"/>
      <c r="N246" s="363"/>
      <c r="O246" s="183"/>
      <c r="P246" s="363"/>
      <c r="Q246" s="86">
        <f t="shared" si="12"/>
        <v>0</v>
      </c>
      <c r="R246" s="376" t="s">
        <v>1617</v>
      </c>
      <c r="S246" s="374">
        <v>42116</v>
      </c>
      <c r="T246" s="376"/>
      <c r="U246" s="374"/>
      <c r="V246" s="376"/>
      <c r="W246" s="374"/>
      <c r="X246" s="376"/>
      <c r="Y246" s="374"/>
      <c r="Z246" s="357"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3">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3"/>
      <c r="K247" s="183"/>
      <c r="L247" s="363"/>
      <c r="M247" s="183"/>
      <c r="N247" s="363"/>
      <c r="O247" s="183"/>
      <c r="P247" s="363"/>
      <c r="Q247" s="86">
        <f t="shared" si="12"/>
        <v>0</v>
      </c>
      <c r="R247" s="376" t="s">
        <v>378</v>
      </c>
      <c r="S247" s="374"/>
      <c r="T247" s="376"/>
      <c r="U247" s="374"/>
      <c r="V247" s="376"/>
      <c r="W247" s="374"/>
      <c r="X247" s="376"/>
      <c r="Y247" s="374"/>
      <c r="Z247" s="357"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3">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3"/>
      <c r="K248" s="183"/>
      <c r="L248" s="363"/>
      <c r="M248" s="183"/>
      <c r="N248" s="363"/>
      <c r="O248" s="183"/>
      <c r="P248" s="363"/>
      <c r="Q248" s="86">
        <f t="shared" si="12"/>
        <v>0</v>
      </c>
      <c r="R248" s="376"/>
      <c r="S248" s="374"/>
      <c r="T248" s="376"/>
      <c r="U248" s="374"/>
      <c r="V248" s="376"/>
      <c r="W248" s="374"/>
      <c r="X248" s="376"/>
      <c r="Y248" s="374"/>
      <c r="Z248" s="357"/>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3">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3">
        <v>42088</v>
      </c>
      <c r="K249" s="183"/>
      <c r="L249" s="363"/>
      <c r="M249" s="183"/>
      <c r="N249" s="363"/>
      <c r="O249" s="183"/>
      <c r="P249" s="363"/>
      <c r="Q249" s="86">
        <f t="shared" si="12"/>
        <v>800000</v>
      </c>
      <c r="R249" s="376"/>
      <c r="S249" s="374"/>
      <c r="T249" s="376"/>
      <c r="U249" s="374"/>
      <c r="V249" s="376"/>
      <c r="W249" s="374"/>
      <c r="X249" s="376"/>
      <c r="Y249" s="374"/>
      <c r="Z249" s="357"/>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3">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3"/>
      <c r="K250" s="183"/>
      <c r="L250" s="363"/>
      <c r="M250" s="183"/>
      <c r="N250" s="363"/>
      <c r="O250" s="183"/>
      <c r="P250" s="363"/>
      <c r="Q250" s="86">
        <f t="shared" si="12"/>
        <v>0</v>
      </c>
      <c r="R250" s="376"/>
      <c r="S250" s="374"/>
      <c r="T250" s="376"/>
      <c r="U250" s="374"/>
      <c r="V250" s="376"/>
      <c r="W250" s="374"/>
      <c r="X250" s="376"/>
      <c r="Y250" s="374"/>
      <c r="Z250" s="357"/>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3">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3"/>
      <c r="K251" s="183"/>
      <c r="L251" s="363"/>
      <c r="M251" s="183"/>
      <c r="N251" s="363"/>
      <c r="O251" s="183"/>
      <c r="P251" s="363"/>
      <c r="Q251" s="86">
        <f t="shared" si="12"/>
        <v>0</v>
      </c>
      <c r="R251" s="287" t="s">
        <v>378</v>
      </c>
      <c r="S251" s="356">
        <v>42092</v>
      </c>
      <c r="T251" s="376" t="s">
        <v>378</v>
      </c>
      <c r="U251" s="374">
        <v>42153</v>
      </c>
      <c r="V251" s="376" t="s">
        <v>381</v>
      </c>
      <c r="W251" s="374">
        <v>42184</v>
      </c>
      <c r="X251" s="376"/>
      <c r="Y251" s="374"/>
      <c r="Z251" s="357"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3">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3"/>
      <c r="K252" s="183"/>
      <c r="L252" s="363"/>
      <c r="M252" s="183"/>
      <c r="N252" s="363"/>
      <c r="O252" s="183"/>
      <c r="P252" s="363"/>
      <c r="Q252" s="86">
        <f t="shared" si="12"/>
        <v>0</v>
      </c>
      <c r="R252" s="376"/>
      <c r="S252" s="374"/>
      <c r="T252" s="376"/>
      <c r="U252" s="374"/>
      <c r="V252" s="376"/>
      <c r="W252" s="374"/>
      <c r="X252" s="376"/>
      <c r="Y252" s="374"/>
      <c r="Z252" s="357"/>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3">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3">
        <v>42117</v>
      </c>
      <c r="K253" s="183"/>
      <c r="L253" s="363"/>
      <c r="M253" s="183"/>
      <c r="N253" s="363"/>
      <c r="O253" s="183"/>
      <c r="P253" s="363"/>
      <c r="Q253" s="86">
        <f t="shared" si="12"/>
        <v>54285345</v>
      </c>
      <c r="R253" s="376" t="s">
        <v>379</v>
      </c>
      <c r="S253" s="374">
        <v>42208</v>
      </c>
      <c r="T253" s="376"/>
      <c r="U253" s="374"/>
      <c r="V253" s="376"/>
      <c r="W253" s="374"/>
      <c r="X253" s="376"/>
      <c r="Y253" s="374"/>
      <c r="Z253" s="357"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3">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3"/>
      <c r="K254" s="183"/>
      <c r="L254" s="363"/>
      <c r="M254" s="183"/>
      <c r="N254" s="363"/>
      <c r="O254" s="183"/>
      <c r="P254" s="363"/>
      <c r="Q254" s="86">
        <f t="shared" si="12"/>
        <v>0</v>
      </c>
      <c r="R254" s="376"/>
      <c r="S254" s="374"/>
      <c r="T254" s="376"/>
      <c r="U254" s="374"/>
      <c r="V254" s="376"/>
      <c r="W254" s="374"/>
      <c r="X254" s="376"/>
      <c r="Y254" s="374"/>
      <c r="Z254" s="357"/>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3">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3"/>
      <c r="K255" s="183"/>
      <c r="L255" s="363"/>
      <c r="M255" s="183"/>
      <c r="N255" s="363"/>
      <c r="O255" s="183"/>
      <c r="P255" s="363"/>
      <c r="Q255" s="86">
        <f t="shared" si="12"/>
        <v>0</v>
      </c>
      <c r="R255" s="376"/>
      <c r="S255" s="374"/>
      <c r="T255" s="376"/>
      <c r="U255" s="374"/>
      <c r="V255" s="376"/>
      <c r="W255" s="374"/>
      <c r="X255" s="376"/>
      <c r="Y255" s="374"/>
      <c r="Z255" s="357"/>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3">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3"/>
      <c r="K256" s="183"/>
      <c r="L256" s="363"/>
      <c r="M256" s="183"/>
      <c r="N256" s="363"/>
      <c r="O256" s="183"/>
      <c r="P256" s="363"/>
      <c r="Q256" s="86">
        <f t="shared" si="12"/>
        <v>0</v>
      </c>
      <c r="R256" s="376"/>
      <c r="S256" s="374"/>
      <c r="T256" s="376"/>
      <c r="U256" s="374"/>
      <c r="V256" s="376"/>
      <c r="W256" s="374"/>
      <c r="X256" s="376"/>
      <c r="Y256" s="374"/>
      <c r="Z256" s="357"/>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3">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3"/>
      <c r="K257" s="183"/>
      <c r="L257" s="363"/>
      <c r="M257" s="183"/>
      <c r="N257" s="363"/>
      <c r="O257" s="183"/>
      <c r="P257" s="363"/>
      <c r="Q257" s="86">
        <f t="shared" si="12"/>
        <v>0</v>
      </c>
      <c r="R257" s="376"/>
      <c r="S257" s="374"/>
      <c r="T257" s="376"/>
      <c r="U257" s="374"/>
      <c r="V257" s="376"/>
      <c r="W257" s="374"/>
      <c r="X257" s="376"/>
      <c r="Y257" s="374"/>
      <c r="Z257" s="357"/>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3">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3">
        <v>42123</v>
      </c>
      <c r="K258" s="183">
        <v>146237869</v>
      </c>
      <c r="L258" s="363">
        <v>42179</v>
      </c>
      <c r="M258" s="183"/>
      <c r="N258" s="363"/>
      <c r="O258" s="183"/>
      <c r="P258" s="363"/>
      <c r="Q258" s="86">
        <f t="shared" si="12"/>
        <v>162106669</v>
      </c>
      <c r="R258" s="376"/>
      <c r="S258" s="374"/>
      <c r="T258" s="376"/>
      <c r="U258" s="374"/>
      <c r="V258" s="376"/>
      <c r="W258" s="374"/>
      <c r="X258" s="376"/>
      <c r="Y258" s="374"/>
      <c r="Z258" s="357"/>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3">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3"/>
      <c r="K259" s="183"/>
      <c r="L259" s="363"/>
      <c r="M259" s="183"/>
      <c r="N259" s="363"/>
      <c r="O259" s="183"/>
      <c r="P259" s="363"/>
      <c r="Q259" s="86">
        <f t="shared" si="12"/>
        <v>0</v>
      </c>
      <c r="R259" s="376" t="s">
        <v>378</v>
      </c>
      <c r="S259" s="374">
        <v>42335</v>
      </c>
      <c r="T259" s="376"/>
      <c r="U259" s="374"/>
      <c r="V259" s="376"/>
      <c r="W259" s="374"/>
      <c r="X259" s="376"/>
      <c r="Y259" s="374"/>
      <c r="Z259" s="357"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3">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3"/>
      <c r="K260" s="183"/>
      <c r="L260" s="363"/>
      <c r="M260" s="183"/>
      <c r="N260" s="363"/>
      <c r="O260" s="183"/>
      <c r="P260" s="363"/>
      <c r="Q260" s="86">
        <f t="shared" si="12"/>
        <v>0</v>
      </c>
      <c r="R260" s="376"/>
      <c r="S260" s="374"/>
      <c r="T260" s="376"/>
      <c r="U260" s="374"/>
      <c r="V260" s="376"/>
      <c r="W260" s="374"/>
      <c r="X260" s="376"/>
      <c r="Y260" s="374"/>
      <c r="Z260" s="357"/>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3">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3"/>
      <c r="K261" s="183"/>
      <c r="L261" s="363"/>
      <c r="M261" s="183"/>
      <c r="N261" s="363"/>
      <c r="O261" s="183"/>
      <c r="P261" s="363"/>
      <c r="Q261" s="86">
        <f t="shared" si="12"/>
        <v>0</v>
      </c>
      <c r="R261" s="376"/>
      <c r="S261" s="374"/>
      <c r="T261" s="376"/>
      <c r="U261" s="374"/>
      <c r="V261" s="376"/>
      <c r="W261" s="374"/>
      <c r="X261" s="376"/>
      <c r="Y261" s="374"/>
      <c r="Z261" s="357"/>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3">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3"/>
      <c r="K262" s="183"/>
      <c r="L262" s="363"/>
      <c r="M262" s="183"/>
      <c r="N262" s="363"/>
      <c r="O262" s="183"/>
      <c r="P262" s="363"/>
      <c r="Q262" s="86">
        <f t="shared" si="12"/>
        <v>0</v>
      </c>
      <c r="R262" s="376"/>
      <c r="S262" s="374"/>
      <c r="T262" s="376"/>
      <c r="U262" s="374"/>
      <c r="V262" s="376"/>
      <c r="W262" s="374"/>
      <c r="X262" s="376"/>
      <c r="Y262" s="374"/>
      <c r="Z262" s="357"/>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3">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3"/>
      <c r="K263" s="183"/>
      <c r="L263" s="363"/>
      <c r="M263" s="183"/>
      <c r="N263" s="363"/>
      <c r="O263" s="183"/>
      <c r="P263" s="363"/>
      <c r="Q263" s="86">
        <f t="shared" si="12"/>
        <v>0</v>
      </c>
      <c r="R263" s="376"/>
      <c r="S263" s="374"/>
      <c r="T263" s="376"/>
      <c r="U263" s="374"/>
      <c r="V263" s="376"/>
      <c r="W263" s="374"/>
      <c r="X263" s="376"/>
      <c r="Y263" s="374"/>
      <c r="Z263" s="357"/>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3">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3"/>
      <c r="K264" s="183"/>
      <c r="L264" s="363"/>
      <c r="M264" s="183"/>
      <c r="N264" s="363"/>
      <c r="O264" s="183"/>
      <c r="P264" s="363"/>
      <c r="Q264" s="86">
        <f t="shared" ref="Q264:Q279" si="18">SUM(I264,K264,M264,O264)</f>
        <v>0</v>
      </c>
      <c r="R264" s="376"/>
      <c r="S264" s="374"/>
      <c r="T264" s="376"/>
      <c r="U264" s="374"/>
      <c r="V264" s="376"/>
      <c r="W264" s="374"/>
      <c r="X264" s="376"/>
      <c r="Y264" s="374"/>
      <c r="Z264" s="357"/>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3">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3"/>
      <c r="K265" s="183"/>
      <c r="L265" s="363"/>
      <c r="M265" s="183"/>
      <c r="N265" s="363"/>
      <c r="O265" s="183"/>
      <c r="P265" s="363"/>
      <c r="Q265" s="86">
        <f t="shared" si="18"/>
        <v>0</v>
      </c>
      <c r="R265" s="376"/>
      <c r="S265" s="374"/>
      <c r="T265" s="376"/>
      <c r="U265" s="374"/>
      <c r="V265" s="376"/>
      <c r="W265" s="374"/>
      <c r="X265" s="376"/>
      <c r="Y265" s="374"/>
      <c r="Z265" s="357"/>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3">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3"/>
      <c r="K266" s="183"/>
      <c r="L266" s="363"/>
      <c r="M266" s="183"/>
      <c r="N266" s="363"/>
      <c r="O266" s="183"/>
      <c r="P266" s="363"/>
      <c r="Q266" s="86">
        <f t="shared" si="18"/>
        <v>0</v>
      </c>
      <c r="R266" s="376"/>
      <c r="S266" s="374"/>
      <c r="T266" s="376"/>
      <c r="U266" s="374"/>
      <c r="V266" s="376"/>
      <c r="W266" s="374"/>
      <c r="X266" s="376"/>
      <c r="Y266" s="374"/>
      <c r="Z266" s="357"/>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3">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3"/>
      <c r="K267" s="183"/>
      <c r="L267" s="363"/>
      <c r="M267" s="183"/>
      <c r="N267" s="363"/>
      <c r="O267" s="183"/>
      <c r="P267" s="363"/>
      <c r="Q267" s="86">
        <f t="shared" si="18"/>
        <v>0</v>
      </c>
      <c r="R267" s="376" t="s">
        <v>378</v>
      </c>
      <c r="S267" s="374">
        <v>42226</v>
      </c>
      <c r="T267" s="376" t="s">
        <v>378</v>
      </c>
      <c r="U267" s="374">
        <v>42287</v>
      </c>
      <c r="V267" s="376" t="s">
        <v>378</v>
      </c>
      <c r="W267" s="374">
        <v>42348</v>
      </c>
      <c r="X267" s="376"/>
      <c r="Y267" s="374"/>
      <c r="Z267" s="357"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3">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3">
        <v>42724</v>
      </c>
      <c r="K268" s="183"/>
      <c r="L268" s="363"/>
      <c r="M268" s="183"/>
      <c r="N268" s="363"/>
      <c r="O268" s="183"/>
      <c r="P268" s="363"/>
      <c r="Q268" s="86">
        <f t="shared" si="18"/>
        <v>300000000</v>
      </c>
      <c r="R268" s="376"/>
      <c r="S268" s="374"/>
      <c r="T268" s="376"/>
      <c r="U268" s="374"/>
      <c r="V268" s="376"/>
      <c r="W268" s="374"/>
      <c r="X268" s="376"/>
      <c r="Y268" s="374"/>
      <c r="Z268" s="357"/>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3">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3"/>
      <c r="K269" s="183"/>
      <c r="L269" s="363"/>
      <c r="M269" s="183"/>
      <c r="N269" s="363"/>
      <c r="O269" s="183"/>
      <c r="P269" s="363"/>
      <c r="Q269" s="86">
        <f t="shared" si="18"/>
        <v>0</v>
      </c>
      <c r="R269" s="376"/>
      <c r="S269" s="374"/>
      <c r="T269" s="376"/>
      <c r="U269" s="374"/>
      <c r="V269" s="376"/>
      <c r="W269" s="374"/>
      <c r="X269" s="376"/>
      <c r="Y269" s="374"/>
      <c r="Z269" s="357"/>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3">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3">
        <v>42198</v>
      </c>
      <c r="K270" s="183"/>
      <c r="L270" s="363"/>
      <c r="M270" s="183"/>
      <c r="N270" s="363"/>
      <c r="O270" s="183"/>
      <c r="P270" s="363"/>
      <c r="Q270" s="86">
        <f t="shared" si="18"/>
        <v>60000000</v>
      </c>
      <c r="R270" s="376" t="s">
        <v>2092</v>
      </c>
      <c r="S270" s="374">
        <v>42247</v>
      </c>
      <c r="T270" s="376" t="s">
        <v>379</v>
      </c>
      <c r="U270" s="374">
        <v>42338</v>
      </c>
      <c r="V270" s="376"/>
      <c r="W270" s="374"/>
      <c r="X270" s="376"/>
      <c r="Y270" s="374"/>
      <c r="Z270" s="383" t="s">
        <v>2212</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3">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3"/>
      <c r="K271" s="183"/>
      <c r="L271" s="363"/>
      <c r="M271" s="183"/>
      <c r="N271" s="363"/>
      <c r="O271" s="183"/>
      <c r="P271" s="363"/>
      <c r="Q271" s="86">
        <f t="shared" si="18"/>
        <v>0</v>
      </c>
      <c r="R271" s="376"/>
      <c r="S271" s="374"/>
      <c r="T271" s="376"/>
      <c r="U271" s="374"/>
      <c r="V271" s="376"/>
      <c r="W271" s="374"/>
      <c r="X271" s="376"/>
      <c r="Y271" s="374"/>
      <c r="Z271" s="357"/>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3">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3"/>
      <c r="K272" s="183"/>
      <c r="L272" s="363"/>
      <c r="M272" s="183"/>
      <c r="N272" s="363"/>
      <c r="O272" s="183"/>
      <c r="P272" s="363"/>
      <c r="Q272" s="86">
        <f t="shared" si="18"/>
        <v>0</v>
      </c>
      <c r="R272" s="376"/>
      <c r="S272" s="374"/>
      <c r="T272" s="376"/>
      <c r="U272" s="374"/>
      <c r="V272" s="376"/>
      <c r="W272" s="374"/>
      <c r="X272" s="376"/>
      <c r="Y272" s="374"/>
      <c r="Z272" s="357"/>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3">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3"/>
      <c r="K273" s="183"/>
      <c r="L273" s="363"/>
      <c r="M273" s="183"/>
      <c r="N273" s="363"/>
      <c r="O273" s="183"/>
      <c r="P273" s="363"/>
      <c r="Q273" s="86">
        <f t="shared" si="18"/>
        <v>0</v>
      </c>
      <c r="R273" s="376"/>
      <c r="S273" s="374"/>
      <c r="T273" s="376"/>
      <c r="U273" s="374"/>
      <c r="V273" s="376"/>
      <c r="W273" s="374"/>
      <c r="X273" s="376"/>
      <c r="Y273" s="374"/>
      <c r="Z273" s="357"/>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3">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3"/>
      <c r="K274" s="183"/>
      <c r="L274" s="363"/>
      <c r="M274" s="183"/>
      <c r="N274" s="363"/>
      <c r="O274" s="183"/>
      <c r="P274" s="363"/>
      <c r="Q274" s="86">
        <f t="shared" si="18"/>
        <v>0</v>
      </c>
      <c r="R274" s="376"/>
      <c r="S274" s="374"/>
      <c r="T274" s="376"/>
      <c r="U274" s="374"/>
      <c r="V274" s="376"/>
      <c r="W274" s="374"/>
      <c r="X274" s="376"/>
      <c r="Y274" s="374"/>
      <c r="Z274" s="357"/>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3">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3"/>
      <c r="K275" s="183"/>
      <c r="L275" s="363"/>
      <c r="M275" s="183"/>
      <c r="N275" s="363"/>
      <c r="O275" s="183"/>
      <c r="P275" s="363"/>
      <c r="Q275" s="86">
        <f t="shared" si="18"/>
        <v>0</v>
      </c>
      <c r="R275" s="376"/>
      <c r="S275" s="374"/>
      <c r="T275" s="376"/>
      <c r="U275" s="374"/>
      <c r="V275" s="376"/>
      <c r="W275" s="374"/>
      <c r="X275" s="376"/>
      <c r="Y275" s="374"/>
      <c r="Z275" s="357"/>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3">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3"/>
      <c r="K276" s="183"/>
      <c r="L276" s="363"/>
      <c r="M276" s="183"/>
      <c r="N276" s="363"/>
      <c r="O276" s="183"/>
      <c r="P276" s="363"/>
      <c r="Q276" s="86">
        <f t="shared" si="18"/>
        <v>0</v>
      </c>
      <c r="R276" s="376"/>
      <c r="S276" s="374"/>
      <c r="T276" s="376"/>
      <c r="U276" s="374"/>
      <c r="V276" s="376"/>
      <c r="W276" s="374"/>
      <c r="X276" s="376"/>
      <c r="Y276" s="374"/>
      <c r="Z276" s="357"/>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3">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3"/>
      <c r="K277" s="183"/>
      <c r="L277" s="363"/>
      <c r="M277" s="183"/>
      <c r="N277" s="363"/>
      <c r="O277" s="183"/>
      <c r="P277" s="363"/>
      <c r="Q277" s="86">
        <f t="shared" si="18"/>
        <v>0</v>
      </c>
      <c r="R277" s="376" t="s">
        <v>381</v>
      </c>
      <c r="S277" s="374">
        <v>42410</v>
      </c>
      <c r="T277" s="376"/>
      <c r="U277" s="374"/>
      <c r="V277" s="376"/>
      <c r="W277" s="374"/>
      <c r="X277" s="376"/>
      <c r="Y277" s="374"/>
      <c r="Z277" s="357"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3">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3"/>
      <c r="K278" s="183"/>
      <c r="L278" s="363"/>
      <c r="M278" s="183"/>
      <c r="N278" s="363"/>
      <c r="O278" s="183"/>
      <c r="P278" s="363"/>
      <c r="Q278" s="86">
        <f t="shared" si="18"/>
        <v>0</v>
      </c>
      <c r="R278" s="376"/>
      <c r="S278" s="374"/>
      <c r="T278" s="376"/>
      <c r="U278" s="374"/>
      <c r="V278" s="376"/>
      <c r="W278" s="374"/>
      <c r="X278" s="376"/>
      <c r="Y278" s="374"/>
      <c r="Z278" s="357"/>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3">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3"/>
      <c r="K279" s="183"/>
      <c r="L279" s="363"/>
      <c r="M279" s="183"/>
      <c r="N279" s="363"/>
      <c r="O279" s="183"/>
      <c r="P279" s="363"/>
      <c r="Q279" s="86">
        <f t="shared" si="18"/>
        <v>0</v>
      </c>
      <c r="R279" s="376"/>
      <c r="S279" s="374"/>
      <c r="T279" s="376"/>
      <c r="U279" s="374"/>
      <c r="V279" s="376"/>
      <c r="W279" s="374"/>
      <c r="X279" s="376"/>
      <c r="Y279" s="374"/>
      <c r="Z279" s="357"/>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3">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3"/>
      <c r="K280" s="183"/>
      <c r="L280" s="363"/>
      <c r="M280" s="183"/>
      <c r="N280" s="363"/>
      <c r="O280" s="183"/>
      <c r="P280" s="363"/>
      <c r="Q280" s="86">
        <f t="shared" ref="Q280:Q299" si="19">SUM(I280,K280,M280,O280)</f>
        <v>0</v>
      </c>
      <c r="R280" s="376"/>
      <c r="S280" s="374"/>
      <c r="T280" s="376"/>
      <c r="U280" s="374"/>
      <c r="V280" s="376"/>
      <c r="W280" s="374"/>
      <c r="X280" s="376"/>
      <c r="Y280" s="374"/>
      <c r="Z280" s="357"/>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3">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3"/>
      <c r="K281" s="183"/>
      <c r="L281" s="363"/>
      <c r="M281" s="183"/>
      <c r="N281" s="363"/>
      <c r="O281" s="183"/>
      <c r="P281" s="363"/>
      <c r="Q281" s="86">
        <f t="shared" si="19"/>
        <v>0</v>
      </c>
      <c r="R281" s="376"/>
      <c r="S281" s="374"/>
      <c r="T281" s="376"/>
      <c r="U281" s="374"/>
      <c r="V281" s="376"/>
      <c r="W281" s="374"/>
      <c r="X281" s="376"/>
      <c r="Y281" s="374"/>
      <c r="Z281" s="357"/>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3">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3"/>
      <c r="K282" s="183"/>
      <c r="L282" s="363"/>
      <c r="M282" s="183"/>
      <c r="N282" s="363"/>
      <c r="O282" s="183"/>
      <c r="P282" s="363"/>
      <c r="Q282" s="86">
        <f t="shared" si="19"/>
        <v>0</v>
      </c>
      <c r="R282" s="376" t="s">
        <v>379</v>
      </c>
      <c r="S282" s="374">
        <v>42515</v>
      </c>
      <c r="T282" s="376" t="s">
        <v>2246</v>
      </c>
      <c r="U282" s="374">
        <v>42530</v>
      </c>
      <c r="V282" s="376"/>
      <c r="W282" s="374"/>
      <c r="X282" s="376"/>
      <c r="Y282" s="374"/>
      <c r="Z282" s="357" t="s">
        <v>2247</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3">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4"/>
      <c r="K283" s="237"/>
      <c r="L283" s="367"/>
      <c r="M283" s="179"/>
      <c r="N283" s="364"/>
      <c r="O283" s="179"/>
      <c r="P283" s="369"/>
      <c r="Q283" s="86">
        <f t="shared" si="19"/>
        <v>0</v>
      </c>
      <c r="R283" s="344"/>
      <c r="S283" s="375"/>
      <c r="T283" s="320"/>
      <c r="U283" s="375"/>
      <c r="V283" s="320"/>
      <c r="W283" s="375"/>
      <c r="X283" s="320"/>
      <c r="Y283" s="375"/>
      <c r="Z283" s="357"/>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4">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4"/>
      <c r="K284" s="237"/>
      <c r="L284" s="367"/>
      <c r="M284" s="179"/>
      <c r="N284" s="364"/>
      <c r="O284" s="179"/>
      <c r="P284" s="369"/>
      <c r="Q284" s="86">
        <f t="shared" si="19"/>
        <v>0</v>
      </c>
      <c r="R284" s="344"/>
      <c r="S284" s="375"/>
      <c r="T284" s="320"/>
      <c r="U284" s="375"/>
      <c r="V284" s="320"/>
      <c r="W284" s="375"/>
      <c r="X284" s="320"/>
      <c r="Y284" s="375"/>
      <c r="Z284" s="357"/>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4">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4"/>
      <c r="K285" s="237"/>
      <c r="L285" s="367"/>
      <c r="M285" s="179"/>
      <c r="N285" s="364"/>
      <c r="O285" s="179"/>
      <c r="P285" s="369"/>
      <c r="Q285" s="86">
        <f t="shared" si="19"/>
        <v>0</v>
      </c>
      <c r="R285" s="344"/>
      <c r="S285" s="375"/>
      <c r="T285" s="320"/>
      <c r="U285" s="375"/>
      <c r="V285" s="320"/>
      <c r="W285" s="375"/>
      <c r="X285" s="320"/>
      <c r="Y285" s="375"/>
      <c r="Z285" s="357"/>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4">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4"/>
      <c r="K286" s="237"/>
      <c r="L286" s="367"/>
      <c r="M286" s="179"/>
      <c r="N286" s="364"/>
      <c r="O286" s="179"/>
      <c r="P286" s="369"/>
      <c r="Q286" s="86">
        <f t="shared" si="19"/>
        <v>0</v>
      </c>
      <c r="R286" s="344"/>
      <c r="S286" s="375"/>
      <c r="T286" s="320"/>
      <c r="U286" s="375"/>
      <c r="V286" s="320"/>
      <c r="W286" s="375"/>
      <c r="X286" s="320"/>
      <c r="Y286" s="375"/>
      <c r="Z286" s="357"/>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4">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4"/>
      <c r="K287" s="237"/>
      <c r="L287" s="367"/>
      <c r="M287" s="179"/>
      <c r="N287" s="364"/>
      <c r="O287" s="179"/>
      <c r="P287" s="369"/>
      <c r="Q287" s="86">
        <f t="shared" si="19"/>
        <v>0</v>
      </c>
      <c r="R287" s="344"/>
      <c r="S287" s="375"/>
      <c r="T287" s="320"/>
      <c r="U287" s="375"/>
      <c r="V287" s="320"/>
      <c r="W287" s="375"/>
      <c r="X287" s="320"/>
      <c r="Y287" s="375"/>
      <c r="Z287" s="357"/>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4">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4"/>
      <c r="K288" s="237"/>
      <c r="L288" s="367"/>
      <c r="M288" s="179"/>
      <c r="N288" s="364"/>
      <c r="O288" s="179"/>
      <c r="P288" s="369"/>
      <c r="Q288" s="86">
        <f t="shared" si="19"/>
        <v>0</v>
      </c>
      <c r="R288" s="344"/>
      <c r="S288" s="375"/>
      <c r="T288" s="320"/>
      <c r="U288" s="375"/>
      <c r="V288" s="320"/>
      <c r="W288" s="375"/>
      <c r="X288" s="320"/>
      <c r="Y288" s="375"/>
      <c r="Z288" s="357"/>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4">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4"/>
      <c r="K289" s="237"/>
      <c r="L289" s="367"/>
      <c r="M289" s="179"/>
      <c r="N289" s="364"/>
      <c r="O289" s="179"/>
      <c r="P289" s="369"/>
      <c r="Q289" s="86">
        <f t="shared" si="19"/>
        <v>0</v>
      </c>
      <c r="R289" s="344"/>
      <c r="S289" s="375"/>
      <c r="T289" s="320"/>
      <c r="U289" s="375"/>
      <c r="V289" s="320"/>
      <c r="W289" s="375"/>
      <c r="X289" s="320"/>
      <c r="Y289" s="375"/>
      <c r="Z289" s="357"/>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4"/>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4"/>
      <c r="K290" s="237"/>
      <c r="L290" s="367"/>
      <c r="M290" s="179"/>
      <c r="N290" s="364"/>
      <c r="O290" s="179"/>
      <c r="P290" s="369"/>
      <c r="Q290" s="86">
        <f t="shared" si="19"/>
        <v>0</v>
      </c>
      <c r="R290" s="344"/>
      <c r="S290" s="375"/>
      <c r="T290" s="320"/>
      <c r="U290" s="375"/>
      <c r="V290" s="320"/>
      <c r="W290" s="375"/>
      <c r="X290" s="320"/>
      <c r="Y290" s="375"/>
      <c r="Z290" s="357"/>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4">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4"/>
      <c r="K291" s="237"/>
      <c r="L291" s="367"/>
      <c r="M291" s="179"/>
      <c r="N291" s="364"/>
      <c r="O291" s="179"/>
      <c r="P291" s="369"/>
      <c r="Q291" s="86">
        <f t="shared" si="19"/>
        <v>0</v>
      </c>
      <c r="R291" s="344"/>
      <c r="S291" s="375"/>
      <c r="T291" s="320"/>
      <c r="U291" s="375"/>
      <c r="V291" s="320"/>
      <c r="W291" s="375"/>
      <c r="X291" s="320"/>
      <c r="Y291" s="375"/>
      <c r="Z291" s="357"/>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4">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4"/>
      <c r="K292" s="237"/>
      <c r="L292" s="367"/>
      <c r="M292" s="179"/>
      <c r="N292" s="364"/>
      <c r="O292" s="179"/>
      <c r="P292" s="369"/>
      <c r="Q292" s="86">
        <f t="shared" si="19"/>
        <v>0</v>
      </c>
      <c r="R292" s="287" t="s">
        <v>378</v>
      </c>
      <c r="S292" s="364">
        <v>42348</v>
      </c>
      <c r="T292" s="179"/>
      <c r="U292" s="364"/>
      <c r="V292" s="179"/>
      <c r="W292" s="364"/>
      <c r="X292" s="179"/>
      <c r="Y292" s="364"/>
      <c r="Z292" s="357"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4">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4"/>
      <c r="K293" s="237"/>
      <c r="L293" s="367"/>
      <c r="M293" s="179"/>
      <c r="N293" s="364"/>
      <c r="O293" s="179"/>
      <c r="P293" s="369"/>
      <c r="Q293" s="86">
        <f t="shared" si="19"/>
        <v>0</v>
      </c>
      <c r="R293" s="287"/>
      <c r="S293" s="364"/>
      <c r="T293" s="179"/>
      <c r="U293" s="364"/>
      <c r="V293" s="179"/>
      <c r="W293" s="364"/>
      <c r="X293" s="179"/>
      <c r="Y293" s="364"/>
      <c r="Z293" s="357"/>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4">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4"/>
      <c r="K294" s="237"/>
      <c r="L294" s="367"/>
      <c r="M294" s="179"/>
      <c r="N294" s="364"/>
      <c r="O294" s="179"/>
      <c r="P294" s="369">
        <v>42423</v>
      </c>
      <c r="Q294" s="86">
        <f t="shared" si="19"/>
        <v>180000000</v>
      </c>
      <c r="R294" s="287" t="s">
        <v>2417</v>
      </c>
      <c r="S294" s="364">
        <v>42582</v>
      </c>
      <c r="T294" s="179"/>
      <c r="U294" s="364"/>
      <c r="V294" s="179"/>
      <c r="W294" s="364"/>
      <c r="X294" s="179"/>
      <c r="Y294" s="364"/>
      <c r="Z294" s="357" t="s">
        <v>2417</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4">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4"/>
      <c r="K295" s="237"/>
      <c r="L295" s="367"/>
      <c r="M295" s="179"/>
      <c r="N295" s="364"/>
      <c r="O295" s="179"/>
      <c r="P295" s="369"/>
      <c r="Q295" s="86">
        <f t="shared" si="19"/>
        <v>0</v>
      </c>
      <c r="R295" s="287"/>
      <c r="S295" s="364"/>
      <c r="T295" s="179"/>
      <c r="U295" s="364"/>
      <c r="V295" s="179"/>
      <c r="W295" s="364"/>
      <c r="X295" s="179"/>
      <c r="Y295" s="364"/>
      <c r="Z295" s="357"/>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4">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4"/>
      <c r="K296" s="237"/>
      <c r="L296" s="367"/>
      <c r="M296" s="179"/>
      <c r="N296" s="364"/>
      <c r="O296" s="179"/>
      <c r="P296" s="369"/>
      <c r="Q296" s="86">
        <f t="shared" si="19"/>
        <v>0</v>
      </c>
      <c r="R296" s="287"/>
      <c r="S296" s="364"/>
      <c r="T296" s="179"/>
      <c r="U296" s="364"/>
      <c r="V296" s="179"/>
      <c r="W296" s="364"/>
      <c r="X296" s="179"/>
      <c r="Y296" s="364"/>
      <c r="Z296" s="357"/>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4">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4"/>
      <c r="K297" s="237"/>
      <c r="L297" s="367"/>
      <c r="M297" s="179"/>
      <c r="N297" s="364"/>
      <c r="O297" s="179"/>
      <c r="P297" s="369"/>
      <c r="Q297" s="86">
        <f t="shared" si="19"/>
        <v>0</v>
      </c>
      <c r="R297" s="287"/>
      <c r="S297" s="364"/>
      <c r="T297" s="179"/>
      <c r="U297" s="364"/>
      <c r="V297" s="179"/>
      <c r="W297" s="364"/>
      <c r="X297" s="179"/>
      <c r="Y297" s="364"/>
      <c r="Z297" s="357"/>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4">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4"/>
      <c r="K298" s="237"/>
      <c r="L298" s="367"/>
      <c r="M298" s="179"/>
      <c r="N298" s="364"/>
      <c r="O298" s="179"/>
      <c r="P298" s="369"/>
      <c r="Q298" s="86">
        <f t="shared" si="19"/>
        <v>0</v>
      </c>
      <c r="R298" s="287"/>
      <c r="S298" s="364"/>
      <c r="T298" s="179"/>
      <c r="U298" s="364"/>
      <c r="V298" s="179"/>
      <c r="W298" s="364"/>
      <c r="X298" s="179"/>
      <c r="Y298" s="364"/>
      <c r="Z298" s="357"/>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4">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4">
        <v>42496</v>
      </c>
      <c r="K299" s="237"/>
      <c r="L299" s="367"/>
      <c r="M299" s="179"/>
      <c r="N299" s="364"/>
      <c r="O299" s="179"/>
      <c r="P299" s="369"/>
      <c r="Q299" s="86">
        <f t="shared" si="19"/>
        <v>14000000</v>
      </c>
      <c r="R299" s="878" t="s">
        <v>2452</v>
      </c>
      <c r="S299" s="364">
        <v>42531</v>
      </c>
      <c r="T299" s="179"/>
      <c r="U299" s="364"/>
      <c r="V299" s="179"/>
      <c r="W299" s="364"/>
      <c r="X299" s="179"/>
      <c r="Y299" s="364"/>
      <c r="Z299" s="357" t="s">
        <v>2452</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4">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4"/>
      <c r="K300" s="237"/>
      <c r="L300" s="367"/>
      <c r="M300" s="179"/>
      <c r="N300" s="364"/>
      <c r="O300" s="179"/>
      <c r="P300" s="369"/>
      <c r="Q300" s="86">
        <f t="shared" ref="Q300:Q322" si="22">SUM(I300,K300,M300,O300)</f>
        <v>0</v>
      </c>
      <c r="R300" s="287" t="s">
        <v>2446</v>
      </c>
      <c r="S300" s="364">
        <v>42510</v>
      </c>
      <c r="T300" s="179"/>
      <c r="U300" s="364"/>
      <c r="V300" s="179"/>
      <c r="W300" s="364"/>
      <c r="X300" s="179"/>
      <c r="Y300" s="364"/>
      <c r="Z300" s="357" t="s">
        <v>2446</v>
      </c>
      <c r="AA300" s="89">
        <f t="shared" ref="AA300:AA322" si="23">MAX(S300,U300,W300,Y300)</f>
        <v>42510</v>
      </c>
      <c r="AB300" s="237">
        <v>1745921</v>
      </c>
      <c r="AC300" s="237">
        <v>2181199</v>
      </c>
      <c r="AD300" s="237">
        <v>2233950</v>
      </c>
      <c r="AE300" s="237">
        <v>2152112</v>
      </c>
      <c r="AF300" s="237">
        <v>2351259</v>
      </c>
      <c r="AG300" s="237">
        <v>2238387</v>
      </c>
      <c r="AH300" s="847">
        <v>2165916</v>
      </c>
      <c r="AI300" s="237">
        <v>2708709</v>
      </c>
      <c r="AJ300" s="237">
        <v>2067622</v>
      </c>
      <c r="AK300" s="237">
        <v>2139821</v>
      </c>
      <c r="AL300" s="237">
        <v>2319528</v>
      </c>
      <c r="AM300" s="237">
        <v>2263666</v>
      </c>
      <c r="AN300" s="237">
        <v>2112539</v>
      </c>
      <c r="AO300" s="237"/>
      <c r="AP300" s="237"/>
      <c r="AQ300" s="237"/>
      <c r="AR300" s="237"/>
      <c r="AS300" s="237"/>
      <c r="AT300" s="364">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4"/>
      <c r="K301" s="237"/>
      <c r="L301" s="367"/>
      <c r="M301" s="179"/>
      <c r="N301" s="364"/>
      <c r="O301" s="179"/>
      <c r="P301" s="369"/>
      <c r="Q301" s="86">
        <f t="shared" si="22"/>
        <v>0</v>
      </c>
      <c r="R301" s="287"/>
      <c r="S301" s="364"/>
      <c r="T301" s="179"/>
      <c r="U301" s="364"/>
      <c r="V301" s="179"/>
      <c r="W301" s="364"/>
      <c r="X301" s="179"/>
      <c r="Y301" s="364"/>
      <c r="Z301" s="357"/>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4"/>
      <c r="AU301" s="91">
        <f t="shared" si="24"/>
        <v>12975945</v>
      </c>
      <c r="AV301" s="14" t="s">
        <v>2280</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4"/>
      <c r="K302" s="237"/>
      <c r="L302" s="367"/>
      <c r="M302" s="179"/>
      <c r="N302" s="364"/>
      <c r="O302" s="179"/>
      <c r="P302" s="369"/>
      <c r="Q302" s="86">
        <f t="shared" si="22"/>
        <v>0</v>
      </c>
      <c r="R302" s="287" t="s">
        <v>381</v>
      </c>
      <c r="S302" s="364">
        <v>42532</v>
      </c>
      <c r="T302" s="179"/>
      <c r="U302" s="364"/>
      <c r="V302" s="179"/>
      <c r="W302" s="364"/>
      <c r="X302" s="179"/>
      <c r="Y302" s="364"/>
      <c r="Z302" s="357"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4">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4"/>
      <c r="K303" s="237"/>
      <c r="L303" s="367"/>
      <c r="M303" s="179"/>
      <c r="N303" s="364"/>
      <c r="O303" s="179"/>
      <c r="P303" s="369"/>
      <c r="Q303" s="86">
        <f t="shared" si="22"/>
        <v>0</v>
      </c>
      <c r="R303" s="287"/>
      <c r="S303" s="364"/>
      <c r="T303" s="179"/>
      <c r="U303" s="364"/>
      <c r="V303" s="179"/>
      <c r="W303" s="364"/>
      <c r="X303" s="179"/>
      <c r="Y303" s="364"/>
      <c r="Z303" s="357"/>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4">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4"/>
      <c r="K304" s="237"/>
      <c r="L304" s="367"/>
      <c r="M304" s="179"/>
      <c r="N304" s="364"/>
      <c r="O304" s="179"/>
      <c r="P304" s="369"/>
      <c r="Q304" s="86">
        <f t="shared" si="22"/>
        <v>0</v>
      </c>
      <c r="R304" s="287"/>
      <c r="S304" s="364"/>
      <c r="T304" s="179"/>
      <c r="U304" s="364"/>
      <c r="V304" s="179"/>
      <c r="W304" s="364"/>
      <c r="X304" s="179"/>
      <c r="Y304" s="364"/>
      <c r="Z304" s="357"/>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4"/>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4"/>
      <c r="K305" s="237"/>
      <c r="L305" s="367"/>
      <c r="M305" s="179"/>
      <c r="N305" s="364"/>
      <c r="O305" s="179"/>
      <c r="P305" s="369">
        <v>42443</v>
      </c>
      <c r="Q305" s="86">
        <f t="shared" si="22"/>
        <v>4626508</v>
      </c>
      <c r="R305" s="287"/>
      <c r="S305" s="364"/>
      <c r="T305" s="179"/>
      <c r="U305" s="364"/>
      <c r="V305" s="179"/>
      <c r="W305" s="364"/>
      <c r="X305" s="179"/>
      <c r="Y305" s="364"/>
      <c r="Z305" s="357"/>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4">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4"/>
      <c r="K306" s="237"/>
      <c r="L306" s="367"/>
      <c r="M306" s="179"/>
      <c r="N306" s="364"/>
      <c r="O306" s="179"/>
      <c r="P306" s="369"/>
      <c r="Q306" s="86">
        <f t="shared" si="22"/>
        <v>0</v>
      </c>
      <c r="R306" s="287"/>
      <c r="S306" s="364"/>
      <c r="T306" s="179"/>
      <c r="U306" s="364"/>
      <c r="V306" s="179"/>
      <c r="W306" s="364"/>
      <c r="X306" s="179"/>
      <c r="Y306" s="364"/>
      <c r="Z306" s="357"/>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4">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4">
        <v>42522</v>
      </c>
      <c r="K307" s="237"/>
      <c r="L307" s="367"/>
      <c r="M307" s="179"/>
      <c r="N307" s="364"/>
      <c r="O307" s="179"/>
      <c r="P307" s="369"/>
      <c r="Q307" s="86">
        <f t="shared" si="22"/>
        <v>8000000</v>
      </c>
      <c r="R307" s="287" t="s">
        <v>380</v>
      </c>
      <c r="S307" s="364">
        <v>42644</v>
      </c>
      <c r="T307" s="179"/>
      <c r="U307" s="364"/>
      <c r="V307" s="179"/>
      <c r="W307" s="364"/>
      <c r="X307" s="179"/>
      <c r="Y307" s="364"/>
      <c r="Z307" s="357"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4">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4"/>
      <c r="K308" s="237"/>
      <c r="L308" s="367"/>
      <c r="M308" s="179"/>
      <c r="N308" s="364"/>
      <c r="O308" s="179"/>
      <c r="P308" s="369"/>
      <c r="Q308" s="86">
        <f t="shared" si="22"/>
        <v>0</v>
      </c>
      <c r="R308" s="287"/>
      <c r="S308" s="364"/>
      <c r="T308" s="179"/>
      <c r="U308" s="364"/>
      <c r="V308" s="179"/>
      <c r="W308" s="364"/>
      <c r="X308" s="179"/>
      <c r="Y308" s="364"/>
      <c r="Z308" s="357"/>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4">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4"/>
      <c r="K309" s="237"/>
      <c r="L309" s="367"/>
      <c r="M309" s="179"/>
      <c r="N309" s="364"/>
      <c r="O309" s="179"/>
      <c r="P309" s="369"/>
      <c r="Q309" s="86">
        <f t="shared" si="22"/>
        <v>0</v>
      </c>
      <c r="R309" s="878" t="s">
        <v>2466</v>
      </c>
      <c r="S309" s="364"/>
      <c r="T309" s="179"/>
      <c r="U309" s="364"/>
      <c r="V309" s="179"/>
      <c r="W309" s="364"/>
      <c r="X309" s="179"/>
      <c r="Y309" s="364"/>
      <c r="Z309" s="357" t="s">
        <v>2466</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4">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4"/>
      <c r="K310" s="237"/>
      <c r="L310" s="367"/>
      <c r="M310" s="179"/>
      <c r="N310" s="364"/>
      <c r="O310" s="179"/>
      <c r="P310" s="369"/>
      <c r="Q310" s="86">
        <f t="shared" si="22"/>
        <v>0</v>
      </c>
      <c r="R310" s="287"/>
      <c r="S310" s="364"/>
      <c r="T310" s="179"/>
      <c r="U310" s="364"/>
      <c r="V310" s="179"/>
      <c r="W310" s="364"/>
      <c r="X310" s="179"/>
      <c r="Y310" s="364"/>
      <c r="Z310" s="357"/>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4">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4">
        <v>42419</v>
      </c>
      <c r="K311" s="237"/>
      <c r="L311" s="367"/>
      <c r="M311" s="179"/>
      <c r="N311" s="364"/>
      <c r="O311" s="179"/>
      <c r="P311" s="369"/>
      <c r="Q311" s="86">
        <f t="shared" si="22"/>
        <v>141414324</v>
      </c>
      <c r="R311" s="287" t="s">
        <v>381</v>
      </c>
      <c r="S311" s="364">
        <v>42450</v>
      </c>
      <c r="T311" s="179"/>
      <c r="U311" s="364"/>
      <c r="V311" s="179"/>
      <c r="W311" s="364"/>
      <c r="X311" s="179"/>
      <c r="Y311" s="364"/>
      <c r="Z311" s="357"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4">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4"/>
      <c r="K312" s="237"/>
      <c r="L312" s="367"/>
      <c r="M312" s="179"/>
      <c r="N312" s="364"/>
      <c r="O312" s="179"/>
      <c r="P312" s="369"/>
      <c r="Q312" s="86">
        <f t="shared" si="22"/>
        <v>0</v>
      </c>
      <c r="R312" s="287"/>
      <c r="S312" s="364"/>
      <c r="T312" s="179"/>
      <c r="U312" s="364"/>
      <c r="V312" s="179"/>
      <c r="W312" s="364"/>
      <c r="X312" s="179"/>
      <c r="Y312" s="364"/>
      <c r="Z312" s="357"/>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4">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4"/>
      <c r="K313" s="237"/>
      <c r="L313" s="367"/>
      <c r="M313" s="179"/>
      <c r="N313" s="364"/>
      <c r="O313" s="179"/>
      <c r="P313" s="369"/>
      <c r="Q313" s="86">
        <f t="shared" si="22"/>
        <v>0</v>
      </c>
      <c r="R313" s="287"/>
      <c r="S313" s="364"/>
      <c r="T313" s="179"/>
      <c r="U313" s="364"/>
      <c r="V313" s="179"/>
      <c r="W313" s="364"/>
      <c r="X313" s="179"/>
      <c r="Y313" s="364"/>
      <c r="Z313" s="357"/>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4">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4"/>
      <c r="K314" s="237"/>
      <c r="L314" s="367"/>
      <c r="M314" s="179"/>
      <c r="N314" s="364"/>
      <c r="O314" s="179"/>
      <c r="P314" s="369"/>
      <c r="Q314" s="86">
        <f t="shared" si="22"/>
        <v>0</v>
      </c>
      <c r="R314" s="287"/>
      <c r="S314" s="364"/>
      <c r="T314" s="179"/>
      <c r="U314" s="364"/>
      <c r="V314" s="179"/>
      <c r="W314" s="364"/>
      <c r="X314" s="179"/>
      <c r="Y314" s="364"/>
      <c r="Z314" s="357"/>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4">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4"/>
      <c r="K315" s="237"/>
      <c r="L315" s="367"/>
      <c r="M315" s="179"/>
      <c r="N315" s="364"/>
      <c r="O315" s="179"/>
      <c r="P315" s="369"/>
      <c r="Q315" s="86">
        <f t="shared" si="22"/>
        <v>0</v>
      </c>
      <c r="R315" s="287"/>
      <c r="S315" s="364"/>
      <c r="T315" s="179"/>
      <c r="U315" s="364"/>
      <c r="V315" s="179"/>
      <c r="W315" s="364"/>
      <c r="X315" s="179"/>
      <c r="Y315" s="364"/>
      <c r="Z315" s="357"/>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4">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41">
        <v>11000000</v>
      </c>
      <c r="J316" s="364"/>
      <c r="K316" s="237"/>
      <c r="L316" s="367"/>
      <c r="M316" s="179"/>
      <c r="N316" s="364"/>
      <c r="O316" s="179"/>
      <c r="P316" s="369"/>
      <c r="Q316" s="86">
        <f t="shared" si="22"/>
        <v>11000000</v>
      </c>
      <c r="R316" s="287" t="s">
        <v>378</v>
      </c>
      <c r="S316" s="364">
        <v>42492</v>
      </c>
      <c r="T316" s="179" t="s">
        <v>2447</v>
      </c>
      <c r="U316" s="364">
        <v>42507</v>
      </c>
      <c r="V316" s="178" t="s">
        <v>2461</v>
      </c>
      <c r="W316" s="364">
        <v>42582</v>
      </c>
      <c r="X316" s="179"/>
      <c r="Y316" s="364"/>
      <c r="Z316" s="357" t="s">
        <v>2462</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4">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41">
        <v>20400000</v>
      </c>
      <c r="J317" s="364">
        <v>42352</v>
      </c>
      <c r="K317" s="237"/>
      <c r="L317" s="367"/>
      <c r="M317" s="179"/>
      <c r="N317" s="364"/>
      <c r="O317" s="179"/>
      <c r="P317" s="369"/>
      <c r="Q317" s="86">
        <f t="shared" si="22"/>
        <v>20400000</v>
      </c>
      <c r="R317" s="287" t="s">
        <v>1323</v>
      </c>
      <c r="S317" s="364">
        <v>42352</v>
      </c>
      <c r="T317" s="179" t="s">
        <v>379</v>
      </c>
      <c r="U317" s="364">
        <v>42443</v>
      </c>
      <c r="V317" s="179"/>
      <c r="W317" s="364"/>
      <c r="X317" s="179"/>
      <c r="Y317" s="364"/>
      <c r="Z317" s="357" t="s">
        <v>2377</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4">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4"/>
      <c r="K318" s="237"/>
      <c r="L318" s="367"/>
      <c r="M318" s="179"/>
      <c r="N318" s="364"/>
      <c r="O318" s="179"/>
      <c r="P318" s="369"/>
      <c r="Q318" s="86">
        <f t="shared" si="22"/>
        <v>0</v>
      </c>
      <c r="R318" s="287"/>
      <c r="S318" s="364"/>
      <c r="T318" s="179"/>
      <c r="U318" s="364"/>
      <c r="V318" s="179"/>
      <c r="W318" s="364"/>
      <c r="X318" s="179"/>
      <c r="Y318" s="364"/>
      <c r="Z318" s="357"/>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4">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41">
        <v>6000000</v>
      </c>
      <c r="J319" s="364">
        <v>42356</v>
      </c>
      <c r="K319" s="237"/>
      <c r="L319" s="367"/>
      <c r="M319" s="179"/>
      <c r="N319" s="364"/>
      <c r="O319" s="179"/>
      <c r="P319" s="369"/>
      <c r="Q319" s="86">
        <f t="shared" si="22"/>
        <v>6000000</v>
      </c>
      <c r="R319" s="287" t="s">
        <v>379</v>
      </c>
      <c r="S319" s="364">
        <v>42447</v>
      </c>
      <c r="T319" s="179"/>
      <c r="U319" s="364"/>
      <c r="V319" s="179"/>
      <c r="W319" s="364"/>
      <c r="X319" s="179"/>
      <c r="Y319" s="364"/>
      <c r="Z319" s="357"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4">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4"/>
      <c r="K320" s="237"/>
      <c r="L320" s="367"/>
      <c r="M320" s="179"/>
      <c r="N320" s="364"/>
      <c r="O320" s="179"/>
      <c r="P320" s="369"/>
      <c r="Q320" s="86">
        <f t="shared" si="22"/>
        <v>0</v>
      </c>
      <c r="R320" s="287"/>
      <c r="S320" s="364"/>
      <c r="T320" s="179"/>
      <c r="U320" s="364"/>
      <c r="V320" s="179"/>
      <c r="W320" s="364"/>
      <c r="X320" s="179"/>
      <c r="Y320" s="364"/>
      <c r="Z320" s="357"/>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4"/>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4">
        <v>42433</v>
      </c>
      <c r="K321" s="237"/>
      <c r="L321" s="367"/>
      <c r="M321" s="179"/>
      <c r="N321" s="364"/>
      <c r="O321" s="179"/>
      <c r="P321" s="369">
        <v>42433</v>
      </c>
      <c r="Q321" s="86">
        <f t="shared" si="22"/>
        <v>14417333</v>
      </c>
      <c r="R321" s="287" t="s">
        <v>2418</v>
      </c>
      <c r="S321" s="364">
        <v>42514</v>
      </c>
      <c r="T321" s="179" t="s">
        <v>381</v>
      </c>
      <c r="U321" s="364">
        <v>42545</v>
      </c>
      <c r="V321" s="179"/>
      <c r="W321" s="364"/>
      <c r="X321" s="179"/>
      <c r="Y321" s="364"/>
      <c r="Z321" s="357"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4">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4"/>
      <c r="K322" s="237"/>
      <c r="L322" s="367"/>
      <c r="M322" s="179"/>
      <c r="N322" s="364"/>
      <c r="O322" s="179"/>
      <c r="P322" s="369"/>
      <c r="Q322" s="86">
        <f t="shared" si="22"/>
        <v>0</v>
      </c>
      <c r="R322" s="287"/>
      <c r="S322" s="364"/>
      <c r="T322" s="179"/>
      <c r="U322" s="364"/>
      <c r="V322" s="179"/>
      <c r="W322" s="364"/>
      <c r="X322" s="179"/>
      <c r="Y322" s="364"/>
      <c r="Z322" s="357"/>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4">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4"/>
      <c r="K323" s="237"/>
      <c r="L323" s="367"/>
      <c r="M323" s="179"/>
      <c r="N323" s="364"/>
      <c r="O323" s="179"/>
      <c r="P323" s="369"/>
      <c r="Q323" s="86">
        <f t="shared" ref="Q323:Q368" si="25">SUM(I323,K323,M323,O323)</f>
        <v>0</v>
      </c>
      <c r="R323" s="287" t="s">
        <v>379</v>
      </c>
      <c r="S323" s="364">
        <v>42583</v>
      </c>
      <c r="T323" s="179" t="s">
        <v>978</v>
      </c>
      <c r="U323" s="364">
        <v>42629</v>
      </c>
      <c r="V323" s="179"/>
      <c r="W323" s="364"/>
      <c r="X323" s="179"/>
      <c r="Y323" s="364"/>
      <c r="Z323" s="357" t="s">
        <v>2597</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4">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4"/>
      <c r="K324" s="237"/>
      <c r="L324" s="367"/>
      <c r="M324" s="179"/>
      <c r="N324" s="364"/>
      <c r="O324" s="179"/>
      <c r="P324" s="369"/>
      <c r="Q324" s="86">
        <f t="shared" si="25"/>
        <v>0</v>
      </c>
      <c r="R324" s="287"/>
      <c r="S324" s="364"/>
      <c r="T324" s="179"/>
      <c r="U324" s="364"/>
      <c r="V324" s="179"/>
      <c r="W324" s="364"/>
      <c r="X324" s="179"/>
      <c r="Y324" s="364"/>
      <c r="Z324" s="357"/>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4">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42214</v>
      </c>
      <c r="H325" s="220">
        <f>+'Base de Datos'!N325</f>
        <v>42519</v>
      </c>
      <c r="I325" s="179">
        <v>22930204</v>
      </c>
      <c r="J325" s="364">
        <v>42489</v>
      </c>
      <c r="K325" s="237"/>
      <c r="L325" s="367"/>
      <c r="M325" s="179"/>
      <c r="N325" s="364"/>
      <c r="O325" s="179"/>
      <c r="P325" s="369"/>
      <c r="Q325" s="86">
        <f t="shared" si="25"/>
        <v>22930204</v>
      </c>
      <c r="R325" s="287" t="s">
        <v>381</v>
      </c>
      <c r="S325" s="364">
        <v>42522</v>
      </c>
      <c r="T325" s="179"/>
      <c r="U325" s="364"/>
      <c r="V325" s="179"/>
      <c r="W325" s="364"/>
      <c r="X325" s="179"/>
      <c r="Y325" s="364"/>
      <c r="Z325" s="357"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4">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4">
        <v>42552</v>
      </c>
      <c r="K326" s="237">
        <v>20000000</v>
      </c>
      <c r="L326" s="367">
        <v>42705</v>
      </c>
      <c r="M326" s="179"/>
      <c r="N326" s="364"/>
      <c r="O326" s="179"/>
      <c r="P326" s="369"/>
      <c r="Q326" s="86">
        <f t="shared" si="25"/>
        <v>92000000</v>
      </c>
      <c r="R326" s="287" t="s">
        <v>2450</v>
      </c>
      <c r="S326" s="364">
        <v>42552</v>
      </c>
      <c r="T326" s="179" t="s">
        <v>2527</v>
      </c>
      <c r="U326" s="364">
        <v>42675</v>
      </c>
      <c r="V326" s="179" t="s">
        <v>381</v>
      </c>
      <c r="W326" s="364">
        <v>42705</v>
      </c>
      <c r="X326" s="179" t="s">
        <v>2753</v>
      </c>
      <c r="Y326" s="364">
        <v>42728</v>
      </c>
      <c r="Z326" s="357" t="s">
        <v>2754</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4">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4"/>
      <c r="K327" s="237"/>
      <c r="L327" s="367"/>
      <c r="M327" s="179"/>
      <c r="N327" s="364"/>
      <c r="O327" s="179"/>
      <c r="P327" s="369"/>
      <c r="Q327" s="86">
        <f t="shared" si="25"/>
        <v>0</v>
      </c>
      <c r="R327" s="287" t="s">
        <v>1858</v>
      </c>
      <c r="S327" s="364">
        <v>42737</v>
      </c>
      <c r="T327" s="179" t="s">
        <v>1379</v>
      </c>
      <c r="U327" s="364">
        <v>42949</v>
      </c>
      <c r="V327" s="179"/>
      <c r="W327" s="364"/>
      <c r="X327" s="179"/>
      <c r="Y327" s="364"/>
      <c r="Z327" s="357"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4">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4"/>
      <c r="K328" s="237"/>
      <c r="L328" s="367"/>
      <c r="M328" s="179"/>
      <c r="N328" s="364"/>
      <c r="O328" s="179"/>
      <c r="P328" s="369"/>
      <c r="Q328" s="86">
        <f t="shared" si="25"/>
        <v>0</v>
      </c>
      <c r="R328" s="287"/>
      <c r="S328" s="364"/>
      <c r="T328" s="179"/>
      <c r="U328" s="364"/>
      <c r="V328" s="179"/>
      <c r="W328" s="364"/>
      <c r="X328" s="179"/>
      <c r="Y328" s="364"/>
      <c r="Z328" s="357"/>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4">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4"/>
      <c r="K329" s="237"/>
      <c r="L329" s="367"/>
      <c r="M329" s="179"/>
      <c r="N329" s="364"/>
      <c r="O329" s="179"/>
      <c r="P329" s="369"/>
      <c r="Q329" s="86">
        <f t="shared" si="25"/>
        <v>0</v>
      </c>
      <c r="R329" s="287"/>
      <c r="S329" s="364"/>
      <c r="T329" s="179"/>
      <c r="U329" s="364"/>
      <c r="V329" s="179"/>
      <c r="W329" s="364"/>
      <c r="X329" s="179"/>
      <c r="Y329" s="364"/>
      <c r="Z329" s="357"/>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4">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4">
        <v>10800000</v>
      </c>
      <c r="J330" s="364">
        <v>42368</v>
      </c>
      <c r="K330" s="237"/>
      <c r="L330" s="367"/>
      <c r="M330" s="179"/>
      <c r="N330" s="364"/>
      <c r="O330" s="179"/>
      <c r="P330" s="369"/>
      <c r="Q330" s="86">
        <f t="shared" si="25"/>
        <v>10800000</v>
      </c>
      <c r="R330" s="287" t="s">
        <v>379</v>
      </c>
      <c r="S330" s="364">
        <v>42461</v>
      </c>
      <c r="T330" s="179"/>
      <c r="U330" s="364"/>
      <c r="V330" s="179"/>
      <c r="W330" s="364"/>
      <c r="X330" s="179"/>
      <c r="Y330" s="364"/>
      <c r="Z330" s="357"/>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4">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4"/>
      <c r="K331" s="237"/>
      <c r="L331" s="367"/>
      <c r="M331" s="179"/>
      <c r="N331" s="364"/>
      <c r="O331" s="179"/>
      <c r="P331" s="369"/>
      <c r="Q331" s="86">
        <f t="shared" si="25"/>
        <v>0</v>
      </c>
      <c r="R331" s="287"/>
      <c r="S331" s="364"/>
      <c r="T331" s="179"/>
      <c r="U331" s="364"/>
      <c r="V331" s="179"/>
      <c r="W331" s="364"/>
      <c r="X331" s="179"/>
      <c r="Y331" s="364"/>
      <c r="Z331" s="357"/>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4">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4"/>
      <c r="K332" s="237"/>
      <c r="L332" s="367"/>
      <c r="M332" s="179"/>
      <c r="N332" s="364"/>
      <c r="O332" s="179"/>
      <c r="P332" s="369"/>
      <c r="Q332" s="86">
        <f t="shared" si="25"/>
        <v>0</v>
      </c>
      <c r="R332" s="287"/>
      <c r="S332" s="364"/>
      <c r="T332" s="179"/>
      <c r="U332" s="364"/>
      <c r="V332" s="179"/>
      <c r="W332" s="364"/>
      <c r="X332" s="179"/>
      <c r="Y332" s="364"/>
      <c r="Z332" s="357"/>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4">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4"/>
      <c r="K333" s="237"/>
      <c r="L333" s="367"/>
      <c r="M333" s="179"/>
      <c r="N333" s="364"/>
      <c r="O333" s="179"/>
      <c r="P333" s="369"/>
      <c r="Q333" s="86">
        <f t="shared" si="25"/>
        <v>0</v>
      </c>
      <c r="R333" s="287"/>
      <c r="S333" s="364"/>
      <c r="T333" s="179"/>
      <c r="U333" s="364"/>
      <c r="V333" s="179"/>
      <c r="W333" s="364"/>
      <c r="X333" s="179"/>
      <c r="Y333" s="364"/>
      <c r="Z333" s="357"/>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4">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4"/>
      <c r="K334" s="237"/>
      <c r="L334" s="367"/>
      <c r="M334" s="179"/>
      <c r="N334" s="364"/>
      <c r="O334" s="179"/>
      <c r="P334" s="369"/>
      <c r="Q334" s="86">
        <f t="shared" si="25"/>
        <v>0</v>
      </c>
      <c r="R334" s="287"/>
      <c r="S334" s="364"/>
      <c r="T334" s="179"/>
      <c r="U334" s="364"/>
      <c r="V334" s="179"/>
      <c r="W334" s="364"/>
      <c r="X334" s="179"/>
      <c r="Y334" s="364"/>
      <c r="Z334" s="357"/>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4">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41">
        <v>15900000</v>
      </c>
      <c r="J335" s="364">
        <v>42368</v>
      </c>
      <c r="K335" s="237"/>
      <c r="L335" s="367"/>
      <c r="M335" s="179"/>
      <c r="N335" s="364"/>
      <c r="O335" s="179"/>
      <c r="P335" s="369"/>
      <c r="Q335" s="86">
        <f t="shared" si="25"/>
        <v>15900000</v>
      </c>
      <c r="R335" s="287" t="s">
        <v>379</v>
      </c>
      <c r="S335" s="364">
        <v>42461</v>
      </c>
      <c r="T335" s="179"/>
      <c r="U335" s="364"/>
      <c r="V335" s="179"/>
      <c r="W335" s="364"/>
      <c r="X335" s="179"/>
      <c r="Y335" s="364"/>
      <c r="Z335" s="357"/>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4">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4"/>
      <c r="K336" s="237"/>
      <c r="L336" s="367"/>
      <c r="M336" s="179"/>
      <c r="N336" s="364"/>
      <c r="O336" s="179"/>
      <c r="P336" s="369"/>
      <c r="Q336" s="86">
        <f t="shared" si="25"/>
        <v>0</v>
      </c>
      <c r="R336" s="287"/>
      <c r="S336" s="364"/>
      <c r="T336" s="179"/>
      <c r="U336" s="364"/>
      <c r="V336" s="179"/>
      <c r="W336" s="364"/>
      <c r="X336" s="179"/>
      <c r="Y336" s="364"/>
      <c r="Z336" s="357"/>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4">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4"/>
      <c r="K337" s="237"/>
      <c r="L337" s="367"/>
      <c r="M337" s="179"/>
      <c r="N337" s="364"/>
      <c r="O337" s="179"/>
      <c r="P337" s="369"/>
      <c r="Q337" s="86">
        <f t="shared" si="25"/>
        <v>0</v>
      </c>
      <c r="R337" s="287"/>
      <c r="S337" s="364"/>
      <c r="T337" s="179"/>
      <c r="U337" s="364"/>
      <c r="V337" s="179"/>
      <c r="W337" s="364"/>
      <c r="X337" s="179"/>
      <c r="Y337" s="364"/>
      <c r="Z337" s="357"/>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4">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4"/>
      <c r="K338" s="237"/>
      <c r="L338" s="367"/>
      <c r="M338" s="179"/>
      <c r="N338" s="364"/>
      <c r="O338" s="179"/>
      <c r="P338" s="369"/>
      <c r="Q338" s="86">
        <f t="shared" si="25"/>
        <v>0</v>
      </c>
      <c r="R338" s="287"/>
      <c r="S338" s="364"/>
      <c r="T338" s="179"/>
      <c r="U338" s="364"/>
      <c r="V338" s="179"/>
      <c r="W338" s="364"/>
      <c r="X338" s="179"/>
      <c r="Y338" s="364"/>
      <c r="Z338" s="357"/>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4">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4"/>
      <c r="K339" s="237"/>
      <c r="L339" s="367"/>
      <c r="M339" s="179"/>
      <c r="N339" s="364"/>
      <c r="O339" s="179"/>
      <c r="P339" s="369"/>
      <c r="Q339" s="86">
        <f t="shared" si="25"/>
        <v>0</v>
      </c>
      <c r="R339" s="287"/>
      <c r="S339" s="364"/>
      <c r="T339" s="179"/>
      <c r="U339" s="364"/>
      <c r="V339" s="179"/>
      <c r="W339" s="364"/>
      <c r="X339" s="179"/>
      <c r="Y339" s="364"/>
      <c r="Z339" s="357"/>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4">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4"/>
      <c r="K340" s="237"/>
      <c r="L340" s="367"/>
      <c r="M340" s="179"/>
      <c r="N340" s="364"/>
      <c r="O340" s="179"/>
      <c r="P340" s="369"/>
      <c r="Q340" s="86">
        <f t="shared" si="25"/>
        <v>0</v>
      </c>
      <c r="R340" s="287"/>
      <c r="S340" s="364"/>
      <c r="T340" s="179"/>
      <c r="U340" s="364"/>
      <c r="V340" s="179"/>
      <c r="W340" s="364"/>
      <c r="X340" s="179"/>
      <c r="Y340" s="364"/>
      <c r="Z340" s="357"/>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4">
        <v>42296</v>
      </c>
      <c r="AU340" s="91">
        <f t="shared" si="27"/>
        <v>450880</v>
      </c>
    </row>
    <row r="341" spans="2:47" ht="56.25" hidden="1" x14ac:dyDescent="0.25">
      <c r="B341" s="2" t="str">
        <f>+'Base de Datos'!E341</f>
        <v xml:space="preserve">150302-0-2015 </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4"/>
      <c r="K341" s="237"/>
      <c r="L341" s="367"/>
      <c r="M341" s="179"/>
      <c r="N341" s="364"/>
      <c r="O341" s="179"/>
      <c r="P341" s="369"/>
      <c r="Q341" s="86">
        <f t="shared" si="25"/>
        <v>0</v>
      </c>
      <c r="R341" s="287"/>
      <c r="S341" s="364"/>
      <c r="T341" s="179"/>
      <c r="U341" s="364"/>
      <c r="V341" s="179"/>
      <c r="W341" s="364"/>
      <c r="X341" s="179"/>
      <c r="Y341" s="364"/>
      <c r="Z341" s="357"/>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4"/>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4"/>
      <c r="K342" s="237"/>
      <c r="L342" s="367"/>
      <c r="M342" s="179"/>
      <c r="N342" s="364"/>
      <c r="O342" s="179"/>
      <c r="P342" s="369"/>
      <c r="Q342" s="86">
        <f t="shared" si="25"/>
        <v>0</v>
      </c>
      <c r="R342" s="287"/>
      <c r="S342" s="364"/>
      <c r="T342" s="179"/>
      <c r="U342" s="364"/>
      <c r="V342" s="179"/>
      <c r="W342" s="364"/>
      <c r="X342" s="179"/>
      <c r="Y342" s="364"/>
      <c r="Z342" s="357"/>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4">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4"/>
      <c r="K343" s="237"/>
      <c r="L343" s="367"/>
      <c r="M343" s="179"/>
      <c r="N343" s="364"/>
      <c r="O343" s="179"/>
      <c r="P343" s="369"/>
      <c r="Q343" s="86">
        <f t="shared" si="25"/>
        <v>0</v>
      </c>
      <c r="R343" s="287"/>
      <c r="S343" s="364"/>
      <c r="T343" s="179"/>
      <c r="U343" s="364"/>
      <c r="V343" s="179"/>
      <c r="W343" s="364"/>
      <c r="X343" s="179"/>
      <c r="Y343" s="364"/>
      <c r="Z343" s="357"/>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4"/>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4"/>
      <c r="K344" s="237"/>
      <c r="L344" s="367"/>
      <c r="M344" s="179"/>
      <c r="N344" s="364"/>
      <c r="O344" s="179"/>
      <c r="P344" s="369"/>
      <c r="Q344" s="86">
        <f t="shared" si="25"/>
        <v>0</v>
      </c>
      <c r="R344" s="287"/>
      <c r="S344" s="364"/>
      <c r="T344" s="179"/>
      <c r="U344" s="364"/>
      <c r="V344" s="179"/>
      <c r="W344" s="364"/>
      <c r="X344" s="179"/>
      <c r="Y344" s="364"/>
      <c r="Z344" s="357"/>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4">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4"/>
      <c r="K345" s="237"/>
      <c r="L345" s="367"/>
      <c r="M345" s="179"/>
      <c r="N345" s="364"/>
      <c r="O345" s="179"/>
      <c r="P345" s="369"/>
      <c r="Q345" s="86">
        <f t="shared" si="25"/>
        <v>0</v>
      </c>
      <c r="R345" s="287"/>
      <c r="S345" s="364"/>
      <c r="T345" s="179"/>
      <c r="U345" s="364"/>
      <c r="V345" s="179"/>
      <c r="W345" s="364"/>
      <c r="X345" s="179"/>
      <c r="Y345" s="364"/>
      <c r="Z345" s="357"/>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4">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4"/>
      <c r="K346" s="237"/>
      <c r="L346" s="367"/>
      <c r="M346" s="179"/>
      <c r="N346" s="364"/>
      <c r="O346" s="179"/>
      <c r="P346" s="369"/>
      <c r="Q346" s="86">
        <f t="shared" si="25"/>
        <v>0</v>
      </c>
      <c r="R346" s="287"/>
      <c r="S346" s="364"/>
      <c r="T346" s="179"/>
      <c r="U346" s="364"/>
      <c r="V346" s="179"/>
      <c r="W346" s="364"/>
      <c r="X346" s="179"/>
      <c r="Y346" s="364"/>
      <c r="Z346" s="357"/>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4">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41">
        <v>41500000</v>
      </c>
      <c r="J347" s="364">
        <v>42368</v>
      </c>
      <c r="K347" s="237"/>
      <c r="L347" s="367"/>
      <c r="M347" s="179"/>
      <c r="N347" s="364"/>
      <c r="O347" s="179"/>
      <c r="P347" s="369"/>
      <c r="Q347" s="86">
        <f t="shared" si="25"/>
        <v>41500000</v>
      </c>
      <c r="R347" s="287"/>
      <c r="S347" s="364"/>
      <c r="T347" s="179"/>
      <c r="U347" s="364"/>
      <c r="V347" s="179"/>
      <c r="W347" s="364"/>
      <c r="X347" s="179"/>
      <c r="Y347" s="364"/>
      <c r="Z347" s="357"/>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4">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4"/>
      <c r="K348" s="237"/>
      <c r="L348" s="367"/>
      <c r="M348" s="179"/>
      <c r="N348" s="364"/>
      <c r="O348" s="179"/>
      <c r="P348" s="369"/>
      <c r="Q348" s="86">
        <f t="shared" si="25"/>
        <v>0</v>
      </c>
      <c r="R348" s="287"/>
      <c r="S348" s="364"/>
      <c r="T348" s="179"/>
      <c r="U348" s="364"/>
      <c r="V348" s="179"/>
      <c r="W348" s="364"/>
      <c r="X348" s="179"/>
      <c r="Y348" s="364"/>
      <c r="Z348" s="357"/>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4">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4"/>
      <c r="K349" s="237"/>
      <c r="L349" s="367"/>
      <c r="M349" s="179"/>
      <c r="N349" s="364"/>
      <c r="O349" s="179"/>
      <c r="P349" s="369"/>
      <c r="Q349" s="86">
        <f t="shared" si="25"/>
        <v>0</v>
      </c>
      <c r="R349" s="287"/>
      <c r="S349" s="364"/>
      <c r="T349" s="179"/>
      <c r="U349" s="364"/>
      <c r="V349" s="179"/>
      <c r="W349" s="364"/>
      <c r="X349" s="179"/>
      <c r="Y349" s="364"/>
      <c r="Z349" s="357"/>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4">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4"/>
      <c r="K350" s="237"/>
      <c r="L350" s="367"/>
      <c r="M350" s="179"/>
      <c r="N350" s="364"/>
      <c r="O350" s="179"/>
      <c r="P350" s="369"/>
      <c r="Q350" s="86">
        <f t="shared" si="25"/>
        <v>0</v>
      </c>
      <c r="R350" s="287"/>
      <c r="S350" s="364"/>
      <c r="T350" s="179"/>
      <c r="U350" s="364"/>
      <c r="V350" s="179"/>
      <c r="W350" s="364"/>
      <c r="X350" s="179"/>
      <c r="Y350" s="364"/>
      <c r="Z350" s="357"/>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4">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4"/>
      <c r="K351" s="237"/>
      <c r="L351" s="367"/>
      <c r="M351" s="179"/>
      <c r="N351" s="364"/>
      <c r="O351" s="179"/>
      <c r="P351" s="369"/>
      <c r="Q351" s="86">
        <f t="shared" si="25"/>
        <v>0</v>
      </c>
      <c r="R351" s="287"/>
      <c r="S351" s="364"/>
      <c r="T351" s="179"/>
      <c r="U351" s="364"/>
      <c r="V351" s="179"/>
      <c r="W351" s="364"/>
      <c r="X351" s="179"/>
      <c r="Y351" s="364"/>
      <c r="Z351" s="357"/>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4"/>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4"/>
      <c r="K352" s="237"/>
      <c r="L352" s="367"/>
      <c r="M352" s="179"/>
      <c r="N352" s="364"/>
      <c r="O352" s="179"/>
      <c r="P352" s="369"/>
      <c r="Q352" s="86">
        <f t="shared" si="25"/>
        <v>0</v>
      </c>
      <c r="R352" s="287" t="s">
        <v>381</v>
      </c>
      <c r="S352" s="364">
        <v>42582</v>
      </c>
      <c r="T352" s="179" t="s">
        <v>381</v>
      </c>
      <c r="U352" s="364">
        <v>42613</v>
      </c>
      <c r="V352" s="179" t="s">
        <v>381</v>
      </c>
      <c r="W352" s="364">
        <v>42643</v>
      </c>
      <c r="X352" s="179" t="s">
        <v>2723</v>
      </c>
      <c r="Y352" s="364">
        <v>42689</v>
      </c>
      <c r="Z352" s="357" t="s">
        <v>2889</v>
      </c>
      <c r="AA352" s="89">
        <v>42862</v>
      </c>
      <c r="AB352" s="237">
        <v>2983500</v>
      </c>
      <c r="AC352" s="237">
        <v>1491750</v>
      </c>
      <c r="AD352" s="237">
        <v>2983499</v>
      </c>
      <c r="AE352" s="237">
        <v>1491750</v>
      </c>
      <c r="AF352" s="237">
        <v>4475249</v>
      </c>
      <c r="AG352" s="237"/>
      <c r="AH352" s="237"/>
      <c r="AI352" s="237"/>
      <c r="AJ352" s="237"/>
      <c r="AK352" s="237"/>
      <c r="AL352" s="237"/>
      <c r="AM352" s="237"/>
      <c r="AN352" s="237"/>
      <c r="AO352" s="237"/>
      <c r="AP352" s="237"/>
      <c r="AQ352" s="237"/>
      <c r="AR352" s="237"/>
      <c r="AS352" s="237"/>
      <c r="AT352" s="364">
        <v>42598</v>
      </c>
      <c r="AU352" s="91">
        <f t="shared" si="27"/>
        <v>13425748</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4"/>
      <c r="K353" s="237"/>
      <c r="L353" s="367"/>
      <c r="M353" s="179"/>
      <c r="N353" s="364"/>
      <c r="O353" s="179"/>
      <c r="P353" s="369"/>
      <c r="Q353" s="86">
        <f t="shared" si="25"/>
        <v>0</v>
      </c>
      <c r="R353" s="287"/>
      <c r="S353" s="364"/>
      <c r="T353" s="179"/>
      <c r="U353" s="364"/>
      <c r="V353" s="179"/>
      <c r="W353" s="364"/>
      <c r="X353" s="179"/>
      <c r="Y353" s="364"/>
      <c r="Z353" s="357"/>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4">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4"/>
      <c r="K354" s="237"/>
      <c r="L354" s="367"/>
      <c r="M354" s="179"/>
      <c r="N354" s="364"/>
      <c r="O354" s="179"/>
      <c r="P354" s="369"/>
      <c r="Q354" s="86">
        <f t="shared" si="25"/>
        <v>0</v>
      </c>
      <c r="R354" s="287" t="s">
        <v>378</v>
      </c>
      <c r="S354" s="364">
        <v>42610</v>
      </c>
      <c r="T354" s="179"/>
      <c r="U354" s="364"/>
      <c r="V354" s="179"/>
      <c r="W354" s="364"/>
      <c r="X354" s="179"/>
      <c r="Y354" s="364"/>
      <c r="Z354" s="357"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4">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4"/>
      <c r="K355" s="237"/>
      <c r="L355" s="367"/>
      <c r="M355" s="179"/>
      <c r="N355" s="364"/>
      <c r="O355" s="179"/>
      <c r="P355" s="369"/>
      <c r="Q355" s="86">
        <f t="shared" si="25"/>
        <v>0</v>
      </c>
      <c r="R355" s="287"/>
      <c r="S355" s="364"/>
      <c r="T355" s="179"/>
      <c r="U355" s="364"/>
      <c r="V355" s="179"/>
      <c r="W355" s="364"/>
      <c r="X355" s="179"/>
      <c r="Y355" s="364"/>
      <c r="Z355" s="357"/>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4">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4">
        <v>42565</v>
      </c>
      <c r="K356" s="237">
        <v>32870759</v>
      </c>
      <c r="L356" s="367">
        <v>42657</v>
      </c>
      <c r="M356" s="179"/>
      <c r="N356" s="364"/>
      <c r="O356" s="179"/>
      <c r="P356" s="369"/>
      <c r="Q356" s="86">
        <f t="shared" si="25"/>
        <v>136483034</v>
      </c>
      <c r="R356" s="287" t="s">
        <v>379</v>
      </c>
      <c r="S356" s="364">
        <v>42657</v>
      </c>
      <c r="T356" s="179" t="s">
        <v>381</v>
      </c>
      <c r="U356" s="364">
        <v>42688</v>
      </c>
      <c r="V356" s="179"/>
      <c r="W356" s="364"/>
      <c r="X356" s="179"/>
      <c r="Y356" s="364"/>
      <c r="Z356" s="357" t="s">
        <v>380</v>
      </c>
      <c r="AA356" s="89">
        <f t="shared" si="26"/>
        <v>42688</v>
      </c>
      <c r="AB356" s="848">
        <v>21214654</v>
      </c>
      <c r="AC356" s="848">
        <v>318900</v>
      </c>
      <c r="AD356" s="848">
        <v>23785858</v>
      </c>
      <c r="AE356" s="848">
        <v>26280465</v>
      </c>
      <c r="AF356" s="848">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4">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4"/>
      <c r="K357" s="237"/>
      <c r="L357" s="367"/>
      <c r="M357" s="179"/>
      <c r="N357" s="364"/>
      <c r="O357" s="179"/>
      <c r="P357" s="369"/>
      <c r="Q357" s="86">
        <f t="shared" si="25"/>
        <v>0</v>
      </c>
      <c r="R357" s="287"/>
      <c r="S357" s="364"/>
      <c r="T357" s="179"/>
      <c r="U357" s="364"/>
      <c r="V357" s="179"/>
      <c r="W357" s="364"/>
      <c r="X357" s="179"/>
      <c r="Y357" s="364"/>
      <c r="Z357" s="357"/>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4">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4"/>
      <c r="K358" s="237"/>
      <c r="L358" s="367"/>
      <c r="M358" s="179"/>
      <c r="N358" s="364"/>
      <c r="O358" s="179"/>
      <c r="P358" s="369"/>
      <c r="Q358" s="86">
        <f t="shared" si="25"/>
        <v>0</v>
      </c>
      <c r="R358" s="287"/>
      <c r="S358" s="364"/>
      <c r="T358" s="179"/>
      <c r="U358" s="364"/>
      <c r="V358" s="179"/>
      <c r="W358" s="364"/>
      <c r="X358" s="179"/>
      <c r="Y358" s="364"/>
      <c r="Z358" s="357"/>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4"/>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4"/>
      <c r="K359" s="237"/>
      <c r="L359" s="367"/>
      <c r="M359" s="179"/>
      <c r="N359" s="364"/>
      <c r="O359" s="179"/>
      <c r="P359" s="369"/>
      <c r="Q359" s="86">
        <f t="shared" si="25"/>
        <v>0</v>
      </c>
      <c r="R359" s="287"/>
      <c r="S359" s="364"/>
      <c r="T359" s="179"/>
      <c r="U359" s="364"/>
      <c r="V359" s="179"/>
      <c r="W359" s="364"/>
      <c r="X359" s="179"/>
      <c r="Y359" s="364"/>
      <c r="Z359" s="357"/>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4"/>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4">
        <v>42635</v>
      </c>
      <c r="K360" s="237"/>
      <c r="L360" s="367"/>
      <c r="M360" s="179"/>
      <c r="N360" s="364"/>
      <c r="O360" s="179"/>
      <c r="P360" s="369"/>
      <c r="Q360" s="86">
        <f t="shared" si="25"/>
        <v>77477467</v>
      </c>
      <c r="R360" s="287" t="s">
        <v>382</v>
      </c>
      <c r="S360" s="364">
        <v>42841</v>
      </c>
      <c r="T360" s="179"/>
      <c r="U360" s="364"/>
      <c r="V360" s="179"/>
      <c r="W360" s="364"/>
      <c r="X360" s="179"/>
      <c r="Y360" s="364"/>
      <c r="Z360" s="357"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4">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4"/>
      <c r="K361" s="237"/>
      <c r="L361" s="367"/>
      <c r="M361" s="179"/>
      <c r="N361" s="364"/>
      <c r="O361" s="179"/>
      <c r="P361" s="369"/>
      <c r="Q361" s="86">
        <f t="shared" si="25"/>
        <v>0</v>
      </c>
      <c r="R361" s="878" t="s">
        <v>2746</v>
      </c>
      <c r="S361" s="364">
        <v>42735</v>
      </c>
      <c r="T361" s="179"/>
      <c r="U361" s="364"/>
      <c r="V361" s="179"/>
      <c r="W361" s="364"/>
      <c r="X361" s="179"/>
      <c r="Y361" s="364"/>
      <c r="Z361" s="357" t="s">
        <v>2747</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4">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4"/>
      <c r="K362" s="237"/>
      <c r="L362" s="367"/>
      <c r="M362" s="179"/>
      <c r="N362" s="364"/>
      <c r="O362" s="179"/>
      <c r="P362" s="369"/>
      <c r="Q362" s="86">
        <f t="shared" si="25"/>
        <v>0</v>
      </c>
      <c r="R362" s="287"/>
      <c r="S362" s="364"/>
      <c r="T362" s="179"/>
      <c r="U362" s="364"/>
      <c r="V362" s="179"/>
      <c r="W362" s="364"/>
      <c r="X362" s="179"/>
      <c r="Y362" s="364"/>
      <c r="Z362" s="357"/>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4"/>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4"/>
      <c r="K363" s="237"/>
      <c r="L363" s="367"/>
      <c r="M363" s="179"/>
      <c r="N363" s="364"/>
      <c r="O363" s="179"/>
      <c r="P363" s="369"/>
      <c r="Q363" s="86">
        <f t="shared" si="25"/>
        <v>0</v>
      </c>
      <c r="R363" s="287"/>
      <c r="S363" s="364"/>
      <c r="T363" s="179"/>
      <c r="U363" s="364"/>
      <c r="V363" s="179"/>
      <c r="W363" s="364"/>
      <c r="X363" s="179"/>
      <c r="Y363" s="364"/>
      <c r="Z363" s="357"/>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4">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4"/>
      <c r="K364" s="237"/>
      <c r="L364" s="367"/>
      <c r="M364" s="179"/>
      <c r="N364" s="364"/>
      <c r="O364" s="179"/>
      <c r="P364" s="369"/>
      <c r="Q364" s="86">
        <f t="shared" si="25"/>
        <v>0</v>
      </c>
      <c r="R364" s="287"/>
      <c r="S364" s="364"/>
      <c r="T364" s="179"/>
      <c r="U364" s="364"/>
      <c r="V364" s="179"/>
      <c r="W364" s="364"/>
      <c r="X364" s="179"/>
      <c r="Y364" s="364"/>
      <c r="Z364" s="357"/>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4">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4"/>
      <c r="K365" s="237"/>
      <c r="L365" s="367"/>
      <c r="M365" s="179"/>
      <c r="N365" s="364"/>
      <c r="O365" s="179"/>
      <c r="P365" s="369"/>
      <c r="Q365" s="86">
        <f t="shared" si="25"/>
        <v>0</v>
      </c>
      <c r="R365" s="287" t="s">
        <v>378</v>
      </c>
      <c r="S365" s="364">
        <v>42666</v>
      </c>
      <c r="T365" s="179" t="s">
        <v>2712</v>
      </c>
      <c r="U365" s="364">
        <v>42704</v>
      </c>
      <c r="V365" s="179"/>
      <c r="W365" s="364"/>
      <c r="X365" s="179"/>
      <c r="Y365" s="364"/>
      <c r="Z365" s="357" t="s">
        <v>2713</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4">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4">
        <v>42541</v>
      </c>
      <c r="K366" s="237">
        <v>86744000</v>
      </c>
      <c r="L366" s="367">
        <v>42593</v>
      </c>
      <c r="M366" s="179"/>
      <c r="N366" s="364"/>
      <c r="O366" s="179"/>
      <c r="P366" s="369"/>
      <c r="Q366" s="86">
        <f t="shared" si="25"/>
        <v>256744000</v>
      </c>
      <c r="R366" s="287" t="s">
        <v>2555</v>
      </c>
      <c r="S366" s="364">
        <v>42613</v>
      </c>
      <c r="T366" s="179" t="s">
        <v>1326</v>
      </c>
      <c r="U366" s="364">
        <v>42633</v>
      </c>
      <c r="V366" s="179"/>
      <c r="W366" s="364"/>
      <c r="X366" s="179"/>
      <c r="Y366" s="364"/>
      <c r="Z366" s="357" t="s">
        <v>2623</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4">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4"/>
      <c r="K367" s="237"/>
      <c r="L367" s="367"/>
      <c r="M367" s="179"/>
      <c r="N367" s="364"/>
      <c r="O367" s="179"/>
      <c r="P367" s="369"/>
      <c r="Q367" s="86">
        <f t="shared" si="25"/>
        <v>0</v>
      </c>
      <c r="R367" s="287"/>
      <c r="S367" s="364"/>
      <c r="T367" s="179"/>
      <c r="U367" s="364"/>
      <c r="V367" s="179"/>
      <c r="W367" s="364"/>
      <c r="X367" s="179"/>
      <c r="Y367" s="364"/>
      <c r="Z367" s="357"/>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4">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4"/>
      <c r="K368" s="237"/>
      <c r="L368" s="367"/>
      <c r="M368" s="179"/>
      <c r="N368" s="364"/>
      <c r="O368" s="179"/>
      <c r="P368" s="369"/>
      <c r="Q368" s="86">
        <f t="shared" si="25"/>
        <v>0</v>
      </c>
      <c r="R368" s="287"/>
      <c r="S368" s="364"/>
      <c r="T368" s="179"/>
      <c r="U368" s="364"/>
      <c r="V368" s="179"/>
      <c r="W368" s="364"/>
      <c r="X368" s="179"/>
      <c r="Y368" s="364"/>
      <c r="Z368" s="357"/>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4">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4"/>
      <c r="K369" s="237"/>
      <c r="L369" s="367"/>
      <c r="M369" s="179"/>
      <c r="N369" s="364"/>
      <c r="O369" s="179"/>
      <c r="P369" s="369"/>
      <c r="Q369" s="86">
        <f t="shared" ref="Q369:Q384" si="28">SUM(I369,K369,M369,O369)</f>
        <v>0</v>
      </c>
      <c r="R369" s="287" t="s">
        <v>544</v>
      </c>
      <c r="S369" s="364">
        <v>42544</v>
      </c>
      <c r="T369" s="179"/>
      <c r="U369" s="364"/>
      <c r="V369" s="179"/>
      <c r="W369" s="364"/>
      <c r="X369" s="179"/>
      <c r="Y369" s="364"/>
      <c r="Z369" s="357"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4">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4"/>
      <c r="K370" s="237"/>
      <c r="L370" s="367"/>
      <c r="M370" s="179"/>
      <c r="N370" s="364"/>
      <c r="O370" s="179"/>
      <c r="P370" s="369"/>
      <c r="Q370" s="86">
        <f t="shared" si="28"/>
        <v>0</v>
      </c>
      <c r="R370" s="287"/>
      <c r="S370" s="364"/>
      <c r="T370" s="179"/>
      <c r="U370" s="364"/>
      <c r="V370" s="179"/>
      <c r="W370" s="364"/>
      <c r="X370" s="179"/>
      <c r="Y370" s="364"/>
      <c r="Z370" s="357"/>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4">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4"/>
      <c r="K371" s="237"/>
      <c r="L371" s="367"/>
      <c r="M371" s="179"/>
      <c r="N371" s="364"/>
      <c r="O371" s="179"/>
      <c r="P371" s="369"/>
      <c r="Q371" s="86">
        <f t="shared" si="28"/>
        <v>0</v>
      </c>
      <c r="R371" s="287"/>
      <c r="S371" s="364"/>
      <c r="T371" s="179"/>
      <c r="U371" s="364"/>
      <c r="V371" s="179"/>
      <c r="W371" s="364"/>
      <c r="X371" s="179"/>
      <c r="Y371" s="364"/>
      <c r="Z371" s="357"/>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4">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4"/>
      <c r="K372" s="237"/>
      <c r="L372" s="367"/>
      <c r="M372" s="179"/>
      <c r="N372" s="364"/>
      <c r="O372" s="179"/>
      <c r="P372" s="369"/>
      <c r="Q372" s="86">
        <f t="shared" si="28"/>
        <v>0</v>
      </c>
      <c r="R372" s="287"/>
      <c r="S372" s="364"/>
      <c r="T372" s="179"/>
      <c r="U372" s="364"/>
      <c r="V372" s="179"/>
      <c r="W372" s="364"/>
      <c r="X372" s="179"/>
      <c r="Y372" s="364"/>
      <c r="Z372" s="357"/>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4">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4"/>
      <c r="K373" s="237"/>
      <c r="L373" s="367"/>
      <c r="M373" s="179"/>
      <c r="N373" s="364"/>
      <c r="O373" s="179"/>
      <c r="P373" s="369"/>
      <c r="Q373" s="86">
        <f t="shared" si="28"/>
        <v>0</v>
      </c>
      <c r="R373" s="287"/>
      <c r="S373" s="364"/>
      <c r="T373" s="179"/>
      <c r="U373" s="364"/>
      <c r="V373" s="179"/>
      <c r="W373" s="364"/>
      <c r="X373" s="179"/>
      <c r="Y373" s="364"/>
      <c r="Z373" s="357"/>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4">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4"/>
      <c r="K374" s="237"/>
      <c r="L374" s="367"/>
      <c r="M374" s="179"/>
      <c r="N374" s="364"/>
      <c r="O374" s="179"/>
      <c r="P374" s="369"/>
      <c r="Q374" s="86">
        <f t="shared" si="28"/>
        <v>0</v>
      </c>
      <c r="R374" s="287"/>
      <c r="S374" s="364"/>
      <c r="T374" s="179"/>
      <c r="U374" s="364"/>
      <c r="V374" s="179"/>
      <c r="W374" s="364"/>
      <c r="X374" s="179"/>
      <c r="Y374" s="364"/>
      <c r="Z374" s="357"/>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4">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4">
        <v>42627</v>
      </c>
      <c r="K375" s="237"/>
      <c r="L375" s="367"/>
      <c r="M375" s="179"/>
      <c r="N375" s="364"/>
      <c r="O375" s="179"/>
      <c r="P375" s="369"/>
      <c r="Q375" s="86">
        <f t="shared" si="28"/>
        <v>172500000</v>
      </c>
      <c r="R375" s="891" t="s">
        <v>2690</v>
      </c>
      <c r="S375" s="364">
        <v>42766</v>
      </c>
      <c r="T375" s="179"/>
      <c r="U375" s="364"/>
      <c r="V375" s="179"/>
      <c r="W375" s="364"/>
      <c r="X375" s="179"/>
      <c r="Y375" s="364"/>
      <c r="Z375" s="388" t="s">
        <v>2690</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4">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4"/>
      <c r="K376" s="237"/>
      <c r="L376" s="367"/>
      <c r="M376" s="179"/>
      <c r="N376" s="364"/>
      <c r="O376" s="179"/>
      <c r="P376" s="369"/>
      <c r="Q376" s="86">
        <f t="shared" si="28"/>
        <v>0</v>
      </c>
      <c r="R376" s="287"/>
      <c r="S376" s="364"/>
      <c r="T376" s="179"/>
      <c r="U376" s="364"/>
      <c r="V376" s="179"/>
      <c r="W376" s="364"/>
      <c r="X376" s="179"/>
      <c r="Y376" s="364"/>
      <c r="Z376" s="357"/>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4">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4"/>
      <c r="K377" s="237"/>
      <c r="L377" s="367"/>
      <c r="M377" s="179"/>
      <c r="N377" s="364"/>
      <c r="O377" s="179"/>
      <c r="P377" s="369"/>
      <c r="Q377" s="86">
        <f t="shared" si="28"/>
        <v>0</v>
      </c>
      <c r="R377" s="287"/>
      <c r="S377" s="364"/>
      <c r="T377" s="179"/>
      <c r="U377" s="364"/>
      <c r="V377" s="179"/>
      <c r="W377" s="364"/>
      <c r="X377" s="179"/>
      <c r="Y377" s="364"/>
      <c r="Z377" s="357"/>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4">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4"/>
      <c r="K378" s="237"/>
      <c r="L378" s="367"/>
      <c r="M378" s="179"/>
      <c r="N378" s="364"/>
      <c r="O378" s="179"/>
      <c r="P378" s="369"/>
      <c r="Q378" s="86">
        <f t="shared" si="28"/>
        <v>0</v>
      </c>
      <c r="R378" s="287" t="s">
        <v>2464</v>
      </c>
      <c r="S378" s="364">
        <v>42536</v>
      </c>
      <c r="T378" s="179"/>
      <c r="U378" s="364"/>
      <c r="V378" s="179"/>
      <c r="W378" s="364"/>
      <c r="X378" s="179"/>
      <c r="Y378" s="364"/>
      <c r="Z378" s="357"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4">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4"/>
      <c r="K379" s="237"/>
      <c r="L379" s="367"/>
      <c r="M379" s="179"/>
      <c r="N379" s="364"/>
      <c r="O379" s="179"/>
      <c r="P379" s="369"/>
      <c r="Q379" s="86">
        <f t="shared" si="28"/>
        <v>0</v>
      </c>
      <c r="R379" s="287"/>
      <c r="S379" s="364"/>
      <c r="T379" s="179"/>
      <c r="U379" s="364"/>
      <c r="V379" s="179"/>
      <c r="W379" s="364"/>
      <c r="X379" s="179"/>
      <c r="Y379" s="364"/>
      <c r="Z379" s="357"/>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4">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4"/>
      <c r="K380" s="237"/>
      <c r="L380" s="367"/>
      <c r="M380" s="179"/>
      <c r="N380" s="364"/>
      <c r="O380" s="179"/>
      <c r="P380" s="369"/>
      <c r="Q380" s="86">
        <f t="shared" si="28"/>
        <v>0</v>
      </c>
      <c r="R380" s="287"/>
      <c r="S380" s="364"/>
      <c r="T380" s="179"/>
      <c r="U380" s="364"/>
      <c r="V380" s="179"/>
      <c r="W380" s="364"/>
      <c r="X380" s="179"/>
      <c r="Y380" s="364"/>
      <c r="Z380" s="357"/>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4"/>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4">
        <v>42643</v>
      </c>
      <c r="K381" s="237">
        <v>75000000</v>
      </c>
      <c r="L381" s="367"/>
      <c r="M381" s="179"/>
      <c r="N381" s="364"/>
      <c r="O381" s="179"/>
      <c r="P381" s="369"/>
      <c r="Q381" s="86">
        <f t="shared" si="28"/>
        <v>125000000</v>
      </c>
      <c r="R381" s="287" t="s">
        <v>379</v>
      </c>
      <c r="S381" s="364">
        <v>42650</v>
      </c>
      <c r="T381" s="179" t="s">
        <v>2696</v>
      </c>
      <c r="U381" s="364"/>
      <c r="V381" s="179"/>
      <c r="W381" s="364"/>
      <c r="X381" s="179"/>
      <c r="Y381" s="364"/>
      <c r="Z381" s="357" t="s">
        <v>2697</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4">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4"/>
      <c r="K382" s="237"/>
      <c r="L382" s="367"/>
      <c r="M382" s="179"/>
      <c r="N382" s="364"/>
      <c r="O382" s="179"/>
      <c r="P382" s="369"/>
      <c r="Q382" s="86">
        <f t="shared" si="28"/>
        <v>0</v>
      </c>
      <c r="R382" s="287"/>
      <c r="S382" s="364"/>
      <c r="T382" s="179"/>
      <c r="U382" s="364"/>
      <c r="V382" s="179"/>
      <c r="W382" s="364"/>
      <c r="X382" s="179"/>
      <c r="Y382" s="364"/>
      <c r="Z382" s="357"/>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4">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4"/>
      <c r="K383" s="237"/>
      <c r="L383" s="367"/>
      <c r="M383" s="179"/>
      <c r="N383" s="364"/>
      <c r="O383" s="179"/>
      <c r="P383" s="369"/>
      <c r="Q383" s="86">
        <f t="shared" si="28"/>
        <v>0</v>
      </c>
      <c r="R383" s="287"/>
      <c r="S383" s="364"/>
      <c r="T383" s="179"/>
      <c r="U383" s="364"/>
      <c r="V383" s="179"/>
      <c r="W383" s="364"/>
      <c r="X383" s="179"/>
      <c r="Y383" s="364"/>
      <c r="Z383" s="357"/>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4">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4"/>
      <c r="K384" s="237"/>
      <c r="L384" s="367"/>
      <c r="M384" s="179"/>
      <c r="N384" s="364"/>
      <c r="O384" s="179"/>
      <c r="P384" s="369"/>
      <c r="Q384" s="86">
        <f t="shared" si="28"/>
        <v>0</v>
      </c>
      <c r="R384" s="287"/>
      <c r="S384" s="364"/>
      <c r="T384" s="179"/>
      <c r="U384" s="364"/>
      <c r="V384" s="179"/>
      <c r="W384" s="364"/>
      <c r="X384" s="179"/>
      <c r="Y384" s="364"/>
      <c r="Z384" s="357"/>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4">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4"/>
      <c r="K385" s="237"/>
      <c r="L385" s="367"/>
      <c r="M385" s="179"/>
      <c r="N385" s="364"/>
      <c r="O385" s="179"/>
      <c r="P385" s="369"/>
      <c r="Q385" s="86">
        <f t="shared" ref="Q385:Q448" si="31">SUM(I385,K385,M385,O385)</f>
        <v>0</v>
      </c>
      <c r="R385" s="287"/>
      <c r="S385" s="364"/>
      <c r="T385" s="179"/>
      <c r="U385" s="364"/>
      <c r="V385" s="179"/>
      <c r="W385" s="364"/>
      <c r="X385" s="179"/>
      <c r="Y385" s="364"/>
      <c r="Z385" s="357"/>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4">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4"/>
      <c r="K386" s="237"/>
      <c r="L386" s="367"/>
      <c r="M386" s="179"/>
      <c r="N386" s="364"/>
      <c r="O386" s="179"/>
      <c r="P386" s="369"/>
      <c r="Q386" s="86">
        <f t="shared" si="31"/>
        <v>0</v>
      </c>
      <c r="R386" s="287"/>
      <c r="S386" s="364"/>
      <c r="T386" s="179"/>
      <c r="U386" s="364"/>
      <c r="V386" s="179"/>
      <c r="W386" s="364"/>
      <c r="X386" s="179"/>
      <c r="Y386" s="364"/>
      <c r="Z386" s="357"/>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4">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4"/>
      <c r="K387" s="237"/>
      <c r="L387" s="367"/>
      <c r="M387" s="179"/>
      <c r="N387" s="364"/>
      <c r="O387" s="179"/>
      <c r="P387" s="369"/>
      <c r="Q387" s="86">
        <f t="shared" si="31"/>
        <v>0</v>
      </c>
      <c r="R387" s="287"/>
      <c r="S387" s="364"/>
      <c r="T387" s="179"/>
      <c r="U387" s="364"/>
      <c r="V387" s="179"/>
      <c r="W387" s="364"/>
      <c r="X387" s="179"/>
      <c r="Y387" s="364"/>
      <c r="Z387" s="357"/>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4">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4"/>
      <c r="K388" s="237"/>
      <c r="L388" s="367"/>
      <c r="M388" s="179"/>
      <c r="N388" s="364"/>
      <c r="O388" s="179"/>
      <c r="P388" s="369"/>
      <c r="Q388" s="86">
        <f t="shared" si="31"/>
        <v>0</v>
      </c>
      <c r="R388" s="287"/>
      <c r="S388" s="364"/>
      <c r="T388" s="179"/>
      <c r="U388" s="364"/>
      <c r="V388" s="179"/>
      <c r="W388" s="364"/>
      <c r="X388" s="179"/>
      <c r="Y388" s="364"/>
      <c r="Z388" s="357"/>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4">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4"/>
      <c r="K389" s="237"/>
      <c r="L389" s="367"/>
      <c r="M389" s="179"/>
      <c r="N389" s="364"/>
      <c r="O389" s="179"/>
      <c r="P389" s="369"/>
      <c r="Q389" s="86">
        <f t="shared" si="31"/>
        <v>0</v>
      </c>
      <c r="R389" s="287"/>
      <c r="S389" s="364"/>
      <c r="T389" s="179"/>
      <c r="U389" s="364"/>
      <c r="V389" s="179"/>
      <c r="W389" s="364"/>
      <c r="X389" s="179"/>
      <c r="Y389" s="364"/>
      <c r="Z389" s="357"/>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4">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4">
        <v>42741</v>
      </c>
      <c r="K390" s="237"/>
      <c r="L390" s="367"/>
      <c r="M390" s="179"/>
      <c r="N390" s="364"/>
      <c r="O390" s="179"/>
      <c r="P390" s="369"/>
      <c r="Q390" s="86">
        <f t="shared" si="31"/>
        <v>40418052</v>
      </c>
      <c r="R390" s="287" t="s">
        <v>378</v>
      </c>
      <c r="S390" s="364">
        <v>42800</v>
      </c>
      <c r="T390" s="179"/>
      <c r="U390" s="364"/>
      <c r="V390" s="179"/>
      <c r="W390" s="364"/>
      <c r="X390" s="179"/>
      <c r="Y390" s="364"/>
      <c r="Z390" s="357"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4">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4"/>
      <c r="K391" s="237"/>
      <c r="L391" s="367"/>
      <c r="M391" s="179"/>
      <c r="N391" s="364"/>
      <c r="O391" s="179"/>
      <c r="P391" s="369"/>
      <c r="Q391" s="86">
        <f t="shared" si="31"/>
        <v>0</v>
      </c>
      <c r="R391" s="287" t="s">
        <v>962</v>
      </c>
      <c r="S391" s="364">
        <v>42750</v>
      </c>
      <c r="T391" s="179"/>
      <c r="U391" s="364"/>
      <c r="V391" s="179"/>
      <c r="W391" s="364"/>
      <c r="X391" s="179"/>
      <c r="Y391" s="364"/>
      <c r="Z391" s="357"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4">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4"/>
      <c r="K392" s="237"/>
      <c r="L392" s="367"/>
      <c r="M392" s="179"/>
      <c r="N392" s="364"/>
      <c r="O392" s="179"/>
      <c r="P392" s="369"/>
      <c r="Q392" s="86">
        <f t="shared" si="31"/>
        <v>0</v>
      </c>
      <c r="R392" s="287"/>
      <c r="S392" s="364"/>
      <c r="T392" s="179"/>
      <c r="U392" s="364"/>
      <c r="V392" s="179"/>
      <c r="W392" s="364"/>
      <c r="X392" s="179"/>
      <c r="Y392" s="364"/>
      <c r="Z392" s="357"/>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4">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4"/>
      <c r="K393" s="237"/>
      <c r="L393" s="367"/>
      <c r="M393" s="179"/>
      <c r="N393" s="364"/>
      <c r="O393" s="179"/>
      <c r="P393" s="369"/>
      <c r="Q393" s="86">
        <f t="shared" si="31"/>
        <v>0</v>
      </c>
      <c r="R393" s="287"/>
      <c r="S393" s="364"/>
      <c r="T393" s="179"/>
      <c r="U393" s="364"/>
      <c r="V393" s="179"/>
      <c r="W393" s="364"/>
      <c r="X393" s="179"/>
      <c r="Y393" s="364"/>
      <c r="Z393" s="357"/>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4">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4"/>
      <c r="K394" s="237"/>
      <c r="L394" s="367"/>
      <c r="M394" s="179"/>
      <c r="N394" s="364"/>
      <c r="O394" s="179"/>
      <c r="P394" s="369"/>
      <c r="Q394" s="86">
        <f t="shared" si="31"/>
        <v>0</v>
      </c>
      <c r="R394" s="287"/>
      <c r="S394" s="364"/>
      <c r="T394" s="179"/>
      <c r="U394" s="364"/>
      <c r="V394" s="179"/>
      <c r="W394" s="364"/>
      <c r="X394" s="179"/>
      <c r="Y394" s="364"/>
      <c r="Z394" s="357"/>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4">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4"/>
      <c r="K395" s="237"/>
      <c r="L395" s="367"/>
      <c r="M395" s="179"/>
      <c r="N395" s="364"/>
      <c r="O395" s="179"/>
      <c r="P395" s="369"/>
      <c r="Q395" s="86">
        <f t="shared" si="31"/>
        <v>0</v>
      </c>
      <c r="R395" s="287"/>
      <c r="S395" s="364"/>
      <c r="T395" s="179"/>
      <c r="U395" s="364"/>
      <c r="V395" s="179"/>
      <c r="W395" s="364"/>
      <c r="X395" s="179"/>
      <c r="Y395" s="364"/>
      <c r="Z395" s="357"/>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4">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4"/>
      <c r="K396" s="237"/>
      <c r="L396" s="367"/>
      <c r="M396" s="179"/>
      <c r="N396" s="364"/>
      <c r="O396" s="179"/>
      <c r="P396" s="369"/>
      <c r="Q396" s="86">
        <f t="shared" si="31"/>
        <v>0</v>
      </c>
      <c r="R396" s="287"/>
      <c r="S396" s="364"/>
      <c r="T396" s="179"/>
      <c r="U396" s="364"/>
      <c r="V396" s="179"/>
      <c r="W396" s="364"/>
      <c r="X396" s="179"/>
      <c r="Y396" s="364"/>
      <c r="Z396" s="357"/>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4">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4"/>
      <c r="K397" s="237"/>
      <c r="L397" s="367"/>
      <c r="M397" s="179"/>
      <c r="N397" s="364"/>
      <c r="O397" s="179"/>
      <c r="P397" s="369"/>
      <c r="Q397" s="86">
        <f t="shared" si="31"/>
        <v>0</v>
      </c>
      <c r="R397" s="878" t="s">
        <v>2972</v>
      </c>
      <c r="S397" s="364">
        <v>42898</v>
      </c>
      <c r="T397" s="179"/>
      <c r="U397" s="364"/>
      <c r="V397" s="179"/>
      <c r="W397" s="364"/>
      <c r="X397" s="179"/>
      <c r="Y397" s="364"/>
      <c r="Z397" s="357" t="s">
        <v>2973</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4">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4"/>
      <c r="K398" s="237"/>
      <c r="L398" s="367"/>
      <c r="M398" s="179"/>
      <c r="N398" s="364"/>
      <c r="O398" s="179"/>
      <c r="P398" s="369"/>
      <c r="Q398" s="86">
        <f t="shared" si="31"/>
        <v>0</v>
      </c>
      <c r="R398" s="287"/>
      <c r="S398" s="364"/>
      <c r="T398" s="179"/>
      <c r="U398" s="364"/>
      <c r="V398" s="179"/>
      <c r="W398" s="364"/>
      <c r="X398" s="179"/>
      <c r="Y398" s="364"/>
      <c r="Z398" s="357"/>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4">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4"/>
      <c r="K399" s="237"/>
      <c r="L399" s="367"/>
      <c r="M399" s="179"/>
      <c r="N399" s="364"/>
      <c r="O399" s="179"/>
      <c r="P399" s="369"/>
      <c r="Q399" s="86">
        <f t="shared" si="31"/>
        <v>0</v>
      </c>
      <c r="R399" s="287"/>
      <c r="S399" s="364"/>
      <c r="T399" s="179"/>
      <c r="U399" s="364"/>
      <c r="V399" s="179"/>
      <c r="W399" s="364"/>
      <c r="X399" s="179"/>
      <c r="Y399" s="364"/>
      <c r="Z399" s="357"/>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4">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4"/>
      <c r="K400" s="237"/>
      <c r="L400" s="367"/>
      <c r="M400" s="179"/>
      <c r="N400" s="364"/>
      <c r="O400" s="179"/>
      <c r="P400" s="369"/>
      <c r="Q400" s="86">
        <f t="shared" si="31"/>
        <v>0</v>
      </c>
      <c r="R400" s="287"/>
      <c r="S400" s="364"/>
      <c r="T400" s="179"/>
      <c r="U400" s="364"/>
      <c r="V400" s="179"/>
      <c r="W400" s="364"/>
      <c r="X400" s="179"/>
      <c r="Y400" s="364"/>
      <c r="Z400" s="357"/>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4">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4"/>
      <c r="K401" s="237"/>
      <c r="L401" s="367"/>
      <c r="M401" s="179"/>
      <c r="N401" s="364"/>
      <c r="O401" s="179"/>
      <c r="P401" s="369"/>
      <c r="Q401" s="86">
        <f t="shared" si="31"/>
        <v>0</v>
      </c>
      <c r="R401" s="287"/>
      <c r="S401" s="364"/>
      <c r="T401" s="179"/>
      <c r="U401" s="364"/>
      <c r="V401" s="179"/>
      <c r="W401" s="364"/>
      <c r="X401" s="179"/>
      <c r="Y401" s="364"/>
      <c r="Z401" s="357"/>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4">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4"/>
      <c r="K402" s="237"/>
      <c r="L402" s="367"/>
      <c r="M402" s="179"/>
      <c r="N402" s="364"/>
      <c r="O402" s="179"/>
      <c r="P402" s="369"/>
      <c r="Q402" s="86">
        <f t="shared" si="31"/>
        <v>0</v>
      </c>
      <c r="R402" s="287" t="s">
        <v>378</v>
      </c>
      <c r="S402" s="364">
        <v>42845</v>
      </c>
      <c r="T402" s="179"/>
      <c r="U402" s="364"/>
      <c r="V402" s="179"/>
      <c r="W402" s="364"/>
      <c r="X402" s="179"/>
      <c r="Y402" s="364"/>
      <c r="Z402" s="357"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4">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4"/>
      <c r="K403" s="237"/>
      <c r="L403" s="367"/>
      <c r="M403" s="179"/>
      <c r="N403" s="364"/>
      <c r="O403" s="179"/>
      <c r="P403" s="369"/>
      <c r="Q403" s="86">
        <f t="shared" si="31"/>
        <v>0</v>
      </c>
      <c r="R403" s="287" t="s">
        <v>378</v>
      </c>
      <c r="S403" s="364">
        <v>42833</v>
      </c>
      <c r="T403" s="179"/>
      <c r="U403" s="364"/>
      <c r="V403" s="179"/>
      <c r="W403" s="364"/>
      <c r="X403" s="179"/>
      <c r="Y403" s="364"/>
      <c r="Z403" s="357"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4">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4">
        <v>42860</v>
      </c>
      <c r="K404" s="237"/>
      <c r="L404" s="367"/>
      <c r="M404" s="179"/>
      <c r="N404" s="364"/>
      <c r="O404" s="179"/>
      <c r="P404" s="369"/>
      <c r="Q404" s="86">
        <f t="shared" si="31"/>
        <v>40000000</v>
      </c>
      <c r="R404" s="878" t="s">
        <v>2890</v>
      </c>
      <c r="S404" s="364">
        <v>42846</v>
      </c>
      <c r="T404" s="178" t="s">
        <v>543</v>
      </c>
      <c r="U404" s="364">
        <v>42867</v>
      </c>
      <c r="V404" s="179"/>
      <c r="W404" s="364"/>
      <c r="X404" s="179"/>
      <c r="Y404" s="364"/>
      <c r="Z404" s="357" t="s">
        <v>2891</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4">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4"/>
      <c r="K405" s="237"/>
      <c r="L405" s="367"/>
      <c r="M405" s="179"/>
      <c r="N405" s="364"/>
      <c r="O405" s="179"/>
      <c r="P405" s="369"/>
      <c r="Q405" s="86">
        <f t="shared" si="31"/>
        <v>0</v>
      </c>
      <c r="R405" s="287"/>
      <c r="S405" s="364"/>
      <c r="T405" s="179"/>
      <c r="U405" s="364"/>
      <c r="V405" s="179"/>
      <c r="W405" s="364"/>
      <c r="X405" s="179"/>
      <c r="Y405" s="364"/>
      <c r="Z405" s="357"/>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4">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4"/>
      <c r="K406" s="237"/>
      <c r="L406" s="367"/>
      <c r="M406" s="179"/>
      <c r="N406" s="364"/>
      <c r="O406" s="179"/>
      <c r="P406" s="369"/>
      <c r="Q406" s="86">
        <f t="shared" si="31"/>
        <v>0</v>
      </c>
      <c r="R406" s="287"/>
      <c r="S406" s="364"/>
      <c r="T406" s="179"/>
      <c r="U406" s="364"/>
      <c r="V406" s="179"/>
      <c r="W406" s="364"/>
      <c r="X406" s="179"/>
      <c r="Y406" s="364"/>
      <c r="Z406" s="357"/>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4">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4"/>
      <c r="K407" s="237"/>
      <c r="L407" s="367"/>
      <c r="M407" s="179"/>
      <c r="N407" s="364"/>
      <c r="O407" s="179"/>
      <c r="P407" s="369"/>
      <c r="Q407" s="86">
        <f t="shared" si="31"/>
        <v>0</v>
      </c>
      <c r="R407" s="287"/>
      <c r="S407" s="364"/>
      <c r="T407" s="179"/>
      <c r="U407" s="364"/>
      <c r="V407" s="179"/>
      <c r="W407" s="364"/>
      <c r="X407" s="179"/>
      <c r="Y407" s="364"/>
      <c r="Z407" s="357"/>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4">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4"/>
      <c r="K408" s="237"/>
      <c r="L408" s="367"/>
      <c r="M408" s="179"/>
      <c r="N408" s="364"/>
      <c r="O408" s="179"/>
      <c r="P408" s="369"/>
      <c r="Q408" s="86">
        <f t="shared" si="31"/>
        <v>0</v>
      </c>
      <c r="R408" s="287"/>
      <c r="S408" s="364"/>
      <c r="T408" s="179"/>
      <c r="U408" s="364"/>
      <c r="V408" s="179"/>
      <c r="W408" s="364"/>
      <c r="X408" s="179"/>
      <c r="Y408" s="364"/>
      <c r="Z408" s="357"/>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4">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4"/>
      <c r="K409" s="237"/>
      <c r="L409" s="367"/>
      <c r="M409" s="179"/>
      <c r="N409" s="364"/>
      <c r="O409" s="179"/>
      <c r="P409" s="369"/>
      <c r="Q409" s="86">
        <f t="shared" si="31"/>
        <v>0</v>
      </c>
      <c r="R409" s="287"/>
      <c r="S409" s="364"/>
      <c r="T409" s="179"/>
      <c r="U409" s="364"/>
      <c r="V409" s="179"/>
      <c r="W409" s="364"/>
      <c r="X409" s="179"/>
      <c r="Y409" s="364"/>
      <c r="Z409" s="357"/>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4">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4"/>
      <c r="K410" s="237"/>
      <c r="L410" s="367"/>
      <c r="M410" s="179"/>
      <c r="N410" s="364"/>
      <c r="O410" s="179"/>
      <c r="P410" s="369"/>
      <c r="Q410" s="86">
        <f t="shared" si="31"/>
        <v>0</v>
      </c>
      <c r="R410" s="287"/>
      <c r="S410" s="364"/>
      <c r="T410" s="179"/>
      <c r="U410" s="364"/>
      <c r="V410" s="179"/>
      <c r="W410" s="364"/>
      <c r="X410" s="179"/>
      <c r="Y410" s="364"/>
      <c r="Z410" s="357"/>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4">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4"/>
      <c r="K411" s="237"/>
      <c r="L411" s="367"/>
      <c r="M411" s="179"/>
      <c r="N411" s="364"/>
      <c r="O411" s="179"/>
      <c r="P411" s="369"/>
      <c r="Q411" s="86">
        <f t="shared" si="31"/>
        <v>0</v>
      </c>
      <c r="R411" s="287"/>
      <c r="S411" s="364"/>
      <c r="T411" s="179"/>
      <c r="U411" s="364"/>
      <c r="V411" s="179"/>
      <c r="W411" s="364"/>
      <c r="X411" s="179"/>
      <c r="Y411" s="364"/>
      <c r="Z411" s="357"/>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4">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4"/>
      <c r="K412" s="237"/>
      <c r="L412" s="367"/>
      <c r="M412" s="179"/>
      <c r="N412" s="364"/>
      <c r="O412" s="179"/>
      <c r="P412" s="369"/>
      <c r="Q412" s="86">
        <f t="shared" si="31"/>
        <v>0</v>
      </c>
      <c r="R412" s="287"/>
      <c r="S412" s="364"/>
      <c r="T412" s="179"/>
      <c r="U412" s="364"/>
      <c r="V412" s="179"/>
      <c r="W412" s="364"/>
      <c r="X412" s="179"/>
      <c r="Y412" s="364"/>
      <c r="Z412" s="357"/>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4">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4"/>
      <c r="K413" s="237"/>
      <c r="L413" s="367"/>
      <c r="M413" s="179"/>
      <c r="N413" s="364"/>
      <c r="O413" s="179"/>
      <c r="P413" s="369"/>
      <c r="Q413" s="86">
        <f t="shared" si="31"/>
        <v>0</v>
      </c>
      <c r="R413" s="287"/>
      <c r="S413" s="364"/>
      <c r="T413" s="179"/>
      <c r="U413" s="364"/>
      <c r="V413" s="179"/>
      <c r="W413" s="364"/>
      <c r="X413" s="179"/>
      <c r="Y413" s="364"/>
      <c r="Z413" s="357"/>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4">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4"/>
      <c r="K414" s="237"/>
      <c r="L414" s="367"/>
      <c r="M414" s="179"/>
      <c r="N414" s="364"/>
      <c r="O414" s="179"/>
      <c r="P414" s="369"/>
      <c r="Q414" s="86">
        <f t="shared" si="31"/>
        <v>0</v>
      </c>
      <c r="R414" s="287"/>
      <c r="S414" s="364"/>
      <c r="T414" s="179"/>
      <c r="U414" s="364"/>
      <c r="V414" s="179"/>
      <c r="W414" s="364"/>
      <c r="X414" s="179"/>
      <c r="Y414" s="364"/>
      <c r="Z414" s="357"/>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4">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4"/>
      <c r="K415" s="237"/>
      <c r="L415" s="367"/>
      <c r="M415" s="179"/>
      <c r="N415" s="364"/>
      <c r="O415" s="179"/>
      <c r="P415" s="369"/>
      <c r="Q415" s="86">
        <f t="shared" si="31"/>
        <v>0</v>
      </c>
      <c r="R415" s="287" t="s">
        <v>379</v>
      </c>
      <c r="S415" s="364">
        <v>42824</v>
      </c>
      <c r="T415" s="179"/>
      <c r="U415" s="364"/>
      <c r="V415" s="179"/>
      <c r="W415" s="364"/>
      <c r="X415" s="179"/>
      <c r="Y415" s="364"/>
      <c r="Z415" s="357"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4">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4"/>
      <c r="K416" s="237"/>
      <c r="L416" s="367"/>
      <c r="M416" s="179"/>
      <c r="N416" s="364"/>
      <c r="O416" s="179"/>
      <c r="P416" s="369"/>
      <c r="Q416" s="86">
        <f t="shared" si="31"/>
        <v>0</v>
      </c>
      <c r="R416" s="287"/>
      <c r="S416" s="364"/>
      <c r="T416" s="179"/>
      <c r="U416" s="364"/>
      <c r="V416" s="179"/>
      <c r="W416" s="364"/>
      <c r="X416" s="179"/>
      <c r="Y416" s="364"/>
      <c r="Z416" s="357"/>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4">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4"/>
      <c r="K417" s="237"/>
      <c r="L417" s="367"/>
      <c r="M417" s="179"/>
      <c r="N417" s="364"/>
      <c r="O417" s="179"/>
      <c r="P417" s="369"/>
      <c r="Q417" s="86">
        <f t="shared" si="31"/>
        <v>0</v>
      </c>
      <c r="R417" s="287"/>
      <c r="S417" s="364"/>
      <c r="T417" s="179"/>
      <c r="U417" s="364"/>
      <c r="V417" s="179"/>
      <c r="W417" s="364"/>
      <c r="X417" s="179"/>
      <c r="Y417" s="364"/>
      <c r="Z417" s="357"/>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4">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4"/>
      <c r="K418" s="237"/>
      <c r="L418" s="367"/>
      <c r="M418" s="179"/>
      <c r="N418" s="364"/>
      <c r="O418" s="179"/>
      <c r="P418" s="369"/>
      <c r="Q418" s="86">
        <f t="shared" si="31"/>
        <v>0</v>
      </c>
      <c r="R418" s="287"/>
      <c r="S418" s="364"/>
      <c r="T418" s="179"/>
      <c r="U418" s="364"/>
      <c r="V418" s="179"/>
      <c r="W418" s="364"/>
      <c r="X418" s="179"/>
      <c r="Y418" s="364"/>
      <c r="Z418" s="357"/>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4">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4"/>
      <c r="K419" s="237"/>
      <c r="L419" s="367"/>
      <c r="M419" s="179"/>
      <c r="N419" s="364"/>
      <c r="O419" s="179"/>
      <c r="P419" s="369"/>
      <c r="Q419" s="86">
        <f t="shared" si="31"/>
        <v>0</v>
      </c>
      <c r="R419" s="287" t="s">
        <v>2712</v>
      </c>
      <c r="S419" s="364">
        <v>42766</v>
      </c>
      <c r="T419" s="179"/>
      <c r="U419" s="364"/>
      <c r="V419" s="179"/>
      <c r="W419" s="364"/>
      <c r="X419" s="179"/>
      <c r="Y419" s="364"/>
      <c r="Z419" s="357" t="s">
        <v>2712</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4">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4"/>
      <c r="K420" s="237"/>
      <c r="L420" s="367"/>
      <c r="M420" s="179"/>
      <c r="N420" s="364"/>
      <c r="O420" s="179"/>
      <c r="P420" s="369"/>
      <c r="Q420" s="86">
        <f t="shared" si="31"/>
        <v>0</v>
      </c>
      <c r="R420" s="287" t="s">
        <v>378</v>
      </c>
      <c r="S420" s="364">
        <v>42891</v>
      </c>
      <c r="T420" s="179"/>
      <c r="U420" s="364"/>
      <c r="V420" s="179"/>
      <c r="W420" s="364"/>
      <c r="X420" s="179"/>
      <c r="Y420" s="364"/>
      <c r="Z420" s="357"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4">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4"/>
      <c r="K421" s="237"/>
      <c r="L421" s="367"/>
      <c r="M421" s="179"/>
      <c r="N421" s="364"/>
      <c r="O421" s="179"/>
      <c r="P421" s="369"/>
      <c r="Q421" s="86">
        <f t="shared" si="31"/>
        <v>0</v>
      </c>
      <c r="R421" s="287" t="s">
        <v>378</v>
      </c>
      <c r="S421" s="364">
        <v>42830</v>
      </c>
      <c r="T421" s="179"/>
      <c r="U421" s="364"/>
      <c r="V421" s="179"/>
      <c r="W421" s="364"/>
      <c r="X421" s="179"/>
      <c r="Y421" s="364"/>
      <c r="Z421" s="357"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4">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4"/>
      <c r="K422" s="237"/>
      <c r="L422" s="367"/>
      <c r="M422" s="179"/>
      <c r="N422" s="364"/>
      <c r="O422" s="179"/>
      <c r="P422" s="369"/>
      <c r="Q422" s="86">
        <f t="shared" si="31"/>
        <v>0</v>
      </c>
      <c r="R422" s="287"/>
      <c r="S422" s="364"/>
      <c r="T422" s="179"/>
      <c r="U422" s="364"/>
      <c r="V422" s="179"/>
      <c r="W422" s="364"/>
      <c r="X422" s="179"/>
      <c r="Y422" s="364"/>
      <c r="Z422" s="357"/>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4">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4"/>
      <c r="K423" s="237"/>
      <c r="L423" s="367"/>
      <c r="M423" s="179"/>
      <c r="N423" s="364"/>
      <c r="O423" s="179"/>
      <c r="P423" s="369"/>
      <c r="Q423" s="86">
        <f t="shared" si="31"/>
        <v>0</v>
      </c>
      <c r="R423" s="287"/>
      <c r="S423" s="364"/>
      <c r="T423" s="179"/>
      <c r="U423" s="364"/>
      <c r="V423" s="179"/>
      <c r="W423" s="364"/>
      <c r="X423" s="179"/>
      <c r="Y423" s="364"/>
      <c r="Z423" s="357"/>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4">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4"/>
      <c r="K424" s="237"/>
      <c r="L424" s="367"/>
      <c r="M424" s="179"/>
      <c r="N424" s="364"/>
      <c r="O424" s="179"/>
      <c r="P424" s="369"/>
      <c r="Q424" s="86">
        <f t="shared" si="31"/>
        <v>0</v>
      </c>
      <c r="R424" s="287"/>
      <c r="S424" s="364"/>
      <c r="T424" s="179"/>
      <c r="U424" s="364"/>
      <c r="V424" s="179"/>
      <c r="W424" s="364"/>
      <c r="X424" s="179"/>
      <c r="Y424" s="364"/>
      <c r="Z424" s="357"/>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4">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4">
        <v>42887</v>
      </c>
      <c r="K425" s="237"/>
      <c r="L425" s="367"/>
      <c r="M425" s="179"/>
      <c r="N425" s="364"/>
      <c r="O425" s="179"/>
      <c r="P425" s="369"/>
      <c r="Q425" s="86">
        <f t="shared" si="31"/>
        <v>259914130</v>
      </c>
      <c r="R425" s="287" t="s">
        <v>2983</v>
      </c>
      <c r="S425" s="364">
        <v>42932</v>
      </c>
      <c r="T425" s="179"/>
      <c r="U425" s="364"/>
      <c r="V425" s="179"/>
      <c r="W425" s="364"/>
      <c r="X425" s="179"/>
      <c r="Y425" s="364"/>
      <c r="Z425" s="357" t="s">
        <v>2983</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4">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4"/>
      <c r="K426" s="237"/>
      <c r="L426" s="367"/>
      <c r="M426" s="179"/>
      <c r="N426" s="364"/>
      <c r="O426" s="179"/>
      <c r="P426" s="369"/>
      <c r="Q426" s="86">
        <f t="shared" si="31"/>
        <v>0</v>
      </c>
      <c r="R426" s="287"/>
      <c r="S426" s="364"/>
      <c r="T426" s="179"/>
      <c r="U426" s="364"/>
      <c r="V426" s="179"/>
      <c r="W426" s="364"/>
      <c r="X426" s="179"/>
      <c r="Y426" s="364"/>
      <c r="Z426" s="357"/>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4">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4"/>
      <c r="K427" s="237"/>
      <c r="L427" s="367"/>
      <c r="M427" s="179"/>
      <c r="N427" s="364"/>
      <c r="O427" s="179"/>
      <c r="P427" s="369"/>
      <c r="Q427" s="86">
        <f t="shared" si="31"/>
        <v>0</v>
      </c>
      <c r="R427" s="287"/>
      <c r="S427" s="364"/>
      <c r="T427" s="179"/>
      <c r="U427" s="364"/>
      <c r="V427" s="179"/>
      <c r="W427" s="364"/>
      <c r="X427" s="179"/>
      <c r="Y427" s="364"/>
      <c r="Z427" s="357"/>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4">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4"/>
      <c r="K428" s="237"/>
      <c r="L428" s="367"/>
      <c r="M428" s="179"/>
      <c r="N428" s="364"/>
      <c r="O428" s="179"/>
      <c r="P428" s="369"/>
      <c r="Q428" s="86">
        <f t="shared" si="31"/>
        <v>0</v>
      </c>
      <c r="R428" s="287"/>
      <c r="S428" s="364"/>
      <c r="T428" s="179"/>
      <c r="U428" s="364"/>
      <c r="V428" s="179"/>
      <c r="W428" s="364"/>
      <c r="X428" s="179"/>
      <c r="Y428" s="364"/>
      <c r="Z428" s="357"/>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4">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4">
        <v>42909</v>
      </c>
      <c r="K429" s="237"/>
      <c r="L429" s="367"/>
      <c r="M429" s="179"/>
      <c r="N429" s="364"/>
      <c r="O429" s="179"/>
      <c r="P429" s="369"/>
      <c r="Q429" s="86">
        <f t="shared" si="31"/>
        <v>2300000</v>
      </c>
      <c r="R429" s="287" t="s">
        <v>378</v>
      </c>
      <c r="S429" s="364">
        <v>42973</v>
      </c>
      <c r="T429" s="179"/>
      <c r="U429" s="364"/>
      <c r="V429" s="179"/>
      <c r="W429" s="364"/>
      <c r="X429" s="179"/>
      <c r="Y429" s="364"/>
      <c r="Z429" s="357"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c r="AN429" s="237"/>
      <c r="AO429" s="237"/>
      <c r="AP429" s="237"/>
      <c r="AQ429" s="237"/>
      <c r="AR429" s="237"/>
      <c r="AS429" s="237"/>
      <c r="AT429" s="364">
        <v>43031</v>
      </c>
      <c r="AU429" s="91">
        <f t="shared" si="33"/>
        <v>13662000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4"/>
      <c r="K430" s="237"/>
      <c r="L430" s="367"/>
      <c r="M430" s="179"/>
      <c r="N430" s="364"/>
      <c r="O430" s="179"/>
      <c r="P430" s="369"/>
      <c r="Q430" s="86">
        <f t="shared" si="31"/>
        <v>0</v>
      </c>
      <c r="R430" s="287" t="s">
        <v>378</v>
      </c>
      <c r="S430" s="364">
        <v>42852</v>
      </c>
      <c r="T430" s="179" t="s">
        <v>382</v>
      </c>
      <c r="U430" s="364">
        <v>43035</v>
      </c>
      <c r="V430" s="179" t="s">
        <v>2555</v>
      </c>
      <c r="W430" s="364">
        <v>43069</v>
      </c>
      <c r="X430" s="179"/>
      <c r="Y430" s="364"/>
      <c r="Z430" s="357" t="s">
        <v>3656</v>
      </c>
      <c r="AA430" s="89">
        <f t="shared" si="32"/>
        <v>43069</v>
      </c>
      <c r="AB430" s="237">
        <v>1012500</v>
      </c>
      <c r="AC430" s="237">
        <v>300000</v>
      </c>
      <c r="AD430" s="237">
        <v>2010000</v>
      </c>
      <c r="AE430" s="237">
        <v>1110000</v>
      </c>
      <c r="AF430" s="237">
        <v>900000</v>
      </c>
      <c r="AG430" s="237">
        <v>370000</v>
      </c>
      <c r="AH430" s="237"/>
      <c r="AI430" s="237"/>
      <c r="AJ430" s="237"/>
      <c r="AK430" s="237"/>
      <c r="AL430" s="237"/>
      <c r="AM430" s="237"/>
      <c r="AN430" s="237"/>
      <c r="AO430" s="237"/>
      <c r="AP430" s="237"/>
      <c r="AQ430" s="237"/>
      <c r="AR430" s="237"/>
      <c r="AS430" s="237"/>
      <c r="AT430" s="364">
        <v>43069</v>
      </c>
      <c r="AU430" s="91">
        <f t="shared" si="33"/>
        <v>5702500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4"/>
      <c r="K431" s="237"/>
      <c r="L431" s="367"/>
      <c r="M431" s="179"/>
      <c r="N431" s="364"/>
      <c r="O431" s="179"/>
      <c r="P431" s="369"/>
      <c r="Q431" s="86">
        <f t="shared" si="31"/>
        <v>0</v>
      </c>
      <c r="R431" s="287"/>
      <c r="S431" s="364"/>
      <c r="T431" s="179"/>
      <c r="U431" s="364"/>
      <c r="V431" s="179"/>
      <c r="W431" s="364"/>
      <c r="X431" s="179"/>
      <c r="Y431" s="364"/>
      <c r="Z431" s="357"/>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4">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4"/>
      <c r="K432" s="237"/>
      <c r="L432" s="367"/>
      <c r="M432" s="179"/>
      <c r="N432" s="364"/>
      <c r="O432" s="179"/>
      <c r="P432" s="369"/>
      <c r="Q432" s="86">
        <f t="shared" si="31"/>
        <v>0</v>
      </c>
      <c r="R432" s="287"/>
      <c r="S432" s="364"/>
      <c r="T432" s="179"/>
      <c r="U432" s="364"/>
      <c r="V432" s="179"/>
      <c r="W432" s="364"/>
      <c r="X432" s="179"/>
      <c r="Y432" s="364"/>
      <c r="Z432" s="357"/>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4">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4"/>
      <c r="K433" s="237"/>
      <c r="L433" s="367"/>
      <c r="M433" s="179"/>
      <c r="N433" s="364"/>
      <c r="O433" s="179"/>
      <c r="P433" s="369"/>
      <c r="Q433" s="86">
        <f t="shared" si="31"/>
        <v>0</v>
      </c>
      <c r="R433" s="287"/>
      <c r="S433" s="364"/>
      <c r="T433" s="179"/>
      <c r="U433" s="364"/>
      <c r="V433" s="179"/>
      <c r="W433" s="364"/>
      <c r="X433" s="179"/>
      <c r="Y433" s="364"/>
      <c r="Z433" s="357"/>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4">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4"/>
      <c r="K434" s="237"/>
      <c r="L434" s="367"/>
      <c r="M434" s="179"/>
      <c r="N434" s="364"/>
      <c r="O434" s="179"/>
      <c r="P434" s="369"/>
      <c r="Q434" s="86">
        <f t="shared" si="31"/>
        <v>0</v>
      </c>
      <c r="R434" s="287" t="s">
        <v>378</v>
      </c>
      <c r="S434" s="364">
        <v>42853</v>
      </c>
      <c r="T434" s="179" t="s">
        <v>2246</v>
      </c>
      <c r="U434" s="364">
        <v>42867</v>
      </c>
      <c r="V434" s="179"/>
      <c r="W434" s="364"/>
      <c r="X434" s="179"/>
      <c r="Y434" s="364"/>
      <c r="Z434" s="357" t="s">
        <v>2936</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4">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4">
        <v>42888</v>
      </c>
      <c r="K435" s="237"/>
      <c r="L435" s="367"/>
      <c r="M435" s="179"/>
      <c r="N435" s="364"/>
      <c r="O435" s="179"/>
      <c r="P435" s="369"/>
      <c r="Q435" s="86">
        <f t="shared" si="31"/>
        <v>20000000</v>
      </c>
      <c r="R435" s="287" t="s">
        <v>378</v>
      </c>
      <c r="S435" s="364">
        <v>42952</v>
      </c>
      <c r="T435" s="179"/>
      <c r="U435" s="364"/>
      <c r="V435" s="179"/>
      <c r="W435" s="364"/>
      <c r="X435" s="179"/>
      <c r="Y435" s="364"/>
      <c r="Z435" s="357"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4">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4">
        <v>42916</v>
      </c>
      <c r="K436" s="237">
        <v>1100000</v>
      </c>
      <c r="L436" s="367">
        <v>43007</v>
      </c>
      <c r="M436" s="179"/>
      <c r="N436" s="364"/>
      <c r="O436" s="179"/>
      <c r="P436" s="369"/>
      <c r="Q436" s="86">
        <f t="shared" si="31"/>
        <v>9100000</v>
      </c>
      <c r="R436" s="287" t="s">
        <v>378</v>
      </c>
      <c r="S436" s="364">
        <v>42826</v>
      </c>
      <c r="T436" s="179" t="s">
        <v>379</v>
      </c>
      <c r="U436" s="364">
        <v>42917</v>
      </c>
      <c r="V436" s="179" t="s">
        <v>379</v>
      </c>
      <c r="W436" s="364">
        <v>43009</v>
      </c>
      <c r="X436" s="179" t="s">
        <v>2418</v>
      </c>
      <c r="Y436" s="364">
        <v>43040</v>
      </c>
      <c r="Z436" s="357" t="s">
        <v>3657</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4">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4"/>
      <c r="K437" s="237"/>
      <c r="L437" s="367"/>
      <c r="M437" s="179"/>
      <c r="N437" s="364"/>
      <c r="O437" s="179"/>
      <c r="P437" s="369"/>
      <c r="Q437" s="86">
        <f t="shared" si="31"/>
        <v>0</v>
      </c>
      <c r="R437" s="287"/>
      <c r="S437" s="364"/>
      <c r="T437" s="179"/>
      <c r="U437" s="364"/>
      <c r="V437" s="179"/>
      <c r="W437" s="364"/>
      <c r="X437" s="179"/>
      <c r="Y437" s="364"/>
      <c r="Z437" s="357"/>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4">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4"/>
      <c r="K438" s="237"/>
      <c r="L438" s="367"/>
      <c r="M438" s="179"/>
      <c r="N438" s="364"/>
      <c r="O438" s="179"/>
      <c r="P438" s="369"/>
      <c r="Q438" s="86">
        <f t="shared" si="31"/>
        <v>0</v>
      </c>
      <c r="R438" s="287"/>
      <c r="S438" s="364"/>
      <c r="T438" s="179"/>
      <c r="U438" s="364"/>
      <c r="V438" s="179"/>
      <c r="W438" s="364"/>
      <c r="X438" s="179"/>
      <c r="Y438" s="364"/>
      <c r="Z438" s="357"/>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4">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4"/>
      <c r="K439" s="237"/>
      <c r="L439" s="367"/>
      <c r="M439" s="179"/>
      <c r="N439" s="364"/>
      <c r="O439" s="179"/>
      <c r="P439" s="369"/>
      <c r="Q439" s="86">
        <f t="shared" si="31"/>
        <v>0</v>
      </c>
      <c r="R439" s="287"/>
      <c r="S439" s="364"/>
      <c r="T439" s="179"/>
      <c r="U439" s="364"/>
      <c r="V439" s="179"/>
      <c r="W439" s="364"/>
      <c r="X439" s="179"/>
      <c r="Y439" s="364"/>
      <c r="Z439" s="357"/>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4">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4"/>
      <c r="K440" s="237"/>
      <c r="L440" s="367"/>
      <c r="M440" s="179"/>
      <c r="N440" s="364"/>
      <c r="O440" s="179"/>
      <c r="P440" s="369"/>
      <c r="Q440" s="86">
        <f t="shared" si="31"/>
        <v>0</v>
      </c>
      <c r="R440" s="287" t="s">
        <v>379</v>
      </c>
      <c r="S440" s="364">
        <v>42932</v>
      </c>
      <c r="T440" s="179"/>
      <c r="U440" s="364"/>
      <c r="V440" s="179"/>
      <c r="W440" s="364"/>
      <c r="X440" s="179"/>
      <c r="Y440" s="364"/>
      <c r="Z440" s="357"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4">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4"/>
      <c r="K441" s="237"/>
      <c r="L441" s="367"/>
      <c r="M441" s="179"/>
      <c r="N441" s="364"/>
      <c r="O441" s="179"/>
      <c r="P441" s="369"/>
      <c r="Q441" s="86">
        <f t="shared" si="31"/>
        <v>0</v>
      </c>
      <c r="R441" s="287"/>
      <c r="S441" s="364"/>
      <c r="T441" s="179"/>
      <c r="U441" s="364"/>
      <c r="V441" s="179"/>
      <c r="W441" s="364"/>
      <c r="X441" s="179"/>
      <c r="Y441" s="364"/>
      <c r="Z441" s="357"/>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4">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4"/>
      <c r="K442" s="237"/>
      <c r="L442" s="367"/>
      <c r="M442" s="179"/>
      <c r="N442" s="364"/>
      <c r="O442" s="179"/>
      <c r="P442" s="369"/>
      <c r="Q442" s="86">
        <f t="shared" si="31"/>
        <v>0</v>
      </c>
      <c r="R442" s="287"/>
      <c r="S442" s="364"/>
      <c r="T442" s="179"/>
      <c r="U442" s="364"/>
      <c r="V442" s="179"/>
      <c r="W442" s="364"/>
      <c r="X442" s="179"/>
      <c r="Y442" s="364"/>
      <c r="Z442" s="357"/>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4">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4"/>
      <c r="K443" s="237"/>
      <c r="L443" s="367"/>
      <c r="M443" s="179"/>
      <c r="N443" s="364"/>
      <c r="O443" s="179"/>
      <c r="P443" s="369"/>
      <c r="Q443" s="86">
        <f t="shared" si="31"/>
        <v>0</v>
      </c>
      <c r="R443" s="287"/>
      <c r="S443" s="364"/>
      <c r="T443" s="179"/>
      <c r="U443" s="364"/>
      <c r="V443" s="179"/>
      <c r="W443" s="364"/>
      <c r="X443" s="179"/>
      <c r="Y443" s="364"/>
      <c r="Z443" s="357"/>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4">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4"/>
      <c r="K444" s="237"/>
      <c r="L444" s="367"/>
      <c r="M444" s="179"/>
      <c r="N444" s="364"/>
      <c r="O444" s="179"/>
      <c r="P444" s="369"/>
      <c r="Q444" s="86">
        <f t="shared" si="31"/>
        <v>0</v>
      </c>
      <c r="R444" s="287"/>
      <c r="S444" s="364"/>
      <c r="T444" s="179"/>
      <c r="U444" s="364"/>
      <c r="V444" s="179"/>
      <c r="W444" s="364"/>
      <c r="X444" s="179"/>
      <c r="Y444" s="364"/>
      <c r="Z444" s="357"/>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4">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4"/>
      <c r="K445" s="237"/>
      <c r="L445" s="367"/>
      <c r="M445" s="179"/>
      <c r="N445" s="364"/>
      <c r="O445" s="179"/>
      <c r="P445" s="369"/>
      <c r="Q445" s="86">
        <f t="shared" si="31"/>
        <v>0</v>
      </c>
      <c r="R445" s="287"/>
      <c r="S445" s="364"/>
      <c r="T445" s="179"/>
      <c r="U445" s="364"/>
      <c r="V445" s="179"/>
      <c r="W445" s="364"/>
      <c r="X445" s="179"/>
      <c r="Y445" s="364"/>
      <c r="Z445" s="357"/>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4">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4"/>
      <c r="K446" s="237"/>
      <c r="L446" s="367"/>
      <c r="M446" s="179"/>
      <c r="N446" s="364"/>
      <c r="O446" s="179"/>
      <c r="P446" s="369"/>
      <c r="Q446" s="86">
        <f t="shared" si="31"/>
        <v>0</v>
      </c>
      <c r="R446" s="287"/>
      <c r="S446" s="364"/>
      <c r="T446" s="179"/>
      <c r="U446" s="364"/>
      <c r="V446" s="179"/>
      <c r="W446" s="364"/>
      <c r="X446" s="179"/>
      <c r="Y446" s="364"/>
      <c r="Z446" s="357"/>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4">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4"/>
      <c r="K447" s="237"/>
      <c r="L447" s="367"/>
      <c r="M447" s="179"/>
      <c r="N447" s="364"/>
      <c r="O447" s="179"/>
      <c r="P447" s="369"/>
      <c r="Q447" s="86">
        <f t="shared" si="31"/>
        <v>0</v>
      </c>
      <c r="R447" s="287"/>
      <c r="S447" s="364"/>
      <c r="T447" s="179"/>
      <c r="U447" s="364"/>
      <c r="V447" s="179"/>
      <c r="W447" s="364"/>
      <c r="X447" s="179"/>
      <c r="Y447" s="364"/>
      <c r="Z447" s="357"/>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4">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4"/>
      <c r="K448" s="237"/>
      <c r="L448" s="367"/>
      <c r="M448" s="179"/>
      <c r="N448" s="364"/>
      <c r="O448" s="179"/>
      <c r="P448" s="369"/>
      <c r="Q448" s="86">
        <f t="shared" si="31"/>
        <v>0</v>
      </c>
      <c r="R448" s="287"/>
      <c r="S448" s="364"/>
      <c r="T448" s="179"/>
      <c r="U448" s="364"/>
      <c r="V448" s="179"/>
      <c r="W448" s="364"/>
      <c r="X448" s="179"/>
      <c r="Y448" s="364"/>
      <c r="Z448" s="357"/>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4">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4"/>
      <c r="K449" s="237"/>
      <c r="L449" s="367"/>
      <c r="M449" s="179"/>
      <c r="N449" s="364"/>
      <c r="O449" s="179"/>
      <c r="P449" s="369"/>
      <c r="Q449" s="86">
        <f t="shared" ref="Q449:Q512" si="34">SUM(I449,K449,M449,O449)</f>
        <v>0</v>
      </c>
      <c r="R449" s="287" t="s">
        <v>380</v>
      </c>
      <c r="S449" s="364">
        <v>42981</v>
      </c>
      <c r="T449" s="179"/>
      <c r="U449" s="364"/>
      <c r="V449" s="179"/>
      <c r="W449" s="364"/>
      <c r="X449" s="179"/>
      <c r="Y449" s="364"/>
      <c r="Z449" s="357" t="s">
        <v>2939</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4">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4"/>
      <c r="K450" s="237"/>
      <c r="L450" s="367"/>
      <c r="M450" s="179"/>
      <c r="N450" s="364"/>
      <c r="O450" s="179"/>
      <c r="P450" s="369"/>
      <c r="Q450" s="86">
        <f t="shared" si="34"/>
        <v>0</v>
      </c>
      <c r="R450" s="287"/>
      <c r="S450" s="364"/>
      <c r="T450" s="179"/>
      <c r="U450" s="364"/>
      <c r="V450" s="179"/>
      <c r="W450" s="364"/>
      <c r="X450" s="179"/>
      <c r="Y450" s="364"/>
      <c r="Z450" s="357"/>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4">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4"/>
      <c r="K451" s="237"/>
      <c r="L451" s="367"/>
      <c r="M451" s="179"/>
      <c r="N451" s="364"/>
      <c r="O451" s="179"/>
      <c r="P451" s="369"/>
      <c r="Q451" s="86">
        <f t="shared" si="34"/>
        <v>0</v>
      </c>
      <c r="R451" s="287"/>
      <c r="S451" s="364"/>
      <c r="T451" s="179"/>
      <c r="U451" s="364"/>
      <c r="V451" s="179"/>
      <c r="W451" s="364"/>
      <c r="X451" s="179"/>
      <c r="Y451" s="364"/>
      <c r="Z451" s="357"/>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4">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4">
        <v>42926</v>
      </c>
      <c r="K452" s="237"/>
      <c r="L452" s="367"/>
      <c r="M452" s="179"/>
      <c r="N452" s="364"/>
      <c r="O452" s="179"/>
      <c r="P452" s="369"/>
      <c r="Q452" s="86">
        <f t="shared" si="34"/>
        <v>119367045</v>
      </c>
      <c r="R452" s="287" t="s">
        <v>2984</v>
      </c>
      <c r="S452" s="364">
        <v>42886</v>
      </c>
      <c r="T452" s="179" t="s">
        <v>978</v>
      </c>
      <c r="U452" s="364">
        <v>42931</v>
      </c>
      <c r="V452" s="179"/>
      <c r="W452" s="364"/>
      <c r="X452" s="179"/>
      <c r="Y452" s="364"/>
      <c r="Z452" s="357" t="s">
        <v>2985</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4">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4"/>
      <c r="K453" s="237"/>
      <c r="L453" s="367"/>
      <c r="M453" s="179"/>
      <c r="N453" s="364"/>
      <c r="O453" s="179"/>
      <c r="P453" s="369"/>
      <c r="Q453" s="86">
        <f t="shared" si="34"/>
        <v>0</v>
      </c>
      <c r="R453" s="287"/>
      <c r="S453" s="364"/>
      <c r="T453" s="179"/>
      <c r="U453" s="364"/>
      <c r="V453" s="179"/>
      <c r="W453" s="364"/>
      <c r="X453" s="179"/>
      <c r="Y453" s="364"/>
      <c r="Z453" s="357"/>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4">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4"/>
      <c r="K454" s="237"/>
      <c r="L454" s="367"/>
      <c r="M454" s="179"/>
      <c r="N454" s="364"/>
      <c r="O454" s="179"/>
      <c r="P454" s="369"/>
      <c r="Q454" s="86">
        <f t="shared" si="34"/>
        <v>0</v>
      </c>
      <c r="R454" s="287"/>
      <c r="S454" s="364"/>
      <c r="T454" s="179"/>
      <c r="U454" s="364"/>
      <c r="V454" s="179"/>
      <c r="W454" s="364"/>
      <c r="X454" s="179"/>
      <c r="Y454" s="364"/>
      <c r="Z454" s="357"/>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4">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4"/>
      <c r="K455" s="237"/>
      <c r="L455" s="367"/>
      <c r="M455" s="179"/>
      <c r="N455" s="364"/>
      <c r="O455" s="179"/>
      <c r="P455" s="369"/>
      <c r="Q455" s="86">
        <f t="shared" si="34"/>
        <v>0</v>
      </c>
      <c r="R455" s="287"/>
      <c r="S455" s="364"/>
      <c r="T455" s="179"/>
      <c r="U455" s="364"/>
      <c r="V455" s="179"/>
      <c r="W455" s="364"/>
      <c r="X455" s="179"/>
      <c r="Y455" s="364"/>
      <c r="Z455" s="357"/>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4">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4"/>
      <c r="K456" s="237"/>
      <c r="L456" s="367"/>
      <c r="M456" s="179"/>
      <c r="N456" s="364"/>
      <c r="O456" s="179"/>
      <c r="P456" s="369"/>
      <c r="Q456" s="86">
        <f t="shared" si="34"/>
        <v>0</v>
      </c>
      <c r="R456" s="287"/>
      <c r="S456" s="364"/>
      <c r="T456" s="179"/>
      <c r="U456" s="364"/>
      <c r="V456" s="179"/>
      <c r="W456" s="364"/>
      <c r="X456" s="179"/>
      <c r="Y456" s="364"/>
      <c r="Z456" s="357"/>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4"/>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4"/>
      <c r="K457" s="237"/>
      <c r="L457" s="367"/>
      <c r="M457" s="179"/>
      <c r="N457" s="364"/>
      <c r="O457" s="179"/>
      <c r="P457" s="369"/>
      <c r="Q457" s="86">
        <f t="shared" si="34"/>
        <v>0</v>
      </c>
      <c r="R457" s="287"/>
      <c r="S457" s="364"/>
      <c r="T457" s="179"/>
      <c r="U457" s="364"/>
      <c r="V457" s="179"/>
      <c r="W457" s="364"/>
      <c r="X457" s="179"/>
      <c r="Y457" s="364"/>
      <c r="Z457" s="357"/>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4">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4"/>
      <c r="K458" s="237"/>
      <c r="L458" s="367"/>
      <c r="M458" s="179"/>
      <c r="N458" s="364"/>
      <c r="O458" s="179"/>
      <c r="P458" s="369"/>
      <c r="Q458" s="86">
        <f t="shared" si="34"/>
        <v>0</v>
      </c>
      <c r="R458" s="287"/>
      <c r="S458" s="364"/>
      <c r="T458" s="179"/>
      <c r="U458" s="364"/>
      <c r="V458" s="179"/>
      <c r="W458" s="364"/>
      <c r="X458" s="179"/>
      <c r="Y458" s="364"/>
      <c r="Z458" s="357"/>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4">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4"/>
      <c r="K459" s="237"/>
      <c r="L459" s="367"/>
      <c r="M459" s="179"/>
      <c r="N459" s="364"/>
      <c r="O459" s="179"/>
      <c r="P459" s="369"/>
      <c r="Q459" s="86">
        <f t="shared" si="34"/>
        <v>0</v>
      </c>
      <c r="R459" s="287"/>
      <c r="S459" s="364"/>
      <c r="T459" s="179"/>
      <c r="U459" s="364"/>
      <c r="V459" s="179"/>
      <c r="W459" s="364"/>
      <c r="X459" s="179"/>
      <c r="Y459" s="364"/>
      <c r="Z459" s="357"/>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4">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4"/>
      <c r="K460" s="237"/>
      <c r="L460" s="367"/>
      <c r="M460" s="179"/>
      <c r="N460" s="364"/>
      <c r="O460" s="179"/>
      <c r="P460" s="369"/>
      <c r="Q460" s="86">
        <f t="shared" si="34"/>
        <v>0</v>
      </c>
      <c r="R460" s="287"/>
      <c r="S460" s="364"/>
      <c r="T460" s="179"/>
      <c r="U460" s="364"/>
      <c r="V460" s="179"/>
      <c r="W460" s="364"/>
      <c r="X460" s="179"/>
      <c r="Y460" s="364"/>
      <c r="Z460" s="357"/>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4">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4">
        <v>42818</v>
      </c>
      <c r="K461" s="237"/>
      <c r="L461" s="367"/>
      <c r="M461" s="179"/>
      <c r="N461" s="364"/>
      <c r="O461" s="179"/>
      <c r="P461" s="369"/>
      <c r="Q461" s="86">
        <f t="shared" si="34"/>
        <v>8638000</v>
      </c>
      <c r="R461" s="287" t="s">
        <v>378</v>
      </c>
      <c r="S461" s="364">
        <v>42880</v>
      </c>
      <c r="T461" s="179"/>
      <c r="U461" s="364"/>
      <c r="V461" s="179"/>
      <c r="W461" s="364"/>
      <c r="X461" s="179"/>
      <c r="Y461" s="364"/>
      <c r="Z461" s="357"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4">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4"/>
      <c r="K462" s="237"/>
      <c r="L462" s="367"/>
      <c r="M462" s="179"/>
      <c r="N462" s="364"/>
      <c r="O462" s="179"/>
      <c r="P462" s="369"/>
      <c r="Q462" s="86">
        <f t="shared" si="34"/>
        <v>0</v>
      </c>
      <c r="R462" s="287"/>
      <c r="S462" s="364"/>
      <c r="T462" s="179"/>
      <c r="U462" s="364"/>
      <c r="V462" s="179"/>
      <c r="W462" s="364"/>
      <c r="X462" s="179"/>
      <c r="Y462" s="364"/>
      <c r="Z462" s="357"/>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4">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4"/>
      <c r="K463" s="237"/>
      <c r="L463" s="367"/>
      <c r="M463" s="179"/>
      <c r="N463" s="364"/>
      <c r="O463" s="179"/>
      <c r="P463" s="369"/>
      <c r="Q463" s="86">
        <f t="shared" si="34"/>
        <v>0</v>
      </c>
      <c r="R463" s="287"/>
      <c r="S463" s="364"/>
      <c r="T463" s="179"/>
      <c r="U463" s="364"/>
      <c r="V463" s="179"/>
      <c r="W463" s="364"/>
      <c r="X463" s="179"/>
      <c r="Y463" s="364"/>
      <c r="Z463" s="357"/>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4">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4"/>
      <c r="K464" s="237"/>
      <c r="L464" s="367"/>
      <c r="M464" s="179"/>
      <c r="N464" s="364"/>
      <c r="O464" s="179"/>
      <c r="P464" s="369"/>
      <c r="Q464" s="86">
        <f t="shared" si="34"/>
        <v>0</v>
      </c>
      <c r="R464" s="287"/>
      <c r="S464" s="364"/>
      <c r="T464" s="179"/>
      <c r="U464" s="364"/>
      <c r="V464" s="179"/>
      <c r="W464" s="364"/>
      <c r="X464" s="179"/>
      <c r="Y464" s="364"/>
      <c r="Z464" s="357"/>
      <c r="AA464" s="89">
        <f t="shared" si="35"/>
        <v>0</v>
      </c>
      <c r="AB464" s="237">
        <v>30725025</v>
      </c>
      <c r="AC464" s="237">
        <v>30725025</v>
      </c>
      <c r="AD464" s="237">
        <v>30725025</v>
      </c>
      <c r="AE464" s="237">
        <v>18222321</v>
      </c>
      <c r="AF464" s="237"/>
      <c r="AG464" s="237"/>
      <c r="AH464" s="237"/>
      <c r="AI464" s="237"/>
      <c r="AJ464" s="237"/>
      <c r="AK464" s="237"/>
      <c r="AL464" s="237"/>
      <c r="AM464" s="237"/>
      <c r="AN464" s="237"/>
      <c r="AO464" s="237"/>
      <c r="AP464" s="237"/>
      <c r="AQ464" s="237"/>
      <c r="AR464" s="237"/>
      <c r="AS464" s="237"/>
      <c r="AT464" s="364">
        <v>43095</v>
      </c>
      <c r="AU464" s="91">
        <f t="shared" si="36"/>
        <v>110397396</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4"/>
      <c r="K465" s="237"/>
      <c r="L465" s="367"/>
      <c r="M465" s="179"/>
      <c r="N465" s="364"/>
      <c r="O465" s="179"/>
      <c r="P465" s="369"/>
      <c r="Q465" s="86">
        <f t="shared" si="34"/>
        <v>0</v>
      </c>
      <c r="R465" s="287"/>
      <c r="S465" s="364"/>
      <c r="T465" s="179"/>
      <c r="U465" s="364"/>
      <c r="V465" s="179"/>
      <c r="W465" s="364"/>
      <c r="X465" s="179"/>
      <c r="Y465" s="364"/>
      <c r="Z465" s="357"/>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4">
        <v>42725</v>
      </c>
      <c r="AU465" s="91">
        <f t="shared" si="36"/>
        <v>14583984</v>
      </c>
      <c r="AV465" s="14"/>
      <c r="AW465" s="1"/>
    </row>
    <row r="466" spans="1:49" s="57" customFormat="1" ht="56.25"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4">
        <v>42781</v>
      </c>
      <c r="K466" s="237">
        <v>17021189</v>
      </c>
      <c r="L466" s="367">
        <v>42809</v>
      </c>
      <c r="M466" s="179"/>
      <c r="N466" s="364"/>
      <c r="O466" s="179"/>
      <c r="P466" s="369"/>
      <c r="Q466" s="86">
        <f t="shared" si="34"/>
        <v>48935918</v>
      </c>
      <c r="R466" s="287" t="s">
        <v>381</v>
      </c>
      <c r="S466" s="364">
        <v>42809</v>
      </c>
      <c r="T466" s="178" t="s">
        <v>2862</v>
      </c>
      <c r="U466" s="364">
        <v>42825</v>
      </c>
      <c r="V466" s="179"/>
      <c r="W466" s="364"/>
      <c r="X466" s="179"/>
      <c r="Y466" s="364"/>
      <c r="Z466" s="357" t="s">
        <v>2863</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4">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4"/>
      <c r="K467" s="237"/>
      <c r="L467" s="367"/>
      <c r="M467" s="179"/>
      <c r="N467" s="364"/>
      <c r="O467" s="179"/>
      <c r="P467" s="369"/>
      <c r="Q467" s="86">
        <f t="shared" si="34"/>
        <v>0</v>
      </c>
      <c r="R467" s="287"/>
      <c r="S467" s="364"/>
      <c r="T467" s="179"/>
      <c r="U467" s="364"/>
      <c r="V467" s="179"/>
      <c r="W467" s="364"/>
      <c r="X467" s="179"/>
      <c r="Y467" s="364"/>
      <c r="Z467" s="357"/>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4"/>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4"/>
      <c r="K468" s="237"/>
      <c r="L468" s="367"/>
      <c r="M468" s="179"/>
      <c r="N468" s="364"/>
      <c r="O468" s="179"/>
      <c r="P468" s="369"/>
      <c r="Q468" s="86">
        <f t="shared" si="34"/>
        <v>0</v>
      </c>
      <c r="R468" s="287"/>
      <c r="S468" s="364"/>
      <c r="T468" s="179"/>
      <c r="U468" s="364"/>
      <c r="V468" s="179"/>
      <c r="W468" s="364"/>
      <c r="X468" s="179"/>
      <c r="Y468" s="364"/>
      <c r="Z468" s="357"/>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4">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4"/>
      <c r="K469" s="237"/>
      <c r="L469" s="367"/>
      <c r="M469" s="179"/>
      <c r="N469" s="364"/>
      <c r="O469" s="179"/>
      <c r="P469" s="369"/>
      <c r="Q469" s="86">
        <f t="shared" si="34"/>
        <v>0</v>
      </c>
      <c r="R469" s="287"/>
      <c r="S469" s="364"/>
      <c r="T469" s="179"/>
      <c r="U469" s="364"/>
      <c r="V469" s="179"/>
      <c r="W469" s="364"/>
      <c r="X469" s="179"/>
      <c r="Y469" s="364"/>
      <c r="Z469" s="357"/>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4"/>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4"/>
      <c r="K470" s="237"/>
      <c r="L470" s="367"/>
      <c r="M470" s="179"/>
      <c r="N470" s="364"/>
      <c r="O470" s="179"/>
      <c r="P470" s="369"/>
      <c r="Q470" s="86">
        <f t="shared" si="34"/>
        <v>0</v>
      </c>
      <c r="R470" s="287"/>
      <c r="S470" s="364"/>
      <c r="T470" s="179"/>
      <c r="U470" s="364"/>
      <c r="V470" s="179"/>
      <c r="W470" s="364"/>
      <c r="X470" s="179"/>
      <c r="Y470" s="364"/>
      <c r="Z470" s="357"/>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4">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4"/>
      <c r="K471" s="237"/>
      <c r="L471" s="367"/>
      <c r="M471" s="179"/>
      <c r="N471" s="364"/>
      <c r="O471" s="179"/>
      <c r="P471" s="369"/>
      <c r="Q471" s="86">
        <f t="shared" si="34"/>
        <v>0</v>
      </c>
      <c r="R471" s="287"/>
      <c r="S471" s="364"/>
      <c r="T471" s="179"/>
      <c r="U471" s="364"/>
      <c r="V471" s="179"/>
      <c r="W471" s="364"/>
      <c r="X471" s="179"/>
      <c r="Y471" s="364"/>
      <c r="Z471" s="357"/>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4">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4"/>
      <c r="K472" s="237"/>
      <c r="L472" s="367"/>
      <c r="M472" s="179"/>
      <c r="N472" s="364"/>
      <c r="O472" s="179"/>
      <c r="P472" s="369"/>
      <c r="Q472" s="86">
        <f t="shared" si="34"/>
        <v>0</v>
      </c>
      <c r="R472" s="287"/>
      <c r="S472" s="364"/>
      <c r="T472" s="179"/>
      <c r="U472" s="364"/>
      <c r="V472" s="179"/>
      <c r="W472" s="364"/>
      <c r="X472" s="179"/>
      <c r="Y472" s="364"/>
      <c r="Z472" s="357"/>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4">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4"/>
      <c r="K473" s="237"/>
      <c r="L473" s="367"/>
      <c r="M473" s="179"/>
      <c r="N473" s="364"/>
      <c r="O473" s="179"/>
      <c r="P473" s="369"/>
      <c r="Q473" s="86">
        <f t="shared" si="34"/>
        <v>0</v>
      </c>
      <c r="R473" s="287"/>
      <c r="S473" s="364"/>
      <c r="T473" s="179"/>
      <c r="U473" s="364"/>
      <c r="V473" s="179"/>
      <c r="W473" s="364"/>
      <c r="X473" s="179"/>
      <c r="Y473" s="364"/>
      <c r="Z473" s="357"/>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4">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4"/>
      <c r="K474" s="237"/>
      <c r="L474" s="367"/>
      <c r="M474" s="179"/>
      <c r="N474" s="364"/>
      <c r="O474" s="179"/>
      <c r="P474" s="369"/>
      <c r="Q474" s="86">
        <f t="shared" si="34"/>
        <v>0</v>
      </c>
      <c r="R474" s="287"/>
      <c r="S474" s="364"/>
      <c r="T474" s="179"/>
      <c r="U474" s="364"/>
      <c r="V474" s="179"/>
      <c r="W474" s="364"/>
      <c r="X474" s="179"/>
      <c r="Y474" s="364"/>
      <c r="Z474" s="357"/>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4">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4">
        <v>42797</v>
      </c>
      <c r="K475" s="237"/>
      <c r="L475" s="367"/>
      <c r="M475" s="179"/>
      <c r="N475" s="364"/>
      <c r="O475" s="179"/>
      <c r="P475" s="369"/>
      <c r="Q475" s="86">
        <f t="shared" si="34"/>
        <v>18000000</v>
      </c>
      <c r="R475" s="287" t="s">
        <v>381</v>
      </c>
      <c r="S475" s="364">
        <v>42828</v>
      </c>
      <c r="T475" s="179"/>
      <c r="U475" s="364"/>
      <c r="V475" s="179"/>
      <c r="W475" s="364"/>
      <c r="X475" s="179"/>
      <c r="Y475" s="364"/>
      <c r="Z475" s="357"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4">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4"/>
      <c r="K476" s="237"/>
      <c r="L476" s="367"/>
      <c r="M476" s="179"/>
      <c r="N476" s="364"/>
      <c r="O476" s="179"/>
      <c r="P476" s="369"/>
      <c r="Q476" s="86">
        <f t="shared" si="34"/>
        <v>0</v>
      </c>
      <c r="R476" s="878" t="s">
        <v>2942</v>
      </c>
      <c r="S476" s="364">
        <v>42871</v>
      </c>
      <c r="T476" s="179" t="s">
        <v>381</v>
      </c>
      <c r="U476" s="364">
        <v>42903</v>
      </c>
      <c r="V476" s="179" t="s">
        <v>2998</v>
      </c>
      <c r="W476" s="364">
        <v>42933</v>
      </c>
      <c r="X476" s="179"/>
      <c r="Y476" s="364"/>
      <c r="Z476" s="878" t="s">
        <v>2999</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4">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4"/>
      <c r="K477" s="237"/>
      <c r="L477" s="367"/>
      <c r="M477" s="179"/>
      <c r="N477" s="364"/>
      <c r="O477" s="179"/>
      <c r="P477" s="369"/>
      <c r="Q477" s="86">
        <f t="shared" si="34"/>
        <v>0</v>
      </c>
      <c r="R477" s="287"/>
      <c r="S477" s="364"/>
      <c r="T477" s="179"/>
      <c r="U477" s="364"/>
      <c r="V477" s="179"/>
      <c r="W477" s="364"/>
      <c r="X477" s="179"/>
      <c r="Y477" s="364"/>
      <c r="Z477" s="357"/>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4">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4"/>
      <c r="K478" s="237"/>
      <c r="L478" s="367"/>
      <c r="M478" s="179"/>
      <c r="N478" s="364"/>
      <c r="O478" s="179"/>
      <c r="P478" s="369"/>
      <c r="Q478" s="86">
        <f t="shared" si="34"/>
        <v>0</v>
      </c>
      <c r="R478" s="287"/>
      <c r="S478" s="364"/>
      <c r="T478" s="179"/>
      <c r="U478" s="364"/>
      <c r="V478" s="179"/>
      <c r="W478" s="364"/>
      <c r="X478" s="179"/>
      <c r="Y478" s="364"/>
      <c r="Z478" s="357"/>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4">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4"/>
      <c r="K479" s="237"/>
      <c r="L479" s="367"/>
      <c r="M479" s="179"/>
      <c r="N479" s="364"/>
      <c r="O479" s="179"/>
      <c r="P479" s="369"/>
      <c r="Q479" s="86">
        <f t="shared" si="34"/>
        <v>0</v>
      </c>
      <c r="R479" s="287"/>
      <c r="S479" s="364"/>
      <c r="T479" s="179"/>
      <c r="U479" s="364"/>
      <c r="V479" s="179"/>
      <c r="W479" s="364"/>
      <c r="X479" s="179"/>
      <c r="Y479" s="364"/>
      <c r="Z479" s="357"/>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4">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4"/>
      <c r="K480" s="237"/>
      <c r="L480" s="367"/>
      <c r="M480" s="179"/>
      <c r="N480" s="364"/>
      <c r="O480" s="179"/>
      <c r="P480" s="369"/>
      <c r="Q480" s="86">
        <f t="shared" si="34"/>
        <v>0</v>
      </c>
      <c r="R480" s="287"/>
      <c r="S480" s="364"/>
      <c r="T480" s="179"/>
      <c r="U480" s="364"/>
      <c r="V480" s="179"/>
      <c r="W480" s="364"/>
      <c r="X480" s="179"/>
      <c r="Y480" s="364"/>
      <c r="Z480" s="357"/>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4">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4"/>
      <c r="K481" s="237"/>
      <c r="L481" s="367"/>
      <c r="M481" s="179"/>
      <c r="N481" s="364"/>
      <c r="O481" s="179"/>
      <c r="P481" s="369"/>
      <c r="Q481" s="86">
        <f t="shared" si="34"/>
        <v>0</v>
      </c>
      <c r="R481" s="287"/>
      <c r="S481" s="364"/>
      <c r="T481" s="179"/>
      <c r="U481" s="364"/>
      <c r="V481" s="179"/>
      <c r="W481" s="364"/>
      <c r="X481" s="179"/>
      <c r="Y481" s="364"/>
      <c r="Z481" s="357"/>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4">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4"/>
      <c r="K482" s="237"/>
      <c r="L482" s="367"/>
      <c r="M482" s="179"/>
      <c r="N482" s="364"/>
      <c r="O482" s="179"/>
      <c r="P482" s="369"/>
      <c r="Q482" s="86">
        <f t="shared" si="34"/>
        <v>0</v>
      </c>
      <c r="R482" s="287"/>
      <c r="S482" s="364"/>
      <c r="T482" s="179"/>
      <c r="U482" s="364"/>
      <c r="V482" s="179"/>
      <c r="W482" s="364"/>
      <c r="X482" s="179"/>
      <c r="Y482" s="364"/>
      <c r="Z482" s="357"/>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4">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4"/>
      <c r="K483" s="237"/>
      <c r="L483" s="367"/>
      <c r="M483" s="179"/>
      <c r="N483" s="364"/>
      <c r="O483" s="179"/>
      <c r="P483" s="369"/>
      <c r="Q483" s="86">
        <f t="shared" si="34"/>
        <v>0</v>
      </c>
      <c r="R483" s="287"/>
      <c r="S483" s="364"/>
      <c r="T483" s="179"/>
      <c r="U483" s="364"/>
      <c r="V483" s="179"/>
      <c r="W483" s="364"/>
      <c r="X483" s="179"/>
      <c r="Y483" s="364"/>
      <c r="Z483" s="357"/>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4">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4">
        <v>42846</v>
      </c>
      <c r="K484" s="237"/>
      <c r="L484" s="367"/>
      <c r="M484" s="179"/>
      <c r="N484" s="364"/>
      <c r="O484" s="179"/>
      <c r="P484" s="369"/>
      <c r="Q484" s="86">
        <f t="shared" si="34"/>
        <v>9520000</v>
      </c>
      <c r="R484" s="287" t="s">
        <v>381</v>
      </c>
      <c r="S484" s="364">
        <v>42903</v>
      </c>
      <c r="T484" s="179"/>
      <c r="U484" s="364"/>
      <c r="V484" s="179"/>
      <c r="W484" s="364"/>
      <c r="X484" s="179"/>
      <c r="Y484" s="364"/>
      <c r="Z484" s="357"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4">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4">
        <v>42929</v>
      </c>
      <c r="K485" s="237"/>
      <c r="L485" s="367"/>
      <c r="M485" s="179"/>
      <c r="N485" s="364"/>
      <c r="O485" s="179"/>
      <c r="P485" s="369"/>
      <c r="Q485" s="86">
        <f t="shared" si="34"/>
        <v>4338465</v>
      </c>
      <c r="R485" s="287" t="s">
        <v>378</v>
      </c>
      <c r="S485" s="364">
        <v>42897</v>
      </c>
      <c r="T485" s="179" t="s">
        <v>985</v>
      </c>
      <c r="U485" s="364">
        <v>42916</v>
      </c>
      <c r="V485" s="179" t="s">
        <v>2246</v>
      </c>
      <c r="W485" s="364">
        <v>42930</v>
      </c>
      <c r="X485" s="179"/>
      <c r="Y485" s="364"/>
      <c r="Z485" s="357" t="s">
        <v>2997</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4">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4"/>
      <c r="K486" s="237"/>
      <c r="L486" s="367"/>
      <c r="M486" s="179"/>
      <c r="N486" s="364"/>
      <c r="O486" s="179"/>
      <c r="P486" s="369"/>
      <c r="Q486" s="86">
        <f t="shared" si="34"/>
        <v>0</v>
      </c>
      <c r="R486" s="287"/>
      <c r="S486" s="364"/>
      <c r="T486" s="179"/>
      <c r="U486" s="364"/>
      <c r="V486" s="179"/>
      <c r="W486" s="364"/>
      <c r="X486" s="179"/>
      <c r="Y486" s="364"/>
      <c r="Z486" s="357"/>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4"/>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4"/>
      <c r="K487" s="237"/>
      <c r="L487" s="367"/>
      <c r="M487" s="179"/>
      <c r="N487" s="364"/>
      <c r="O487" s="179"/>
      <c r="P487" s="369"/>
      <c r="Q487" s="86">
        <f t="shared" si="34"/>
        <v>0</v>
      </c>
      <c r="R487" s="287"/>
      <c r="S487" s="364"/>
      <c r="T487" s="179"/>
      <c r="U487" s="364"/>
      <c r="V487" s="179"/>
      <c r="W487" s="364"/>
      <c r="X487" s="179"/>
      <c r="Y487" s="364"/>
      <c r="Z487" s="357"/>
      <c r="AA487" s="89">
        <f t="shared" si="35"/>
        <v>0</v>
      </c>
      <c r="AB487" s="237">
        <v>34761447</v>
      </c>
      <c r="AC487" s="237">
        <v>39025050</v>
      </c>
      <c r="AD487" s="237">
        <v>32775484</v>
      </c>
      <c r="AE487" s="237">
        <v>38628733</v>
      </c>
      <c r="AF487" s="237">
        <v>35299561</v>
      </c>
      <c r="AG487" s="237">
        <v>34410948</v>
      </c>
      <c r="AH487" s="237">
        <v>39486677</v>
      </c>
      <c r="AI487" s="237">
        <v>39378764</v>
      </c>
      <c r="AJ487" s="237">
        <v>37911133</v>
      </c>
      <c r="AK487" s="237"/>
      <c r="AL487" s="237"/>
      <c r="AM487" s="237"/>
      <c r="AN487" s="237"/>
      <c r="AO487" s="237"/>
      <c r="AP487" s="237"/>
      <c r="AQ487" s="237"/>
      <c r="AR487" s="237"/>
      <c r="AS487" s="237"/>
      <c r="AT487" s="364">
        <v>43060</v>
      </c>
      <c r="AU487" s="91">
        <f t="shared" si="36"/>
        <v>331677797</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4">
        <v>43047</v>
      </c>
      <c r="K488" s="237"/>
      <c r="L488" s="367"/>
      <c r="M488" s="179"/>
      <c r="N488" s="364"/>
      <c r="O488" s="179"/>
      <c r="P488" s="369"/>
      <c r="Q488" s="86">
        <f t="shared" si="34"/>
        <v>266119000</v>
      </c>
      <c r="R488" s="287" t="s">
        <v>1325</v>
      </c>
      <c r="S488" s="364">
        <v>43100</v>
      </c>
      <c r="T488" s="179"/>
      <c r="U488" s="364"/>
      <c r="V488" s="179"/>
      <c r="W488" s="364"/>
      <c r="X488" s="179"/>
      <c r="Y488" s="364"/>
      <c r="Z488" s="357" t="s">
        <v>1325</v>
      </c>
      <c r="AA488" s="89">
        <f t="shared" si="35"/>
        <v>43100</v>
      </c>
      <c r="AB488" s="237">
        <v>1232672400</v>
      </c>
      <c r="AC488" s="237">
        <v>821781600</v>
      </c>
      <c r="AD488" s="237">
        <v>821781600</v>
      </c>
      <c r="AE488" s="237">
        <v>1232672400</v>
      </c>
      <c r="AF488" s="237"/>
      <c r="AG488" s="237"/>
      <c r="AH488" s="237"/>
      <c r="AI488" s="237"/>
      <c r="AJ488" s="237"/>
      <c r="AK488" s="237"/>
      <c r="AL488" s="237"/>
      <c r="AM488" s="237"/>
      <c r="AN488" s="237"/>
      <c r="AO488" s="237"/>
      <c r="AP488" s="237"/>
      <c r="AQ488" s="237"/>
      <c r="AR488" s="237"/>
      <c r="AS488" s="237"/>
      <c r="AT488" s="364">
        <v>43090</v>
      </c>
      <c r="AU488" s="91">
        <f t="shared" si="36"/>
        <v>4108908000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4"/>
      <c r="K489" s="237"/>
      <c r="L489" s="367"/>
      <c r="M489" s="179"/>
      <c r="N489" s="364"/>
      <c r="O489" s="179"/>
      <c r="P489" s="369"/>
      <c r="Q489" s="86">
        <f t="shared" si="34"/>
        <v>0</v>
      </c>
      <c r="R489" s="287" t="s">
        <v>380</v>
      </c>
      <c r="S489" s="364">
        <v>43166</v>
      </c>
      <c r="T489" s="179"/>
      <c r="U489" s="364"/>
      <c r="V489" s="179"/>
      <c r="W489" s="364"/>
      <c r="X489" s="179"/>
      <c r="Y489" s="364"/>
      <c r="Z489" s="357" t="s">
        <v>380</v>
      </c>
      <c r="AA489" s="89">
        <f t="shared" si="35"/>
        <v>43166</v>
      </c>
      <c r="AB489" s="237">
        <v>201962</v>
      </c>
      <c r="AC489" s="237">
        <v>6425070</v>
      </c>
      <c r="AD489" s="237">
        <v>5690972</v>
      </c>
      <c r="AE489" s="237">
        <v>93142669</v>
      </c>
      <c r="AF489" s="237">
        <v>3047040</v>
      </c>
      <c r="AG489" s="237">
        <v>90291237</v>
      </c>
      <c r="AH489" s="237">
        <v>7732900</v>
      </c>
      <c r="AI489" s="237">
        <v>5297500</v>
      </c>
      <c r="AJ489" s="237"/>
      <c r="AK489" s="237"/>
      <c r="AL489" s="237"/>
      <c r="AM489" s="237"/>
      <c r="AN489" s="237"/>
      <c r="AO489" s="237"/>
      <c r="AP489" s="237"/>
      <c r="AQ489" s="237"/>
      <c r="AR489" s="237"/>
      <c r="AS489" s="237"/>
      <c r="AT489" s="364">
        <v>43053</v>
      </c>
      <c r="AU489" s="91">
        <f t="shared" si="36"/>
        <v>211829350</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4"/>
      <c r="K490" s="237"/>
      <c r="L490" s="367"/>
      <c r="M490" s="179"/>
      <c r="N490" s="364"/>
      <c r="O490" s="179"/>
      <c r="P490" s="369"/>
      <c r="Q490" s="86">
        <f t="shared" si="34"/>
        <v>0</v>
      </c>
      <c r="R490" s="287"/>
      <c r="S490" s="364"/>
      <c r="T490" s="179"/>
      <c r="U490" s="364"/>
      <c r="V490" s="179"/>
      <c r="W490" s="364"/>
      <c r="X490" s="179"/>
      <c r="Y490" s="364"/>
      <c r="Z490" s="357"/>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4">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4"/>
      <c r="K491" s="237"/>
      <c r="L491" s="367"/>
      <c r="M491" s="179"/>
      <c r="N491" s="364"/>
      <c r="O491" s="179"/>
      <c r="P491" s="369"/>
      <c r="Q491" s="86">
        <f t="shared" si="34"/>
        <v>0</v>
      </c>
      <c r="R491" s="287"/>
      <c r="S491" s="364"/>
      <c r="T491" s="179"/>
      <c r="U491" s="364"/>
      <c r="V491" s="179"/>
      <c r="W491" s="364"/>
      <c r="X491" s="179"/>
      <c r="Y491" s="364"/>
      <c r="Z491" s="357"/>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4">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4"/>
      <c r="K492" s="237"/>
      <c r="L492" s="367"/>
      <c r="M492" s="179"/>
      <c r="N492" s="364"/>
      <c r="O492" s="179"/>
      <c r="P492" s="369"/>
      <c r="Q492" s="86">
        <f t="shared" si="34"/>
        <v>0</v>
      </c>
      <c r="R492" s="287"/>
      <c r="S492" s="364"/>
      <c r="T492" s="179"/>
      <c r="U492" s="364"/>
      <c r="V492" s="179"/>
      <c r="W492" s="364"/>
      <c r="X492" s="179"/>
      <c r="Y492" s="364"/>
      <c r="Z492" s="357"/>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4">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4"/>
      <c r="K493" s="237"/>
      <c r="L493" s="367"/>
      <c r="M493" s="179"/>
      <c r="N493" s="364"/>
      <c r="O493" s="179"/>
      <c r="P493" s="369"/>
      <c r="Q493" s="86">
        <f t="shared" si="34"/>
        <v>0</v>
      </c>
      <c r="R493" s="287"/>
      <c r="S493" s="364"/>
      <c r="T493" s="179"/>
      <c r="U493" s="364"/>
      <c r="V493" s="179"/>
      <c r="W493" s="364"/>
      <c r="X493" s="179"/>
      <c r="Y493" s="364"/>
      <c r="Z493" s="357"/>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4">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4"/>
      <c r="K494" s="237"/>
      <c r="L494" s="367"/>
      <c r="M494" s="179"/>
      <c r="N494" s="364"/>
      <c r="O494" s="179"/>
      <c r="P494" s="369"/>
      <c r="Q494" s="86">
        <f t="shared" si="34"/>
        <v>0</v>
      </c>
      <c r="R494" s="287"/>
      <c r="S494" s="364"/>
      <c r="T494" s="179"/>
      <c r="U494" s="364"/>
      <c r="V494" s="179"/>
      <c r="W494" s="364"/>
      <c r="X494" s="179"/>
      <c r="Y494" s="364"/>
      <c r="Z494" s="357"/>
      <c r="AA494" s="89">
        <f t="shared" si="35"/>
        <v>0</v>
      </c>
      <c r="AB494" s="237">
        <v>829177</v>
      </c>
      <c r="AC494" s="237">
        <v>544450</v>
      </c>
      <c r="AD494" s="237">
        <v>1074824</v>
      </c>
      <c r="AE494" s="237"/>
      <c r="AF494" s="237"/>
      <c r="AG494" s="237"/>
      <c r="AH494" s="237"/>
      <c r="AI494" s="237"/>
      <c r="AJ494" s="237"/>
      <c r="AK494" s="237"/>
      <c r="AL494" s="237"/>
      <c r="AM494" s="237"/>
      <c r="AN494" s="237"/>
      <c r="AO494" s="237"/>
      <c r="AP494" s="237"/>
      <c r="AQ494" s="237"/>
      <c r="AR494" s="237"/>
      <c r="AS494" s="237"/>
      <c r="AT494" s="364">
        <v>43047</v>
      </c>
      <c r="AU494" s="91">
        <f t="shared" si="36"/>
        <v>2448451</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4"/>
      <c r="K495" s="237"/>
      <c r="L495" s="367"/>
      <c r="M495" s="179"/>
      <c r="N495" s="364"/>
      <c r="O495" s="179"/>
      <c r="P495" s="369"/>
      <c r="Q495" s="86">
        <f t="shared" si="34"/>
        <v>0</v>
      </c>
      <c r="R495" s="287"/>
      <c r="S495" s="364"/>
      <c r="T495" s="179"/>
      <c r="U495" s="364"/>
      <c r="V495" s="179"/>
      <c r="W495" s="364"/>
      <c r="X495" s="179"/>
      <c r="Y495" s="364"/>
      <c r="Z495" s="357"/>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4">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4"/>
      <c r="K496" s="237"/>
      <c r="L496" s="367"/>
      <c r="M496" s="179"/>
      <c r="N496" s="364"/>
      <c r="O496" s="179"/>
      <c r="P496" s="369"/>
      <c r="Q496" s="86">
        <f t="shared" si="34"/>
        <v>0</v>
      </c>
      <c r="R496" s="287"/>
      <c r="S496" s="364"/>
      <c r="T496" s="179"/>
      <c r="U496" s="364"/>
      <c r="V496" s="179"/>
      <c r="W496" s="364"/>
      <c r="X496" s="179"/>
      <c r="Y496" s="364"/>
      <c r="Z496" s="357"/>
      <c r="AA496" s="89">
        <f t="shared" si="35"/>
        <v>0</v>
      </c>
      <c r="AB496" s="237"/>
      <c r="AC496" s="237"/>
      <c r="AD496" s="237"/>
      <c r="AE496" s="237"/>
      <c r="AF496" s="237"/>
      <c r="AG496" s="237"/>
      <c r="AH496" s="237"/>
      <c r="AI496" s="237"/>
      <c r="AJ496" s="237"/>
      <c r="AK496" s="237"/>
      <c r="AL496" s="237"/>
      <c r="AM496" s="237"/>
      <c r="AN496" s="237"/>
      <c r="AO496" s="237"/>
      <c r="AP496" s="237"/>
      <c r="AQ496" s="237"/>
      <c r="AR496" s="237"/>
      <c r="AS496" s="237"/>
      <c r="AT496" s="364"/>
      <c r="AU496" s="91">
        <f t="shared" si="36"/>
        <v>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c r="J497" s="364"/>
      <c r="K497" s="237"/>
      <c r="L497" s="367"/>
      <c r="M497" s="179"/>
      <c r="N497" s="364"/>
      <c r="O497" s="179"/>
      <c r="P497" s="369"/>
      <c r="Q497" s="86">
        <f t="shared" si="34"/>
        <v>0</v>
      </c>
      <c r="R497" s="287"/>
      <c r="S497" s="364"/>
      <c r="T497" s="179"/>
      <c r="U497" s="364"/>
      <c r="V497" s="179"/>
      <c r="W497" s="364"/>
      <c r="X497" s="179"/>
      <c r="Y497" s="364"/>
      <c r="Z497" s="357"/>
      <c r="AA497" s="89">
        <f t="shared" si="35"/>
        <v>0</v>
      </c>
      <c r="AB497" s="237">
        <v>785547</v>
      </c>
      <c r="AC497" s="237"/>
      <c r="AD497" s="237">
        <v>5891600</v>
      </c>
      <c r="AE497" s="237">
        <v>5891600</v>
      </c>
      <c r="AF497" s="237">
        <v>5891600</v>
      </c>
      <c r="AG497" s="237">
        <v>5891600</v>
      </c>
      <c r="AH497" s="237">
        <v>5891600</v>
      </c>
      <c r="AI497" s="237">
        <v>5891600</v>
      </c>
      <c r="AJ497" s="237">
        <v>5891600</v>
      </c>
      <c r="AK497" s="237">
        <v>5891600</v>
      </c>
      <c r="AL497" s="237"/>
      <c r="AM497" s="237"/>
      <c r="AN497" s="237"/>
      <c r="AO497" s="237"/>
      <c r="AP497" s="237"/>
      <c r="AQ497" s="237"/>
      <c r="AR497" s="237"/>
      <c r="AS497" s="237"/>
      <c r="AT497" s="364">
        <v>43082</v>
      </c>
      <c r="AU497" s="91">
        <f t="shared" si="36"/>
        <v>47918347</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4"/>
      <c r="K498" s="237"/>
      <c r="L498" s="367"/>
      <c r="M498" s="179"/>
      <c r="N498" s="364"/>
      <c r="O498" s="179"/>
      <c r="P498" s="369"/>
      <c r="Q498" s="86">
        <f t="shared" si="34"/>
        <v>0</v>
      </c>
      <c r="R498" s="287"/>
      <c r="S498" s="364"/>
      <c r="T498" s="179"/>
      <c r="U498" s="364"/>
      <c r="V498" s="179"/>
      <c r="W498" s="364"/>
      <c r="X498" s="179"/>
      <c r="Y498" s="364"/>
      <c r="Z498" s="357"/>
      <c r="AA498" s="89">
        <f t="shared" si="35"/>
        <v>0</v>
      </c>
      <c r="AB498" s="237">
        <v>3328899</v>
      </c>
      <c r="AC498" s="237">
        <v>1463904</v>
      </c>
      <c r="AD498" s="237">
        <v>2279286</v>
      </c>
      <c r="AE498" s="237">
        <v>7842494</v>
      </c>
      <c r="AF498" s="237"/>
      <c r="AG498" s="237"/>
      <c r="AH498" s="237"/>
      <c r="AI498" s="237"/>
      <c r="AJ498" s="237"/>
      <c r="AK498" s="237"/>
      <c r="AL498" s="237"/>
      <c r="AM498" s="237"/>
      <c r="AN498" s="237"/>
      <c r="AO498" s="237"/>
      <c r="AP498" s="237"/>
      <c r="AQ498" s="237"/>
      <c r="AR498" s="237"/>
      <c r="AS498" s="237"/>
      <c r="AT498" s="364">
        <v>43063</v>
      </c>
      <c r="AU498" s="91">
        <f t="shared" si="36"/>
        <v>14914583</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4">
        <v>43073</v>
      </c>
      <c r="K499" s="237"/>
      <c r="L499" s="367"/>
      <c r="M499" s="179"/>
      <c r="N499" s="364"/>
      <c r="O499" s="179"/>
      <c r="P499" s="369"/>
      <c r="Q499" s="86">
        <f t="shared" si="34"/>
        <v>17000000</v>
      </c>
      <c r="R499" s="878" t="s">
        <v>3786</v>
      </c>
      <c r="S499" s="364">
        <v>43131</v>
      </c>
      <c r="T499" s="179"/>
      <c r="U499" s="364"/>
      <c r="V499" s="179"/>
      <c r="W499" s="364"/>
      <c r="X499" s="179"/>
      <c r="Y499" s="364"/>
      <c r="Z499" s="878" t="s">
        <v>3786</v>
      </c>
      <c r="AA499" s="89">
        <f t="shared" si="35"/>
        <v>43131</v>
      </c>
      <c r="AB499" s="237">
        <v>22780969</v>
      </c>
      <c r="AC499" s="237">
        <v>23940637</v>
      </c>
      <c r="AD499" s="237">
        <v>27091759</v>
      </c>
      <c r="AE499" s="237">
        <v>26977441</v>
      </c>
      <c r="AF499" s="237">
        <v>30254652</v>
      </c>
      <c r="AG499" s="237">
        <v>27742942</v>
      </c>
      <c r="AH499" s="237"/>
      <c r="AI499" s="237"/>
      <c r="AJ499" s="237"/>
      <c r="AK499" s="237"/>
      <c r="AL499" s="237"/>
      <c r="AM499" s="237"/>
      <c r="AN499" s="237"/>
      <c r="AO499" s="237"/>
      <c r="AP499" s="237"/>
      <c r="AQ499" s="237"/>
      <c r="AR499" s="237"/>
      <c r="AS499" s="237"/>
      <c r="AT499" s="364">
        <v>43049</v>
      </c>
      <c r="AU499" s="91">
        <f t="shared" si="36"/>
        <v>158788400</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4"/>
      <c r="K500" s="237"/>
      <c r="L500" s="367"/>
      <c r="M500" s="179"/>
      <c r="N500" s="364"/>
      <c r="O500" s="179"/>
      <c r="P500" s="369"/>
      <c r="Q500" s="86">
        <f t="shared" si="34"/>
        <v>0</v>
      </c>
      <c r="R500" s="287"/>
      <c r="S500" s="364"/>
      <c r="T500" s="179"/>
      <c r="U500" s="364"/>
      <c r="V500" s="179"/>
      <c r="W500" s="364"/>
      <c r="X500" s="179"/>
      <c r="Y500" s="364"/>
      <c r="Z500" s="357"/>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4">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4"/>
      <c r="K501" s="237"/>
      <c r="L501" s="367"/>
      <c r="M501" s="179"/>
      <c r="N501" s="364"/>
      <c r="O501" s="179"/>
      <c r="P501" s="369"/>
      <c r="Q501" s="86">
        <f t="shared" si="34"/>
        <v>0</v>
      </c>
      <c r="R501" s="287"/>
      <c r="S501" s="364"/>
      <c r="T501" s="179"/>
      <c r="U501" s="364"/>
      <c r="V501" s="179"/>
      <c r="W501" s="364"/>
      <c r="X501" s="179"/>
      <c r="Y501" s="364"/>
      <c r="Z501" s="357"/>
      <c r="AA501" s="89">
        <f t="shared" si="35"/>
        <v>0</v>
      </c>
      <c r="AB501" s="237">
        <v>1954488</v>
      </c>
      <c r="AC501" s="237">
        <v>4721000</v>
      </c>
      <c r="AD501" s="237">
        <v>1488960</v>
      </c>
      <c r="AE501" s="237"/>
      <c r="AF501" s="237"/>
      <c r="AG501" s="237"/>
      <c r="AH501" s="237"/>
      <c r="AI501" s="237"/>
      <c r="AJ501" s="237"/>
      <c r="AK501" s="237"/>
      <c r="AL501" s="237"/>
      <c r="AM501" s="237"/>
      <c r="AN501" s="237"/>
      <c r="AO501" s="237"/>
      <c r="AP501" s="237"/>
      <c r="AQ501" s="237"/>
      <c r="AR501" s="237"/>
      <c r="AS501" s="237"/>
      <c r="AT501" s="364">
        <v>43062</v>
      </c>
      <c r="AU501" s="91">
        <f t="shared" si="36"/>
        <v>8164448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4"/>
      <c r="K502" s="237"/>
      <c r="L502" s="367"/>
      <c r="M502" s="179"/>
      <c r="N502" s="364"/>
      <c r="O502" s="179"/>
      <c r="P502" s="369"/>
      <c r="Q502" s="86">
        <f t="shared" si="34"/>
        <v>0</v>
      </c>
      <c r="R502" s="287"/>
      <c r="S502" s="364"/>
      <c r="T502" s="179"/>
      <c r="U502" s="364"/>
      <c r="V502" s="179"/>
      <c r="W502" s="364"/>
      <c r="X502" s="179"/>
      <c r="Y502" s="364"/>
      <c r="Z502" s="357"/>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4">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c r="J503" s="364"/>
      <c r="K503" s="237"/>
      <c r="L503" s="367"/>
      <c r="M503" s="179"/>
      <c r="N503" s="364"/>
      <c r="O503" s="179"/>
      <c r="P503" s="369"/>
      <c r="Q503" s="86">
        <f t="shared" si="34"/>
        <v>0</v>
      </c>
      <c r="R503" s="287"/>
      <c r="S503" s="364"/>
      <c r="T503" s="179"/>
      <c r="U503" s="364"/>
      <c r="V503" s="179"/>
      <c r="W503" s="364"/>
      <c r="X503" s="179"/>
      <c r="Y503" s="364"/>
      <c r="Z503" s="357"/>
      <c r="AA503" s="89">
        <f t="shared" si="35"/>
        <v>0</v>
      </c>
      <c r="AB503" s="237">
        <v>1260000</v>
      </c>
      <c r="AC503" s="237">
        <v>5400000</v>
      </c>
      <c r="AD503" s="237">
        <v>5400000</v>
      </c>
      <c r="AE503" s="237">
        <v>5400000</v>
      </c>
      <c r="AF503" s="237"/>
      <c r="AG503" s="237">
        <v>5400000</v>
      </c>
      <c r="AH503" s="237">
        <v>5400000</v>
      </c>
      <c r="AI503" s="237">
        <v>5400000</v>
      </c>
      <c r="AJ503" s="237">
        <v>5400000</v>
      </c>
      <c r="AK503" s="237">
        <v>5400000</v>
      </c>
      <c r="AL503" s="237"/>
      <c r="AM503" s="237"/>
      <c r="AN503" s="237"/>
      <c r="AO503" s="237"/>
      <c r="AP503" s="237"/>
      <c r="AQ503" s="237"/>
      <c r="AR503" s="237"/>
      <c r="AS503" s="237"/>
      <c r="AT503" s="364">
        <v>43100</v>
      </c>
      <c r="AU503" s="91">
        <f t="shared" si="36"/>
        <v>44460000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c r="J504" s="364"/>
      <c r="K504" s="237"/>
      <c r="L504" s="367"/>
      <c r="M504" s="179"/>
      <c r="N504" s="364"/>
      <c r="O504" s="179"/>
      <c r="P504" s="369"/>
      <c r="Q504" s="86">
        <f t="shared" si="34"/>
        <v>0</v>
      </c>
      <c r="R504" s="287"/>
      <c r="S504" s="364"/>
      <c r="T504" s="179"/>
      <c r="U504" s="364"/>
      <c r="V504" s="179"/>
      <c r="W504" s="364"/>
      <c r="X504" s="179"/>
      <c r="Y504" s="364"/>
      <c r="Z504" s="357"/>
      <c r="AA504" s="89">
        <f t="shared" si="35"/>
        <v>0</v>
      </c>
      <c r="AB504" s="237">
        <v>1140000</v>
      </c>
      <c r="AC504" s="237">
        <v>5700000</v>
      </c>
      <c r="AD504" s="237">
        <v>5700000</v>
      </c>
      <c r="AE504" s="237">
        <v>5700000</v>
      </c>
      <c r="AF504" s="237">
        <v>5700000</v>
      </c>
      <c r="AG504" s="237">
        <v>5700000</v>
      </c>
      <c r="AH504" s="237">
        <v>5700000</v>
      </c>
      <c r="AI504" s="237">
        <v>5700000</v>
      </c>
      <c r="AJ504" s="237"/>
      <c r="AK504" s="237"/>
      <c r="AL504" s="237"/>
      <c r="AM504" s="237"/>
      <c r="AN504" s="237"/>
      <c r="AO504" s="237"/>
      <c r="AP504" s="237"/>
      <c r="AQ504" s="237"/>
      <c r="AR504" s="237"/>
      <c r="AS504" s="237"/>
      <c r="AT504" s="364">
        <v>43081</v>
      </c>
      <c r="AU504" s="91">
        <f t="shared" si="36"/>
        <v>41040000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4"/>
      <c r="K505" s="237"/>
      <c r="L505" s="367"/>
      <c r="M505" s="179"/>
      <c r="N505" s="364"/>
      <c r="O505" s="179"/>
      <c r="P505" s="369"/>
      <c r="Q505" s="86">
        <f t="shared" si="34"/>
        <v>0</v>
      </c>
      <c r="R505" s="287"/>
      <c r="S505" s="364"/>
      <c r="T505" s="179"/>
      <c r="U505" s="364"/>
      <c r="V505" s="179"/>
      <c r="W505" s="364"/>
      <c r="X505" s="179"/>
      <c r="Y505" s="364"/>
      <c r="Z505" s="357"/>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4">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c r="J506" s="364"/>
      <c r="K506" s="237"/>
      <c r="L506" s="367"/>
      <c r="M506" s="179"/>
      <c r="N506" s="364"/>
      <c r="O506" s="179"/>
      <c r="P506" s="369"/>
      <c r="Q506" s="86">
        <f t="shared" si="34"/>
        <v>0</v>
      </c>
      <c r="R506" s="287"/>
      <c r="S506" s="364"/>
      <c r="T506" s="179"/>
      <c r="U506" s="364"/>
      <c r="V506" s="179"/>
      <c r="W506" s="364"/>
      <c r="X506" s="179"/>
      <c r="Y506" s="364"/>
      <c r="Z506" s="357"/>
      <c r="AA506" s="89">
        <f t="shared" si="35"/>
        <v>0</v>
      </c>
      <c r="AB506" s="237">
        <v>1900000</v>
      </c>
      <c r="AC506" s="237">
        <v>5700000</v>
      </c>
      <c r="AD506" s="237">
        <v>5700000</v>
      </c>
      <c r="AE506" s="237">
        <v>5700000</v>
      </c>
      <c r="AF506" s="237">
        <v>5700000</v>
      </c>
      <c r="AG506" s="237">
        <v>5700000</v>
      </c>
      <c r="AH506" s="237">
        <v>5700000</v>
      </c>
      <c r="AI506" s="237">
        <v>5700000</v>
      </c>
      <c r="AJ506" s="237">
        <v>5700000</v>
      </c>
      <c r="AK506" s="237"/>
      <c r="AL506" s="237"/>
      <c r="AM506" s="237"/>
      <c r="AN506" s="237"/>
      <c r="AO506" s="237"/>
      <c r="AP506" s="237"/>
      <c r="AQ506" s="237"/>
      <c r="AR506" s="237"/>
      <c r="AS506" s="237"/>
      <c r="AT506" s="364">
        <v>43100</v>
      </c>
      <c r="AU506" s="91">
        <f t="shared" si="36"/>
        <v>47500000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4"/>
      <c r="K507" s="237"/>
      <c r="L507" s="367"/>
      <c r="M507" s="179"/>
      <c r="N507" s="364"/>
      <c r="O507" s="179"/>
      <c r="P507" s="369"/>
      <c r="Q507" s="86">
        <f t="shared" si="34"/>
        <v>0</v>
      </c>
      <c r="R507" s="287"/>
      <c r="S507" s="364"/>
      <c r="T507" s="179"/>
      <c r="U507" s="364"/>
      <c r="V507" s="179"/>
      <c r="W507" s="364"/>
      <c r="X507" s="179"/>
      <c r="Y507" s="364"/>
      <c r="Z507" s="357"/>
      <c r="AA507" s="89">
        <f t="shared" si="35"/>
        <v>0</v>
      </c>
      <c r="AB507" s="237">
        <v>863294</v>
      </c>
      <c r="AC507" s="237">
        <v>784512</v>
      </c>
      <c r="AD507" s="237">
        <v>953479</v>
      </c>
      <c r="AE507" s="237">
        <v>1153545</v>
      </c>
      <c r="AF507" s="237">
        <v>549616</v>
      </c>
      <c r="AG507" s="237"/>
      <c r="AH507" s="237"/>
      <c r="AI507" s="237"/>
      <c r="AJ507" s="237"/>
      <c r="AK507" s="237"/>
      <c r="AL507" s="237"/>
      <c r="AM507" s="237"/>
      <c r="AN507" s="237"/>
      <c r="AO507" s="237"/>
      <c r="AP507" s="237"/>
      <c r="AQ507" s="237"/>
      <c r="AR507" s="237"/>
      <c r="AS507" s="237"/>
      <c r="AT507" s="364">
        <v>43054</v>
      </c>
      <c r="AU507" s="91">
        <f t="shared" si="36"/>
        <v>4304446</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c r="J508" s="364"/>
      <c r="K508" s="237"/>
      <c r="L508" s="367"/>
      <c r="M508" s="179"/>
      <c r="N508" s="364"/>
      <c r="O508" s="179"/>
      <c r="P508" s="369"/>
      <c r="Q508" s="86">
        <f t="shared" si="34"/>
        <v>0</v>
      </c>
      <c r="R508" s="287"/>
      <c r="S508" s="364"/>
      <c r="T508" s="179"/>
      <c r="U508" s="364"/>
      <c r="V508" s="179"/>
      <c r="W508" s="364"/>
      <c r="X508" s="179"/>
      <c r="Y508" s="364"/>
      <c r="Z508" s="357"/>
      <c r="AA508" s="89">
        <f t="shared" si="35"/>
        <v>0</v>
      </c>
      <c r="AB508" s="237">
        <v>1140000</v>
      </c>
      <c r="AC508" s="237">
        <v>5700000</v>
      </c>
      <c r="AD508" s="237">
        <v>5700000</v>
      </c>
      <c r="AE508" s="237">
        <v>5700000</v>
      </c>
      <c r="AF508" s="237">
        <v>5700000</v>
      </c>
      <c r="AG508" s="237">
        <v>5700000</v>
      </c>
      <c r="AH508" s="237">
        <v>5700000</v>
      </c>
      <c r="AI508" s="237">
        <v>5700000</v>
      </c>
      <c r="AJ508" s="237"/>
      <c r="AK508" s="237"/>
      <c r="AL508" s="237"/>
      <c r="AM508" s="237"/>
      <c r="AN508" s="237"/>
      <c r="AO508" s="237"/>
      <c r="AP508" s="237"/>
      <c r="AQ508" s="237"/>
      <c r="AR508" s="237"/>
      <c r="AS508" s="237"/>
      <c r="AT508" s="364">
        <v>43082</v>
      </c>
      <c r="AU508" s="91">
        <f t="shared" si="36"/>
        <v>41040000</v>
      </c>
      <c r="AV508" s="14"/>
      <c r="AW508" s="1"/>
    </row>
    <row r="509" spans="1:49" s="57" customFormat="1" ht="45" hidden="1" x14ac:dyDescent="0.25">
      <c r="A509" s="59"/>
      <c r="B509" s="2" t="str">
        <f>+'Base de Datos'!E509</f>
        <v>170109-0-2017</v>
      </c>
      <c r="C509" s="2" t="str">
        <f>+'Base de Datos'!F509</f>
        <v>IVON ADRIANA JIMENEZ ZAPATA</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c r="J509" s="364"/>
      <c r="K509" s="237"/>
      <c r="L509" s="367"/>
      <c r="M509" s="179"/>
      <c r="N509" s="364"/>
      <c r="O509" s="179"/>
      <c r="P509" s="369"/>
      <c r="Q509" s="86">
        <f t="shared" si="34"/>
        <v>0</v>
      </c>
      <c r="R509" s="287"/>
      <c r="S509" s="364"/>
      <c r="T509" s="179"/>
      <c r="U509" s="364"/>
      <c r="V509" s="179"/>
      <c r="W509" s="364"/>
      <c r="X509" s="179"/>
      <c r="Y509" s="364"/>
      <c r="Z509" s="357"/>
      <c r="AA509" s="89">
        <f t="shared" si="35"/>
        <v>0</v>
      </c>
      <c r="AB509" s="237">
        <v>950000</v>
      </c>
      <c r="AC509" s="237">
        <v>5700000</v>
      </c>
      <c r="AD509" s="237">
        <v>5700000</v>
      </c>
      <c r="AE509" s="237">
        <v>5700000</v>
      </c>
      <c r="AF509" s="237">
        <v>5700000</v>
      </c>
      <c r="AG509" s="237">
        <v>5700000</v>
      </c>
      <c r="AH509" s="237">
        <v>5700000</v>
      </c>
      <c r="AI509" s="237">
        <v>5700000</v>
      </c>
      <c r="AJ509" s="237"/>
      <c r="AK509" s="237"/>
      <c r="AL509" s="237"/>
      <c r="AM509" s="237"/>
      <c r="AN509" s="237"/>
      <c r="AO509" s="237"/>
      <c r="AP509" s="237"/>
      <c r="AQ509" s="237"/>
      <c r="AR509" s="237"/>
      <c r="AS509" s="237"/>
      <c r="AT509" s="364">
        <v>43081</v>
      </c>
      <c r="AU509" s="91">
        <f t="shared" si="36"/>
        <v>40850000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4"/>
      <c r="K510" s="237"/>
      <c r="L510" s="367"/>
      <c r="M510" s="179"/>
      <c r="N510" s="364"/>
      <c r="O510" s="179"/>
      <c r="P510" s="369"/>
      <c r="Q510" s="86">
        <f t="shared" si="34"/>
        <v>0</v>
      </c>
      <c r="R510" s="287"/>
      <c r="S510" s="364"/>
      <c r="T510" s="179"/>
      <c r="U510" s="364"/>
      <c r="V510" s="179"/>
      <c r="W510" s="364"/>
      <c r="X510" s="179"/>
      <c r="Y510" s="364"/>
      <c r="Z510" s="357"/>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4">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4"/>
      <c r="K511" s="237"/>
      <c r="L511" s="367"/>
      <c r="M511" s="179"/>
      <c r="N511" s="364"/>
      <c r="O511" s="179"/>
      <c r="P511" s="369"/>
      <c r="Q511" s="86">
        <f t="shared" si="34"/>
        <v>0</v>
      </c>
      <c r="R511" s="287"/>
      <c r="S511" s="364"/>
      <c r="T511" s="179"/>
      <c r="U511" s="364"/>
      <c r="V511" s="179"/>
      <c r="W511" s="364"/>
      <c r="X511" s="179"/>
      <c r="Y511" s="364"/>
      <c r="Z511" s="357"/>
      <c r="AA511" s="89">
        <f t="shared" si="35"/>
        <v>0</v>
      </c>
      <c r="AB511" s="237">
        <v>5510000</v>
      </c>
      <c r="AC511" s="237">
        <v>5700000</v>
      </c>
      <c r="AD511" s="237">
        <v>5700000</v>
      </c>
      <c r="AE511" s="237">
        <v>5700000</v>
      </c>
      <c r="AF511" s="237"/>
      <c r="AG511" s="237"/>
      <c r="AH511" s="237"/>
      <c r="AI511" s="237"/>
      <c r="AJ511" s="237"/>
      <c r="AK511" s="237"/>
      <c r="AL511" s="237"/>
      <c r="AM511" s="237"/>
      <c r="AN511" s="237"/>
      <c r="AO511" s="237"/>
      <c r="AP511" s="237"/>
      <c r="AQ511" s="237"/>
      <c r="AR511" s="237"/>
      <c r="AS511" s="237"/>
      <c r="AT511" s="364">
        <v>42983</v>
      </c>
      <c r="AU511" s="91">
        <f t="shared" si="36"/>
        <v>22610000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c r="J512" s="364"/>
      <c r="K512" s="237"/>
      <c r="L512" s="367"/>
      <c r="M512" s="179"/>
      <c r="N512" s="364"/>
      <c r="O512" s="179"/>
      <c r="P512" s="369"/>
      <c r="Q512" s="86">
        <f t="shared" si="34"/>
        <v>0</v>
      </c>
      <c r="R512" s="287"/>
      <c r="S512" s="364"/>
      <c r="T512" s="179"/>
      <c r="U512" s="364"/>
      <c r="V512" s="179"/>
      <c r="W512" s="364"/>
      <c r="X512" s="179"/>
      <c r="Y512" s="364"/>
      <c r="Z512" s="357"/>
      <c r="AA512" s="89">
        <f t="shared" si="35"/>
        <v>0</v>
      </c>
      <c r="AB512" s="237">
        <v>5510000</v>
      </c>
      <c r="AC512" s="237">
        <v>5700000</v>
      </c>
      <c r="AD512" s="237">
        <v>5700000</v>
      </c>
      <c r="AE512" s="237">
        <v>5700000</v>
      </c>
      <c r="AF512" s="237">
        <v>5700000</v>
      </c>
      <c r="AG512" s="237">
        <v>5700000</v>
      </c>
      <c r="AH512" s="237">
        <v>5700000</v>
      </c>
      <c r="AI512" s="237"/>
      <c r="AJ512" s="237"/>
      <c r="AK512" s="237"/>
      <c r="AL512" s="237"/>
      <c r="AM512" s="237"/>
      <c r="AN512" s="237"/>
      <c r="AO512" s="237"/>
      <c r="AP512" s="237"/>
      <c r="AQ512" s="237"/>
      <c r="AR512" s="237"/>
      <c r="AS512" s="237"/>
      <c r="AT512" s="364">
        <v>43083</v>
      </c>
      <c r="AU512" s="91">
        <f t="shared" si="36"/>
        <v>39710000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c r="J513" s="364"/>
      <c r="K513" s="237"/>
      <c r="L513" s="367"/>
      <c r="M513" s="179"/>
      <c r="N513" s="364"/>
      <c r="O513" s="179"/>
      <c r="P513" s="369"/>
      <c r="Q513" s="86">
        <f t="shared" ref="Q513:Q576" si="37">SUM(I513,K513,M513,O513)</f>
        <v>0</v>
      </c>
      <c r="R513" s="287"/>
      <c r="S513" s="364"/>
      <c r="T513" s="179"/>
      <c r="U513" s="364"/>
      <c r="V513" s="179"/>
      <c r="W513" s="364"/>
      <c r="X513" s="179"/>
      <c r="Y513" s="364"/>
      <c r="Z513" s="357"/>
      <c r="AA513" s="89">
        <f t="shared" ref="AA513:AA576" si="38">MAX(S513,U513,W513,Y513)</f>
        <v>0</v>
      </c>
      <c r="AB513" s="237">
        <v>3900000</v>
      </c>
      <c r="AC513" s="237">
        <v>4333333</v>
      </c>
      <c r="AD513" s="237">
        <v>4333333</v>
      </c>
      <c r="AE513" s="237">
        <v>4333333</v>
      </c>
      <c r="AF513" s="237">
        <v>4333333</v>
      </c>
      <c r="AG513" s="237">
        <v>4333333</v>
      </c>
      <c r="AH513" s="237">
        <v>4333333</v>
      </c>
      <c r="AI513" s="237">
        <v>4333333</v>
      </c>
      <c r="AJ513" s="237"/>
      <c r="AK513" s="237"/>
      <c r="AL513" s="237"/>
      <c r="AM513" s="237"/>
      <c r="AN513" s="237"/>
      <c r="AO513" s="237"/>
      <c r="AP513" s="237"/>
      <c r="AQ513" s="237"/>
      <c r="AR513" s="237"/>
      <c r="AS513" s="237"/>
      <c r="AT513" s="364">
        <v>43069</v>
      </c>
      <c r="AU513" s="91">
        <f t="shared" ref="AU513:AU576" si="39">SUM(AB513:AR513)</f>
        <v>34233331</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c r="J514" s="364"/>
      <c r="K514" s="237"/>
      <c r="L514" s="367"/>
      <c r="M514" s="179"/>
      <c r="N514" s="364"/>
      <c r="O514" s="179"/>
      <c r="P514" s="369"/>
      <c r="Q514" s="86">
        <f t="shared" si="37"/>
        <v>0</v>
      </c>
      <c r="R514" s="287"/>
      <c r="S514" s="364"/>
      <c r="T514" s="179"/>
      <c r="U514" s="364"/>
      <c r="V514" s="179"/>
      <c r="W514" s="364"/>
      <c r="X514" s="179"/>
      <c r="Y514" s="364"/>
      <c r="Z514" s="357"/>
      <c r="AA514" s="89">
        <f t="shared" si="38"/>
        <v>0</v>
      </c>
      <c r="AB514" s="237">
        <v>5510000</v>
      </c>
      <c r="AC514" s="237">
        <v>5700000</v>
      </c>
      <c r="AD514" s="237">
        <v>5700000</v>
      </c>
      <c r="AE514" s="237">
        <v>5700000</v>
      </c>
      <c r="AF514" s="237">
        <v>5700000</v>
      </c>
      <c r="AG514" s="237">
        <v>5700000</v>
      </c>
      <c r="AH514" s="237">
        <v>5700000</v>
      </c>
      <c r="AI514" s="237"/>
      <c r="AJ514" s="237"/>
      <c r="AK514" s="237"/>
      <c r="AL514" s="237"/>
      <c r="AM514" s="237"/>
      <c r="AN514" s="237"/>
      <c r="AO514" s="237"/>
      <c r="AP514" s="237"/>
      <c r="AQ514" s="237"/>
      <c r="AR514" s="237"/>
      <c r="AS514" s="237"/>
      <c r="AT514" s="364">
        <v>43087</v>
      </c>
      <c r="AU514" s="91">
        <f t="shared" si="39"/>
        <v>39710000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c r="J515" s="364"/>
      <c r="K515" s="237"/>
      <c r="L515" s="367"/>
      <c r="M515" s="179"/>
      <c r="N515" s="364"/>
      <c r="O515" s="179"/>
      <c r="P515" s="369"/>
      <c r="Q515" s="86">
        <f t="shared" si="37"/>
        <v>0</v>
      </c>
      <c r="R515" s="287"/>
      <c r="S515" s="364"/>
      <c r="T515" s="179"/>
      <c r="U515" s="364"/>
      <c r="V515" s="179"/>
      <c r="W515" s="364"/>
      <c r="X515" s="179"/>
      <c r="Y515" s="364"/>
      <c r="Z515" s="357"/>
      <c r="AA515" s="89">
        <f t="shared" si="38"/>
        <v>0</v>
      </c>
      <c r="AB515" s="237">
        <v>5510000</v>
      </c>
      <c r="AC515" s="237">
        <v>5700000</v>
      </c>
      <c r="AD515" s="237">
        <v>5700000</v>
      </c>
      <c r="AE515" s="237">
        <v>5700000</v>
      </c>
      <c r="AF515" s="237">
        <v>5700000</v>
      </c>
      <c r="AG515" s="237">
        <v>5700000</v>
      </c>
      <c r="AH515" s="237">
        <v>1520000</v>
      </c>
      <c r="AI515" s="237">
        <v>1330000</v>
      </c>
      <c r="AJ515" s="237">
        <v>5700000</v>
      </c>
      <c r="AK515" s="237"/>
      <c r="AL515" s="237"/>
      <c r="AM515" s="237"/>
      <c r="AN515" s="237"/>
      <c r="AO515" s="237"/>
      <c r="AP515" s="237"/>
      <c r="AQ515" s="237"/>
      <c r="AR515" s="237"/>
      <c r="AS515" s="237"/>
      <c r="AT515" s="364">
        <v>43100</v>
      </c>
      <c r="AU515" s="91">
        <f t="shared" si="39"/>
        <v>42560000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c r="J516" s="364"/>
      <c r="K516" s="237"/>
      <c r="L516" s="367"/>
      <c r="M516" s="179"/>
      <c r="N516" s="364"/>
      <c r="O516" s="179"/>
      <c r="P516" s="369"/>
      <c r="Q516" s="86">
        <f t="shared" si="37"/>
        <v>0</v>
      </c>
      <c r="R516" s="287"/>
      <c r="S516" s="364"/>
      <c r="T516" s="179"/>
      <c r="U516" s="364"/>
      <c r="V516" s="179"/>
      <c r="W516" s="364"/>
      <c r="X516" s="179"/>
      <c r="Y516" s="364"/>
      <c r="Z516" s="357"/>
      <c r="AA516" s="89">
        <f t="shared" si="38"/>
        <v>0</v>
      </c>
      <c r="AB516" s="237">
        <v>31625241</v>
      </c>
      <c r="AC516" s="237">
        <v>29809414</v>
      </c>
      <c r="AD516" s="237">
        <v>28639774</v>
      </c>
      <c r="AE516" s="237"/>
      <c r="AF516" s="237"/>
      <c r="AG516" s="237"/>
      <c r="AH516" s="237"/>
      <c r="AI516" s="237"/>
      <c r="AJ516" s="237"/>
      <c r="AK516" s="237"/>
      <c r="AL516" s="237"/>
      <c r="AM516" s="237"/>
      <c r="AN516" s="237"/>
      <c r="AO516" s="237"/>
      <c r="AP516" s="237"/>
      <c r="AQ516" s="237"/>
      <c r="AR516" s="237"/>
      <c r="AS516" s="237"/>
      <c r="AT516" s="364">
        <v>43083</v>
      </c>
      <c r="AU516" s="91">
        <f t="shared" si="39"/>
        <v>90074429</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4"/>
      <c r="K517" s="237"/>
      <c r="L517" s="367"/>
      <c r="M517" s="179"/>
      <c r="N517" s="364"/>
      <c r="O517" s="179"/>
      <c r="P517" s="369"/>
      <c r="Q517" s="86">
        <f t="shared" si="37"/>
        <v>0</v>
      </c>
      <c r="R517" s="287"/>
      <c r="S517" s="364"/>
      <c r="T517" s="179"/>
      <c r="U517" s="364"/>
      <c r="V517" s="179"/>
      <c r="W517" s="364"/>
      <c r="X517" s="179"/>
      <c r="Y517" s="364"/>
      <c r="Z517" s="357"/>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4">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c r="J518" s="364"/>
      <c r="K518" s="237"/>
      <c r="L518" s="367"/>
      <c r="M518" s="179"/>
      <c r="N518" s="364"/>
      <c r="O518" s="179"/>
      <c r="P518" s="369"/>
      <c r="Q518" s="86">
        <f t="shared" si="37"/>
        <v>0</v>
      </c>
      <c r="R518" s="287"/>
      <c r="S518" s="364"/>
      <c r="T518" s="179"/>
      <c r="U518" s="364"/>
      <c r="V518" s="179"/>
      <c r="W518" s="364"/>
      <c r="X518" s="179"/>
      <c r="Y518" s="364"/>
      <c r="Z518" s="357"/>
      <c r="AA518" s="89">
        <f t="shared" si="38"/>
        <v>0</v>
      </c>
      <c r="AB518" s="237">
        <v>4044444</v>
      </c>
      <c r="AC518" s="237">
        <v>4333333</v>
      </c>
      <c r="AD518" s="237">
        <v>4333333</v>
      </c>
      <c r="AE518" s="237">
        <v>4333333</v>
      </c>
      <c r="AF518" s="237">
        <v>4333333</v>
      </c>
      <c r="AG518" s="237">
        <v>4333333</v>
      </c>
      <c r="AH518" s="237">
        <v>4333333</v>
      </c>
      <c r="AI518" s="237">
        <v>4333333</v>
      </c>
      <c r="AJ518" s="237"/>
      <c r="AK518" s="237"/>
      <c r="AL518" s="237"/>
      <c r="AM518" s="237"/>
      <c r="AN518" s="237"/>
      <c r="AO518" s="237"/>
      <c r="AP518" s="237"/>
      <c r="AQ518" s="237"/>
      <c r="AR518" s="237"/>
      <c r="AS518" s="237"/>
      <c r="AT518" s="364">
        <v>43109</v>
      </c>
      <c r="AU518" s="91">
        <f t="shared" si="39"/>
        <v>34377775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c r="J519" s="364"/>
      <c r="K519" s="237"/>
      <c r="L519" s="367"/>
      <c r="M519" s="179"/>
      <c r="N519" s="364"/>
      <c r="O519" s="179"/>
      <c r="P519" s="369"/>
      <c r="Q519" s="86">
        <f t="shared" si="37"/>
        <v>0</v>
      </c>
      <c r="R519" s="287"/>
      <c r="S519" s="364"/>
      <c r="T519" s="179"/>
      <c r="U519" s="364"/>
      <c r="V519" s="179"/>
      <c r="W519" s="364"/>
      <c r="X519" s="179"/>
      <c r="Y519" s="364"/>
      <c r="Z519" s="357"/>
      <c r="AA519" s="89">
        <f t="shared" si="38"/>
        <v>0</v>
      </c>
      <c r="AB519" s="237">
        <v>1916667</v>
      </c>
      <c r="AC519" s="237">
        <v>2500000</v>
      </c>
      <c r="AD519" s="237">
        <v>2500000</v>
      </c>
      <c r="AE519" s="237">
        <v>2500000</v>
      </c>
      <c r="AF519" s="237">
        <v>2500000</v>
      </c>
      <c r="AG519" s="237">
        <v>2500000</v>
      </c>
      <c r="AH519" s="237">
        <v>2500000</v>
      </c>
      <c r="AI519" s="237">
        <v>2500000</v>
      </c>
      <c r="AJ519" s="237"/>
      <c r="AK519" s="237"/>
      <c r="AL519" s="237"/>
      <c r="AM519" s="237"/>
      <c r="AN519" s="237"/>
      <c r="AO519" s="237"/>
      <c r="AP519" s="237"/>
      <c r="AQ519" s="237"/>
      <c r="AR519" s="237"/>
      <c r="AS519" s="237"/>
      <c r="AT519" s="364">
        <v>43100</v>
      </c>
      <c r="AU519" s="91">
        <f t="shared" si="39"/>
        <v>19416667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c r="J520" s="364"/>
      <c r="K520" s="237"/>
      <c r="L520" s="367"/>
      <c r="M520" s="179"/>
      <c r="N520" s="364"/>
      <c r="O520" s="179"/>
      <c r="P520" s="369"/>
      <c r="Q520" s="86">
        <f t="shared" si="37"/>
        <v>0</v>
      </c>
      <c r="R520" s="287"/>
      <c r="S520" s="364"/>
      <c r="T520" s="179"/>
      <c r="U520" s="364"/>
      <c r="V520" s="179"/>
      <c r="W520" s="364"/>
      <c r="X520" s="179"/>
      <c r="Y520" s="364"/>
      <c r="Z520" s="357"/>
      <c r="AA520" s="89">
        <f t="shared" si="38"/>
        <v>0</v>
      </c>
      <c r="AB520" s="237">
        <v>4370000</v>
      </c>
      <c r="AC520" s="237">
        <v>5700000</v>
      </c>
      <c r="AD520" s="237">
        <v>5700000</v>
      </c>
      <c r="AE520" s="237">
        <v>5700000</v>
      </c>
      <c r="AF520" s="237">
        <v>5700000</v>
      </c>
      <c r="AG520" s="237">
        <v>5700000</v>
      </c>
      <c r="AH520" s="237">
        <v>5700000</v>
      </c>
      <c r="AI520" s="237">
        <v>5700000</v>
      </c>
      <c r="AJ520" s="237"/>
      <c r="AK520" s="237"/>
      <c r="AL520" s="237"/>
      <c r="AM520" s="237"/>
      <c r="AN520" s="237"/>
      <c r="AO520" s="237"/>
      <c r="AP520" s="237"/>
      <c r="AQ520" s="237"/>
      <c r="AR520" s="237"/>
      <c r="AS520" s="237"/>
      <c r="AT520" s="364">
        <v>43100</v>
      </c>
      <c r="AU520" s="91">
        <f t="shared" si="39"/>
        <v>44270000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c r="J521" s="364"/>
      <c r="K521" s="237"/>
      <c r="L521" s="367"/>
      <c r="M521" s="179"/>
      <c r="N521" s="364"/>
      <c r="O521" s="179"/>
      <c r="P521" s="369"/>
      <c r="Q521" s="86">
        <f t="shared" si="37"/>
        <v>0</v>
      </c>
      <c r="R521" s="287"/>
      <c r="S521" s="364"/>
      <c r="T521" s="179"/>
      <c r="U521" s="364"/>
      <c r="V521" s="179"/>
      <c r="W521" s="364"/>
      <c r="X521" s="179"/>
      <c r="Y521" s="364"/>
      <c r="Z521" s="357"/>
      <c r="AA521" s="89">
        <f t="shared" si="38"/>
        <v>0</v>
      </c>
      <c r="AB521" s="237">
        <v>1652733</v>
      </c>
      <c r="AC521" s="237">
        <v>3814000</v>
      </c>
      <c r="AD521" s="237">
        <v>3814000</v>
      </c>
      <c r="AE521" s="237">
        <v>3814000</v>
      </c>
      <c r="AF521" s="237">
        <v>3814000</v>
      </c>
      <c r="AG521" s="237">
        <v>3814000</v>
      </c>
      <c r="AH521" s="237">
        <v>3814000</v>
      </c>
      <c r="AI521" s="237">
        <v>3814000</v>
      </c>
      <c r="AJ521" s="237"/>
      <c r="AK521" s="237"/>
      <c r="AL521" s="237"/>
      <c r="AM521" s="237"/>
      <c r="AN521" s="237"/>
      <c r="AO521" s="237"/>
      <c r="AP521" s="237"/>
      <c r="AQ521" s="237"/>
      <c r="AR521" s="237"/>
      <c r="AS521" s="237"/>
      <c r="AT521" s="364">
        <v>43069</v>
      </c>
      <c r="AU521" s="91">
        <f t="shared" si="39"/>
        <v>28350733</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c r="J522" s="364"/>
      <c r="K522" s="237"/>
      <c r="L522" s="367"/>
      <c r="M522" s="179"/>
      <c r="N522" s="364"/>
      <c r="O522" s="179"/>
      <c r="P522" s="369"/>
      <c r="Q522" s="86">
        <f t="shared" si="37"/>
        <v>0</v>
      </c>
      <c r="R522" s="287"/>
      <c r="S522" s="364"/>
      <c r="T522" s="179"/>
      <c r="U522" s="364"/>
      <c r="V522" s="179"/>
      <c r="W522" s="364"/>
      <c r="X522" s="179"/>
      <c r="Y522" s="364"/>
      <c r="Z522" s="357"/>
      <c r="AA522" s="89">
        <f t="shared" si="38"/>
        <v>0</v>
      </c>
      <c r="AB522" s="237">
        <v>3889905</v>
      </c>
      <c r="AC522" s="237"/>
      <c r="AD522" s="237"/>
      <c r="AE522" s="237"/>
      <c r="AF522" s="237"/>
      <c r="AG522" s="237"/>
      <c r="AH522" s="237"/>
      <c r="AI522" s="237"/>
      <c r="AJ522" s="237"/>
      <c r="AK522" s="237"/>
      <c r="AL522" s="237"/>
      <c r="AM522" s="237"/>
      <c r="AN522" s="237"/>
      <c r="AO522" s="237"/>
      <c r="AP522" s="237"/>
      <c r="AQ522" s="237"/>
      <c r="AR522" s="237"/>
      <c r="AS522" s="237"/>
      <c r="AT522" s="364">
        <v>42975</v>
      </c>
      <c r="AU522" s="91">
        <f t="shared" si="39"/>
        <v>3889905</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4"/>
      <c r="K523" s="237"/>
      <c r="L523" s="367"/>
      <c r="M523" s="179"/>
      <c r="N523" s="364"/>
      <c r="O523" s="179"/>
      <c r="P523" s="369"/>
      <c r="Q523" s="86">
        <f t="shared" si="37"/>
        <v>0</v>
      </c>
      <c r="R523" s="287"/>
      <c r="S523" s="364"/>
      <c r="T523" s="179"/>
      <c r="U523" s="364"/>
      <c r="V523" s="179"/>
      <c r="W523" s="364"/>
      <c r="X523" s="179"/>
      <c r="Y523" s="364"/>
      <c r="Z523" s="357"/>
      <c r="AA523" s="89">
        <f t="shared" si="38"/>
        <v>0</v>
      </c>
      <c r="AB523" s="237">
        <v>764218</v>
      </c>
      <c r="AC523" s="237">
        <v>2217208</v>
      </c>
      <c r="AD523" s="237">
        <v>650454</v>
      </c>
      <c r="AE523" s="237">
        <v>2591225</v>
      </c>
      <c r="AF523" s="237">
        <v>10073072</v>
      </c>
      <c r="AG523" s="237">
        <v>9222262</v>
      </c>
      <c r="AH523" s="237"/>
      <c r="AI523" s="237"/>
      <c r="AJ523" s="237"/>
      <c r="AK523" s="237"/>
      <c r="AL523" s="237"/>
      <c r="AM523" s="237"/>
      <c r="AN523" s="237"/>
      <c r="AO523" s="237"/>
      <c r="AP523" s="237"/>
      <c r="AQ523" s="237"/>
      <c r="AR523" s="237"/>
      <c r="AS523" s="237"/>
      <c r="AT523" s="364">
        <v>43060</v>
      </c>
      <c r="AU523" s="91">
        <f t="shared" si="39"/>
        <v>25518439</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c r="J524" s="364"/>
      <c r="K524" s="237"/>
      <c r="L524" s="367"/>
      <c r="M524" s="179"/>
      <c r="N524" s="364"/>
      <c r="O524" s="179"/>
      <c r="P524" s="369"/>
      <c r="Q524" s="86">
        <f t="shared" si="37"/>
        <v>0</v>
      </c>
      <c r="R524" s="287"/>
      <c r="S524" s="364"/>
      <c r="T524" s="179"/>
      <c r="U524" s="364"/>
      <c r="V524" s="179"/>
      <c r="W524" s="364"/>
      <c r="X524" s="179"/>
      <c r="Y524" s="364"/>
      <c r="Z524" s="357"/>
      <c r="AA524" s="89">
        <f t="shared" si="38"/>
        <v>0</v>
      </c>
      <c r="AB524" s="237">
        <v>2022222</v>
      </c>
      <c r="AC524" s="237">
        <v>4333333</v>
      </c>
      <c r="AD524" s="237">
        <v>4333333</v>
      </c>
      <c r="AE524" s="237">
        <v>4333333</v>
      </c>
      <c r="AF524" s="237"/>
      <c r="AG524" s="237">
        <v>4333333</v>
      </c>
      <c r="AH524" s="237">
        <v>4333333</v>
      </c>
      <c r="AI524" s="237">
        <v>4333333</v>
      </c>
      <c r="AJ524" s="237">
        <v>4333333</v>
      </c>
      <c r="AK524" s="237"/>
      <c r="AL524" s="237"/>
      <c r="AM524" s="237"/>
      <c r="AN524" s="237"/>
      <c r="AO524" s="237"/>
      <c r="AP524" s="237"/>
      <c r="AQ524" s="237"/>
      <c r="AR524" s="237"/>
      <c r="AS524" s="237"/>
      <c r="AT524" s="364">
        <v>43100</v>
      </c>
      <c r="AU524" s="91">
        <f t="shared" si="39"/>
        <v>32355553</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c r="J525" s="364"/>
      <c r="K525" s="237"/>
      <c r="L525" s="367"/>
      <c r="M525" s="179"/>
      <c r="N525" s="364"/>
      <c r="O525" s="179"/>
      <c r="P525" s="369"/>
      <c r="Q525" s="86">
        <f t="shared" si="37"/>
        <v>0</v>
      </c>
      <c r="R525" s="287"/>
      <c r="S525" s="364"/>
      <c r="T525" s="179"/>
      <c r="U525" s="364"/>
      <c r="V525" s="179"/>
      <c r="W525" s="364"/>
      <c r="X525" s="179"/>
      <c r="Y525" s="364"/>
      <c r="Z525" s="357"/>
      <c r="AA525" s="89">
        <f t="shared" si="38"/>
        <v>0</v>
      </c>
      <c r="AB525" s="237">
        <v>750000</v>
      </c>
      <c r="AC525" s="237">
        <v>1875000</v>
      </c>
      <c r="AD525" s="237">
        <v>1875000</v>
      </c>
      <c r="AE525" s="237">
        <v>1875000</v>
      </c>
      <c r="AF525" s="237">
        <v>1875000</v>
      </c>
      <c r="AG525" s="237">
        <v>1875000</v>
      </c>
      <c r="AH525" s="237">
        <v>1875000</v>
      </c>
      <c r="AI525" s="237"/>
      <c r="AJ525" s="237"/>
      <c r="AK525" s="237"/>
      <c r="AL525" s="237"/>
      <c r="AM525" s="237"/>
      <c r="AN525" s="237"/>
      <c r="AO525" s="237"/>
      <c r="AP525" s="237"/>
      <c r="AQ525" s="237"/>
      <c r="AR525" s="237"/>
      <c r="AS525" s="237"/>
      <c r="AT525" s="364">
        <v>43082</v>
      </c>
      <c r="AU525" s="91">
        <f t="shared" si="39"/>
        <v>12000000</v>
      </c>
      <c r="AV525" s="14"/>
      <c r="AW525" s="1"/>
    </row>
    <row r="526" spans="1:49" s="57" customFormat="1" ht="33.7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c r="J526" s="364"/>
      <c r="K526" s="237"/>
      <c r="L526" s="367"/>
      <c r="M526" s="179"/>
      <c r="N526" s="364"/>
      <c r="O526" s="179"/>
      <c r="P526" s="369"/>
      <c r="Q526" s="86">
        <f t="shared" si="37"/>
        <v>0</v>
      </c>
      <c r="R526" s="287"/>
      <c r="S526" s="364"/>
      <c r="T526" s="179"/>
      <c r="U526" s="364"/>
      <c r="V526" s="179"/>
      <c r="W526" s="364"/>
      <c r="X526" s="179"/>
      <c r="Y526" s="364"/>
      <c r="Z526" s="357"/>
      <c r="AA526" s="89">
        <f t="shared" si="38"/>
        <v>0</v>
      </c>
      <c r="AB526" s="237">
        <v>2470000</v>
      </c>
      <c r="AC526" s="237">
        <v>5700000</v>
      </c>
      <c r="AD526" s="237">
        <v>5700000</v>
      </c>
      <c r="AE526" s="237">
        <v>5700000</v>
      </c>
      <c r="AF526" s="237">
        <v>5700000</v>
      </c>
      <c r="AG526" s="237">
        <v>5700000</v>
      </c>
      <c r="AH526" s="237">
        <v>5700000</v>
      </c>
      <c r="AI526" s="237">
        <v>5700000</v>
      </c>
      <c r="AJ526" s="237"/>
      <c r="AK526" s="237"/>
      <c r="AL526" s="237"/>
      <c r="AM526" s="237"/>
      <c r="AN526" s="237"/>
      <c r="AO526" s="237"/>
      <c r="AP526" s="237"/>
      <c r="AQ526" s="237"/>
      <c r="AR526" s="237"/>
      <c r="AS526" s="237"/>
      <c r="AT526" s="364">
        <v>43100</v>
      </c>
      <c r="AU526" s="91">
        <f t="shared" si="39"/>
        <v>42370000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c r="J527" s="364"/>
      <c r="K527" s="237"/>
      <c r="L527" s="367"/>
      <c r="M527" s="179"/>
      <c r="N527" s="364"/>
      <c r="O527" s="179"/>
      <c r="P527" s="369"/>
      <c r="Q527" s="86">
        <f t="shared" si="37"/>
        <v>0</v>
      </c>
      <c r="R527" s="287"/>
      <c r="S527" s="364"/>
      <c r="T527" s="179"/>
      <c r="U527" s="364"/>
      <c r="V527" s="179"/>
      <c r="W527" s="364"/>
      <c r="X527" s="179"/>
      <c r="Y527" s="364"/>
      <c r="Z527" s="357"/>
      <c r="AA527" s="89">
        <f t="shared" si="38"/>
        <v>0</v>
      </c>
      <c r="AB527" s="237">
        <v>1500000</v>
      </c>
      <c r="AC527" s="237">
        <v>1500000</v>
      </c>
      <c r="AD527" s="237">
        <v>1500000</v>
      </c>
      <c r="AE527" s="237">
        <v>1500000</v>
      </c>
      <c r="AF527" s="237">
        <v>1500000</v>
      </c>
      <c r="AG527" s="237">
        <v>1500000</v>
      </c>
      <c r="AH527" s="237"/>
      <c r="AI527" s="237"/>
      <c r="AJ527" s="237"/>
      <c r="AK527" s="237"/>
      <c r="AL527" s="237"/>
      <c r="AM527" s="237"/>
      <c r="AN527" s="237"/>
      <c r="AO527" s="237"/>
      <c r="AP527" s="237"/>
      <c r="AQ527" s="237"/>
      <c r="AR527" s="237"/>
      <c r="AS527" s="237"/>
      <c r="AT527" s="364">
        <v>43082</v>
      </c>
      <c r="AU527" s="91">
        <f t="shared" si="39"/>
        <v>9000000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c r="J528" s="364"/>
      <c r="K528" s="237"/>
      <c r="L528" s="367"/>
      <c r="M528" s="179"/>
      <c r="N528" s="364"/>
      <c r="O528" s="179"/>
      <c r="P528" s="369"/>
      <c r="Q528" s="86">
        <f t="shared" si="37"/>
        <v>0</v>
      </c>
      <c r="R528" s="287"/>
      <c r="S528" s="364"/>
      <c r="T528" s="179"/>
      <c r="U528" s="364"/>
      <c r="V528" s="179"/>
      <c r="W528" s="364"/>
      <c r="X528" s="179"/>
      <c r="Y528" s="364"/>
      <c r="Z528" s="357"/>
      <c r="AA528" s="89">
        <f t="shared" si="38"/>
        <v>0</v>
      </c>
      <c r="AB528" s="237">
        <v>1017067</v>
      </c>
      <c r="AC528" s="237">
        <v>3814000</v>
      </c>
      <c r="AD528" s="237">
        <v>3814000</v>
      </c>
      <c r="AE528" s="237">
        <v>3814000</v>
      </c>
      <c r="AF528" s="237">
        <v>3814000</v>
      </c>
      <c r="AG528" s="237">
        <v>3814000</v>
      </c>
      <c r="AH528" s="237">
        <v>3814000</v>
      </c>
      <c r="AI528" s="237">
        <v>3814000</v>
      </c>
      <c r="AJ528" s="237"/>
      <c r="AK528" s="237"/>
      <c r="AL528" s="237"/>
      <c r="AM528" s="237"/>
      <c r="AN528" s="237"/>
      <c r="AO528" s="237"/>
      <c r="AP528" s="237"/>
      <c r="AQ528" s="237"/>
      <c r="AR528" s="237"/>
      <c r="AS528" s="237"/>
      <c r="AT528" s="364">
        <v>43100</v>
      </c>
      <c r="AU528" s="91">
        <f t="shared" si="39"/>
        <v>27715067</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c r="J529" s="364"/>
      <c r="K529" s="237"/>
      <c r="L529" s="367"/>
      <c r="M529" s="179"/>
      <c r="N529" s="364"/>
      <c r="O529" s="179"/>
      <c r="P529" s="369"/>
      <c r="Q529" s="86">
        <f t="shared" si="37"/>
        <v>0</v>
      </c>
      <c r="R529" s="287"/>
      <c r="S529" s="364"/>
      <c r="T529" s="179"/>
      <c r="U529" s="364"/>
      <c r="V529" s="179"/>
      <c r="W529" s="364"/>
      <c r="X529" s="179"/>
      <c r="Y529" s="364"/>
      <c r="Z529" s="357"/>
      <c r="AA529" s="89">
        <f t="shared" si="38"/>
        <v>0</v>
      </c>
      <c r="AB529" s="237"/>
      <c r="AC529" s="237">
        <v>4284000</v>
      </c>
      <c r="AD529" s="237">
        <v>3570000</v>
      </c>
      <c r="AE529" s="237">
        <v>6426000</v>
      </c>
      <c r="AF529" s="237">
        <v>3570000</v>
      </c>
      <c r="AG529" s="237">
        <v>3570000</v>
      </c>
      <c r="AH529" s="237">
        <v>3570000</v>
      </c>
      <c r="AI529" s="237">
        <v>3570000</v>
      </c>
      <c r="AJ529" s="237">
        <v>3570000</v>
      </c>
      <c r="AK529" s="237"/>
      <c r="AL529" s="237"/>
      <c r="AM529" s="237"/>
      <c r="AN529" s="237"/>
      <c r="AO529" s="237"/>
      <c r="AP529" s="237"/>
      <c r="AQ529" s="237"/>
      <c r="AR529" s="237"/>
      <c r="AS529" s="237"/>
      <c r="AT529" s="364">
        <v>43087</v>
      </c>
      <c r="AU529" s="91">
        <f t="shared" si="39"/>
        <v>32130000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4"/>
      <c r="K530" s="237"/>
      <c r="L530" s="367"/>
      <c r="M530" s="179"/>
      <c r="N530" s="364"/>
      <c r="O530" s="179"/>
      <c r="P530" s="369"/>
      <c r="Q530" s="86">
        <f t="shared" si="37"/>
        <v>0</v>
      </c>
      <c r="R530" s="287"/>
      <c r="S530" s="364"/>
      <c r="T530" s="179"/>
      <c r="U530" s="364"/>
      <c r="V530" s="179"/>
      <c r="W530" s="364"/>
      <c r="X530" s="179"/>
      <c r="Y530" s="364"/>
      <c r="Z530" s="357"/>
      <c r="AA530" s="89">
        <f t="shared" si="38"/>
        <v>0</v>
      </c>
      <c r="AB530" s="237"/>
      <c r="AC530" s="237"/>
      <c r="AD530" s="237"/>
      <c r="AE530" s="237"/>
      <c r="AF530" s="237"/>
      <c r="AG530" s="237"/>
      <c r="AH530" s="237"/>
      <c r="AI530" s="237"/>
      <c r="AJ530" s="237"/>
      <c r="AK530" s="237"/>
      <c r="AL530" s="237"/>
      <c r="AM530" s="237"/>
      <c r="AN530" s="237"/>
      <c r="AO530" s="237"/>
      <c r="AP530" s="237"/>
      <c r="AQ530" s="237"/>
      <c r="AR530" s="237"/>
      <c r="AS530" s="237"/>
      <c r="AT530" s="364"/>
      <c r="AU530" s="91">
        <f t="shared" si="39"/>
        <v>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c r="J531" s="364"/>
      <c r="K531" s="237"/>
      <c r="L531" s="367"/>
      <c r="M531" s="179"/>
      <c r="N531" s="364"/>
      <c r="O531" s="179"/>
      <c r="P531" s="369"/>
      <c r="Q531" s="86">
        <f t="shared" si="37"/>
        <v>0</v>
      </c>
      <c r="R531" s="287"/>
      <c r="S531" s="364"/>
      <c r="T531" s="179"/>
      <c r="U531" s="364"/>
      <c r="V531" s="179"/>
      <c r="W531" s="364"/>
      <c r="X531" s="179"/>
      <c r="Y531" s="364"/>
      <c r="Z531" s="357"/>
      <c r="AA531" s="89">
        <f t="shared" si="38"/>
        <v>0</v>
      </c>
      <c r="AB531" s="237">
        <v>35708052</v>
      </c>
      <c r="AC531" s="237">
        <v>14069434</v>
      </c>
      <c r="AD531" s="237"/>
      <c r="AE531" s="237"/>
      <c r="AF531" s="237"/>
      <c r="AG531" s="237"/>
      <c r="AH531" s="237"/>
      <c r="AI531" s="237"/>
      <c r="AJ531" s="237"/>
      <c r="AK531" s="237"/>
      <c r="AL531" s="237"/>
      <c r="AM531" s="237"/>
      <c r="AN531" s="237"/>
      <c r="AO531" s="237"/>
      <c r="AP531" s="237"/>
      <c r="AQ531" s="237"/>
      <c r="AR531" s="237"/>
      <c r="AS531" s="237"/>
      <c r="AT531" s="364">
        <v>43066</v>
      </c>
      <c r="AU531" s="91">
        <f t="shared" si="39"/>
        <v>49777486</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4"/>
      <c r="K532" s="237"/>
      <c r="L532" s="367"/>
      <c r="M532" s="179"/>
      <c r="N532" s="364"/>
      <c r="O532" s="179"/>
      <c r="P532" s="369"/>
      <c r="Q532" s="86">
        <f t="shared" si="37"/>
        <v>0</v>
      </c>
      <c r="R532" s="287"/>
      <c r="S532" s="364"/>
      <c r="T532" s="179"/>
      <c r="U532" s="364"/>
      <c r="V532" s="179"/>
      <c r="W532" s="364"/>
      <c r="X532" s="179"/>
      <c r="Y532" s="364"/>
      <c r="Z532" s="357"/>
      <c r="AA532" s="89">
        <f t="shared" si="38"/>
        <v>0</v>
      </c>
      <c r="AB532" s="237">
        <v>11514500</v>
      </c>
      <c r="AC532" s="237">
        <v>1600000</v>
      </c>
      <c r="AD532" s="237">
        <v>6540000</v>
      </c>
      <c r="AE532" s="237"/>
      <c r="AF532" s="237"/>
      <c r="AG532" s="237"/>
      <c r="AH532" s="237"/>
      <c r="AI532" s="237"/>
      <c r="AJ532" s="237"/>
      <c r="AK532" s="237"/>
      <c r="AL532" s="237"/>
      <c r="AM532" s="237"/>
      <c r="AN532" s="237"/>
      <c r="AO532" s="237"/>
      <c r="AP532" s="237"/>
      <c r="AQ532" s="237"/>
      <c r="AR532" s="237"/>
      <c r="AS532" s="237"/>
      <c r="AT532" s="364">
        <v>43069</v>
      </c>
      <c r="AU532" s="91">
        <f t="shared" si="39"/>
        <v>19654500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c r="J533" s="364"/>
      <c r="K533" s="237"/>
      <c r="L533" s="367"/>
      <c r="M533" s="179"/>
      <c r="N533" s="364"/>
      <c r="O533" s="179"/>
      <c r="P533" s="369"/>
      <c r="Q533" s="86">
        <f t="shared" si="37"/>
        <v>0</v>
      </c>
      <c r="R533" s="287"/>
      <c r="S533" s="364"/>
      <c r="T533" s="179"/>
      <c r="U533" s="364"/>
      <c r="V533" s="179"/>
      <c r="W533" s="364"/>
      <c r="X533" s="179"/>
      <c r="Y533" s="364"/>
      <c r="Z533" s="357"/>
      <c r="AA533" s="89">
        <f t="shared" si="38"/>
        <v>0</v>
      </c>
      <c r="AB533" s="237">
        <v>7383382</v>
      </c>
      <c r="AC533" s="237">
        <v>2930867</v>
      </c>
      <c r="AD533" s="237"/>
      <c r="AE533" s="237"/>
      <c r="AF533" s="237"/>
      <c r="AG533" s="237"/>
      <c r="AH533" s="237"/>
      <c r="AI533" s="237"/>
      <c r="AJ533" s="237"/>
      <c r="AK533" s="237"/>
      <c r="AL533" s="237"/>
      <c r="AM533" s="237"/>
      <c r="AN533" s="237"/>
      <c r="AO533" s="237"/>
      <c r="AP533" s="237"/>
      <c r="AQ533" s="237"/>
      <c r="AR533" s="237"/>
      <c r="AS533" s="237"/>
      <c r="AT533" s="364">
        <v>43061</v>
      </c>
      <c r="AU533" s="91">
        <f t="shared" si="39"/>
        <v>10314249</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4"/>
      <c r="K534" s="237"/>
      <c r="L534" s="367"/>
      <c r="M534" s="179"/>
      <c r="N534" s="364"/>
      <c r="O534" s="179"/>
      <c r="P534" s="369"/>
      <c r="Q534" s="86">
        <f t="shared" si="37"/>
        <v>0</v>
      </c>
      <c r="R534" s="287"/>
      <c r="S534" s="364"/>
      <c r="T534" s="179"/>
      <c r="U534" s="364"/>
      <c r="V534" s="179"/>
      <c r="W534" s="364"/>
      <c r="X534" s="179"/>
      <c r="Y534" s="364"/>
      <c r="Z534" s="357"/>
      <c r="AA534" s="89">
        <f t="shared" si="38"/>
        <v>0</v>
      </c>
      <c r="AB534" s="237">
        <v>35600000</v>
      </c>
      <c r="AC534" s="237"/>
      <c r="AD534" s="237"/>
      <c r="AE534" s="237"/>
      <c r="AF534" s="237"/>
      <c r="AG534" s="237"/>
      <c r="AH534" s="237"/>
      <c r="AI534" s="237"/>
      <c r="AJ534" s="237"/>
      <c r="AK534" s="237"/>
      <c r="AL534" s="237"/>
      <c r="AM534" s="237"/>
      <c r="AN534" s="237"/>
      <c r="AO534" s="237"/>
      <c r="AP534" s="237"/>
      <c r="AQ534" s="237"/>
      <c r="AR534" s="237"/>
      <c r="AS534" s="237"/>
      <c r="AT534" s="364">
        <v>43025</v>
      </c>
      <c r="AU534" s="91">
        <f t="shared" si="39"/>
        <v>35600000</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c r="J535" s="364"/>
      <c r="K535" s="237"/>
      <c r="L535" s="367"/>
      <c r="M535" s="179"/>
      <c r="N535" s="364"/>
      <c r="O535" s="179"/>
      <c r="P535" s="369"/>
      <c r="Q535" s="86">
        <f t="shared" si="37"/>
        <v>0</v>
      </c>
      <c r="R535" s="287"/>
      <c r="S535" s="364"/>
      <c r="T535" s="179"/>
      <c r="U535" s="364"/>
      <c r="V535" s="179"/>
      <c r="W535" s="364"/>
      <c r="X535" s="179"/>
      <c r="Y535" s="364"/>
      <c r="Z535" s="357"/>
      <c r="AA535" s="89">
        <f t="shared" si="38"/>
        <v>0</v>
      </c>
      <c r="AB535" s="237">
        <v>11060000</v>
      </c>
      <c r="AC535" s="237">
        <v>11060000</v>
      </c>
      <c r="AD535" s="237">
        <v>11060000</v>
      </c>
      <c r="AE535" s="237">
        <v>11060000</v>
      </c>
      <c r="AF535" s="237">
        <v>11060000</v>
      </c>
      <c r="AG535" s="237"/>
      <c r="AH535" s="237"/>
      <c r="AI535" s="237"/>
      <c r="AJ535" s="237"/>
      <c r="AK535" s="237"/>
      <c r="AL535" s="237"/>
      <c r="AM535" s="237"/>
      <c r="AN535" s="237"/>
      <c r="AO535" s="237"/>
      <c r="AP535" s="237"/>
      <c r="AQ535" s="237"/>
      <c r="AR535" s="237"/>
      <c r="AS535" s="237"/>
      <c r="AT535" s="364">
        <v>43084</v>
      </c>
      <c r="AU535" s="91">
        <f t="shared" si="39"/>
        <v>55300000</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4"/>
      <c r="K536" s="237"/>
      <c r="L536" s="367"/>
      <c r="M536" s="179"/>
      <c r="N536" s="364"/>
      <c r="O536" s="179"/>
      <c r="P536" s="369"/>
      <c r="Q536" s="86">
        <f t="shared" si="37"/>
        <v>0</v>
      </c>
      <c r="R536" s="287"/>
      <c r="S536" s="364"/>
      <c r="T536" s="179"/>
      <c r="U536" s="364"/>
      <c r="V536" s="179"/>
      <c r="W536" s="364"/>
      <c r="X536" s="179"/>
      <c r="Y536" s="364"/>
      <c r="Z536" s="357"/>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4">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4"/>
      <c r="K537" s="237"/>
      <c r="L537" s="367"/>
      <c r="M537" s="179"/>
      <c r="N537" s="364"/>
      <c r="O537" s="179"/>
      <c r="P537" s="369"/>
      <c r="Q537" s="86">
        <f t="shared" si="37"/>
        <v>0</v>
      </c>
      <c r="R537" s="287"/>
      <c r="S537" s="364"/>
      <c r="T537" s="179"/>
      <c r="U537" s="364"/>
      <c r="V537" s="179"/>
      <c r="W537" s="364"/>
      <c r="X537" s="179"/>
      <c r="Y537" s="364"/>
      <c r="Z537" s="357"/>
      <c r="AA537" s="89">
        <f t="shared" si="38"/>
        <v>0</v>
      </c>
      <c r="AB537" s="237">
        <v>780000</v>
      </c>
      <c r="AC537" s="237"/>
      <c r="AD537" s="237"/>
      <c r="AE537" s="237"/>
      <c r="AF537" s="237"/>
      <c r="AG537" s="237"/>
      <c r="AH537" s="237"/>
      <c r="AI537" s="237"/>
      <c r="AJ537" s="237"/>
      <c r="AK537" s="237"/>
      <c r="AL537" s="237"/>
      <c r="AM537" s="237"/>
      <c r="AN537" s="237"/>
      <c r="AO537" s="237"/>
      <c r="AP537" s="237"/>
      <c r="AQ537" s="237"/>
      <c r="AR537" s="237"/>
      <c r="AS537" s="237"/>
      <c r="AT537" s="364">
        <v>43019</v>
      </c>
      <c r="AU537" s="91">
        <f t="shared" si="39"/>
        <v>780000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4"/>
      <c r="K538" s="237"/>
      <c r="L538" s="367"/>
      <c r="M538" s="179"/>
      <c r="N538" s="364"/>
      <c r="O538" s="179"/>
      <c r="P538" s="369"/>
      <c r="Q538" s="86">
        <f t="shared" si="37"/>
        <v>0</v>
      </c>
      <c r="R538" s="287"/>
      <c r="S538" s="364"/>
      <c r="T538" s="179"/>
      <c r="U538" s="364"/>
      <c r="V538" s="179"/>
      <c r="W538" s="364"/>
      <c r="X538" s="179"/>
      <c r="Y538" s="364"/>
      <c r="Z538" s="357"/>
      <c r="AA538" s="89">
        <f t="shared" si="38"/>
        <v>0</v>
      </c>
      <c r="AB538" s="237">
        <v>9637510</v>
      </c>
      <c r="AC538" s="237">
        <v>10774677</v>
      </c>
      <c r="AD538" s="237">
        <v>4479954</v>
      </c>
      <c r="AE538" s="237"/>
      <c r="AF538" s="237"/>
      <c r="AG538" s="237"/>
      <c r="AH538" s="237"/>
      <c r="AI538" s="237"/>
      <c r="AJ538" s="237"/>
      <c r="AK538" s="237"/>
      <c r="AL538" s="237"/>
      <c r="AM538" s="237"/>
      <c r="AN538" s="237"/>
      <c r="AO538" s="237"/>
      <c r="AP538" s="237"/>
      <c r="AQ538" s="237"/>
      <c r="AR538" s="237"/>
      <c r="AS538" s="237"/>
      <c r="AT538" s="364">
        <v>43087</v>
      </c>
      <c r="AU538" s="91">
        <f t="shared" si="39"/>
        <v>24892141</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c r="J539" s="364"/>
      <c r="K539" s="237"/>
      <c r="L539" s="367"/>
      <c r="M539" s="179"/>
      <c r="N539" s="364"/>
      <c r="O539" s="179"/>
      <c r="P539" s="369"/>
      <c r="Q539" s="86">
        <f t="shared" si="37"/>
        <v>0</v>
      </c>
      <c r="R539" s="878" t="s">
        <v>3747</v>
      </c>
      <c r="S539" s="364">
        <v>43134</v>
      </c>
      <c r="T539" s="179"/>
      <c r="U539" s="364"/>
      <c r="V539" s="179"/>
      <c r="W539" s="364"/>
      <c r="X539" s="179"/>
      <c r="Y539" s="364"/>
      <c r="Z539" s="357" t="s">
        <v>3747</v>
      </c>
      <c r="AA539" s="89">
        <f t="shared" si="38"/>
        <v>43134</v>
      </c>
      <c r="AB539" s="237">
        <v>41077512</v>
      </c>
      <c r="AC539" s="237">
        <v>87096564</v>
      </c>
      <c r="AD539" s="237">
        <v>87096564</v>
      </c>
      <c r="AE539" s="237"/>
      <c r="AF539" s="237"/>
      <c r="AG539" s="237"/>
      <c r="AH539" s="237"/>
      <c r="AI539" s="237"/>
      <c r="AJ539" s="237"/>
      <c r="AK539" s="237"/>
      <c r="AL539" s="237"/>
      <c r="AM539" s="237"/>
      <c r="AN539" s="237"/>
      <c r="AO539" s="237"/>
      <c r="AP539" s="237"/>
      <c r="AQ539" s="237"/>
      <c r="AR539" s="237"/>
      <c r="AS539" s="237"/>
      <c r="AT539" s="364">
        <v>43053</v>
      </c>
      <c r="AU539" s="91">
        <f t="shared" si="39"/>
        <v>215270640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4"/>
      <c r="K540" s="237"/>
      <c r="L540" s="367"/>
      <c r="M540" s="179"/>
      <c r="N540" s="364"/>
      <c r="O540" s="179"/>
      <c r="P540" s="369"/>
      <c r="Q540" s="86">
        <f t="shared" si="37"/>
        <v>0</v>
      </c>
      <c r="R540" s="287"/>
      <c r="S540" s="364"/>
      <c r="T540" s="179"/>
      <c r="U540" s="364"/>
      <c r="V540" s="179"/>
      <c r="W540" s="364"/>
      <c r="X540" s="179"/>
      <c r="Y540" s="364"/>
      <c r="Z540" s="357"/>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4">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c r="J541" s="364"/>
      <c r="K541" s="237"/>
      <c r="L541" s="367"/>
      <c r="M541" s="179"/>
      <c r="N541" s="364"/>
      <c r="O541" s="179"/>
      <c r="P541" s="369"/>
      <c r="Q541" s="86">
        <f t="shared" si="37"/>
        <v>0</v>
      </c>
      <c r="R541" s="287"/>
      <c r="S541" s="364"/>
      <c r="T541" s="179"/>
      <c r="U541" s="364"/>
      <c r="V541" s="179"/>
      <c r="W541" s="364"/>
      <c r="X541" s="179"/>
      <c r="Y541" s="364"/>
      <c r="Z541" s="357"/>
      <c r="AA541" s="89">
        <f t="shared" si="38"/>
        <v>0</v>
      </c>
      <c r="AB541" s="237"/>
      <c r="AC541" s="237"/>
      <c r="AD541" s="237"/>
      <c r="AE541" s="237"/>
      <c r="AF541" s="237"/>
      <c r="AG541" s="237"/>
      <c r="AH541" s="237"/>
      <c r="AI541" s="237"/>
      <c r="AJ541" s="237"/>
      <c r="AK541" s="237"/>
      <c r="AL541" s="237"/>
      <c r="AM541" s="237"/>
      <c r="AN541" s="237"/>
      <c r="AO541" s="237"/>
      <c r="AP541" s="237"/>
      <c r="AQ541" s="237"/>
      <c r="AR541" s="237"/>
      <c r="AS541" s="237"/>
      <c r="AT541" s="364"/>
      <c r="AU541" s="91">
        <f t="shared" si="39"/>
        <v>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c r="J542" s="364"/>
      <c r="K542" s="237"/>
      <c r="L542" s="367"/>
      <c r="M542" s="179"/>
      <c r="N542" s="364"/>
      <c r="O542" s="179"/>
      <c r="P542" s="369"/>
      <c r="Q542" s="86">
        <f t="shared" si="37"/>
        <v>0</v>
      </c>
      <c r="R542" s="287"/>
      <c r="S542" s="364"/>
      <c r="T542" s="179"/>
      <c r="U542" s="364"/>
      <c r="V542" s="179"/>
      <c r="W542" s="364"/>
      <c r="X542" s="179"/>
      <c r="Y542" s="364"/>
      <c r="Z542" s="357"/>
      <c r="AA542" s="89">
        <f t="shared" si="38"/>
        <v>0</v>
      </c>
      <c r="AB542" s="237">
        <v>44511762</v>
      </c>
      <c r="AC542" s="237">
        <v>44511762</v>
      </c>
      <c r="AD542" s="237"/>
      <c r="AE542" s="237"/>
      <c r="AF542" s="237"/>
      <c r="AG542" s="237"/>
      <c r="AH542" s="237"/>
      <c r="AI542" s="237"/>
      <c r="AJ542" s="237"/>
      <c r="AK542" s="237"/>
      <c r="AL542" s="237"/>
      <c r="AM542" s="237"/>
      <c r="AN542" s="237"/>
      <c r="AO542" s="237"/>
      <c r="AP542" s="237"/>
      <c r="AQ542" s="237"/>
      <c r="AR542" s="237"/>
      <c r="AS542" s="237"/>
      <c r="AT542" s="364">
        <v>43066</v>
      </c>
      <c r="AU542" s="91">
        <f t="shared" si="39"/>
        <v>89023524</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c r="J543" s="364"/>
      <c r="K543" s="237"/>
      <c r="L543" s="367"/>
      <c r="M543" s="179"/>
      <c r="N543" s="364"/>
      <c r="O543" s="179"/>
      <c r="P543" s="369"/>
      <c r="Q543" s="86">
        <f t="shared" si="37"/>
        <v>0</v>
      </c>
      <c r="R543" s="287"/>
      <c r="S543" s="364"/>
      <c r="T543" s="179"/>
      <c r="U543" s="364"/>
      <c r="V543" s="179"/>
      <c r="W543" s="364"/>
      <c r="X543" s="179"/>
      <c r="Y543" s="364"/>
      <c r="Z543" s="357"/>
      <c r="AA543" s="89">
        <f t="shared" si="38"/>
        <v>0</v>
      </c>
      <c r="AB543" s="237">
        <v>151666665</v>
      </c>
      <c r="AC543" s="237">
        <v>126794644</v>
      </c>
      <c r="AD543" s="237"/>
      <c r="AE543" s="237"/>
      <c r="AF543" s="237"/>
      <c r="AG543" s="237"/>
      <c r="AH543" s="237"/>
      <c r="AI543" s="237"/>
      <c r="AJ543" s="237"/>
      <c r="AK543" s="237"/>
      <c r="AL543" s="237"/>
      <c r="AM543" s="237"/>
      <c r="AN543" s="237"/>
      <c r="AO543" s="237"/>
      <c r="AP543" s="237"/>
      <c r="AQ543" s="237"/>
      <c r="AR543" s="237"/>
      <c r="AS543" s="237"/>
      <c r="AT543" s="364">
        <v>43060</v>
      </c>
      <c r="AU543" s="91">
        <f t="shared" si="39"/>
        <v>278461309</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4"/>
      <c r="K544" s="237"/>
      <c r="L544" s="367"/>
      <c r="M544" s="179"/>
      <c r="N544" s="364"/>
      <c r="O544" s="179"/>
      <c r="P544" s="369"/>
      <c r="Q544" s="86">
        <f t="shared" si="37"/>
        <v>0</v>
      </c>
      <c r="R544" s="287"/>
      <c r="S544" s="364"/>
      <c r="T544" s="179"/>
      <c r="U544" s="364"/>
      <c r="V544" s="179"/>
      <c r="W544" s="364"/>
      <c r="X544" s="179"/>
      <c r="Y544" s="364"/>
      <c r="Z544" s="357"/>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4">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43161</v>
      </c>
      <c r="I545" s="179"/>
      <c r="J545" s="364"/>
      <c r="K545" s="237"/>
      <c r="L545" s="367"/>
      <c r="M545" s="179"/>
      <c r="N545" s="364"/>
      <c r="O545" s="179"/>
      <c r="P545" s="369"/>
      <c r="Q545" s="86">
        <f t="shared" si="37"/>
        <v>0</v>
      </c>
      <c r="R545" s="287"/>
      <c r="S545" s="364"/>
      <c r="T545" s="179"/>
      <c r="U545" s="364"/>
      <c r="V545" s="179"/>
      <c r="W545" s="364"/>
      <c r="X545" s="179"/>
      <c r="Y545" s="364"/>
      <c r="Z545" s="357"/>
      <c r="AA545" s="89">
        <f t="shared" si="38"/>
        <v>0</v>
      </c>
      <c r="AB545" s="237">
        <v>1812500</v>
      </c>
      <c r="AC545" s="237">
        <v>1875000</v>
      </c>
      <c r="AD545" s="237">
        <v>1875000</v>
      </c>
      <c r="AE545" s="237">
        <v>1875000</v>
      </c>
      <c r="AF545" s="237">
        <v>1875000</v>
      </c>
      <c r="AG545" s="237"/>
      <c r="AH545" s="237"/>
      <c r="AI545" s="237"/>
      <c r="AJ545" s="237"/>
      <c r="AK545" s="237"/>
      <c r="AL545" s="237"/>
      <c r="AM545" s="237"/>
      <c r="AN545" s="237"/>
      <c r="AO545" s="237"/>
      <c r="AP545" s="237"/>
      <c r="AQ545" s="237"/>
      <c r="AR545" s="237"/>
      <c r="AS545" s="237"/>
      <c r="AT545" s="364">
        <v>43100</v>
      </c>
      <c r="AU545" s="91">
        <f t="shared" si="39"/>
        <v>9312500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c r="J546" s="364"/>
      <c r="K546" s="237"/>
      <c r="L546" s="367"/>
      <c r="M546" s="179"/>
      <c r="N546" s="364"/>
      <c r="O546" s="179"/>
      <c r="P546" s="369"/>
      <c r="Q546" s="86">
        <f t="shared" si="37"/>
        <v>0</v>
      </c>
      <c r="R546" s="287"/>
      <c r="S546" s="364"/>
      <c r="T546" s="179"/>
      <c r="U546" s="364"/>
      <c r="V546" s="179"/>
      <c r="W546" s="364"/>
      <c r="X546" s="179"/>
      <c r="Y546" s="364"/>
      <c r="Z546" s="357"/>
      <c r="AA546" s="89">
        <f t="shared" si="38"/>
        <v>0</v>
      </c>
      <c r="AB546" s="237">
        <v>4622220</v>
      </c>
      <c r="AC546" s="237"/>
      <c r="AD546" s="237"/>
      <c r="AE546" s="237"/>
      <c r="AF546" s="237"/>
      <c r="AG546" s="237"/>
      <c r="AH546" s="237"/>
      <c r="AI546" s="237"/>
      <c r="AJ546" s="237"/>
      <c r="AK546" s="237"/>
      <c r="AL546" s="237"/>
      <c r="AM546" s="237"/>
      <c r="AN546" s="237"/>
      <c r="AO546" s="237"/>
      <c r="AP546" s="237"/>
      <c r="AQ546" s="237"/>
      <c r="AR546" s="237"/>
      <c r="AS546" s="237"/>
      <c r="AT546" s="364">
        <v>43109</v>
      </c>
      <c r="AU546" s="91">
        <f t="shared" si="39"/>
        <v>4622220</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4"/>
      <c r="K547" s="237"/>
      <c r="L547" s="367"/>
      <c r="M547" s="179"/>
      <c r="N547" s="364"/>
      <c r="O547" s="179"/>
      <c r="P547" s="369"/>
      <c r="Q547" s="86">
        <f t="shared" si="37"/>
        <v>0</v>
      </c>
      <c r="R547" s="287"/>
      <c r="S547" s="364"/>
      <c r="T547" s="179"/>
      <c r="U547" s="364"/>
      <c r="V547" s="179"/>
      <c r="W547" s="364"/>
      <c r="X547" s="179"/>
      <c r="Y547" s="364"/>
      <c r="Z547" s="357"/>
      <c r="AA547" s="89">
        <f t="shared" si="38"/>
        <v>0</v>
      </c>
      <c r="AB547" s="237">
        <v>52360000</v>
      </c>
      <c r="AC547" s="237"/>
      <c r="AD547" s="237"/>
      <c r="AE547" s="237"/>
      <c r="AF547" s="237"/>
      <c r="AG547" s="237"/>
      <c r="AH547" s="237"/>
      <c r="AI547" s="237"/>
      <c r="AJ547" s="237"/>
      <c r="AK547" s="237"/>
      <c r="AL547" s="237"/>
      <c r="AM547" s="237"/>
      <c r="AN547" s="237"/>
      <c r="AO547" s="237"/>
      <c r="AP547" s="237"/>
      <c r="AQ547" s="237"/>
      <c r="AR547" s="237"/>
      <c r="AS547" s="237"/>
      <c r="AT547" s="364">
        <v>43063</v>
      </c>
      <c r="AU547" s="91">
        <f t="shared" si="39"/>
        <v>52360000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c r="J548" s="364"/>
      <c r="K548" s="237"/>
      <c r="L548" s="367"/>
      <c r="M548" s="179"/>
      <c r="N548" s="364"/>
      <c r="O548" s="179"/>
      <c r="P548" s="369"/>
      <c r="Q548" s="86">
        <f t="shared" si="37"/>
        <v>0</v>
      </c>
      <c r="R548" s="287"/>
      <c r="S548" s="364"/>
      <c r="T548" s="179"/>
      <c r="U548" s="364"/>
      <c r="V548" s="179"/>
      <c r="W548" s="364"/>
      <c r="X548" s="179"/>
      <c r="Y548" s="364"/>
      <c r="Z548" s="357"/>
      <c r="AA548" s="89">
        <f t="shared" si="38"/>
        <v>0</v>
      </c>
      <c r="AB548" s="237">
        <v>1710000</v>
      </c>
      <c r="AC548" s="237">
        <v>5700000</v>
      </c>
      <c r="AD548" s="237">
        <v>5700000</v>
      </c>
      <c r="AE548" s="237">
        <v>5700000</v>
      </c>
      <c r="AF548" s="237">
        <v>5700000</v>
      </c>
      <c r="AG548" s="237"/>
      <c r="AH548" s="237"/>
      <c r="AI548" s="237"/>
      <c r="AJ548" s="237"/>
      <c r="AK548" s="237"/>
      <c r="AL548" s="237"/>
      <c r="AM548" s="237"/>
      <c r="AN548" s="237"/>
      <c r="AO548" s="237"/>
      <c r="AP548" s="237"/>
      <c r="AQ548" s="237"/>
      <c r="AR548" s="237"/>
      <c r="AS548" s="237"/>
      <c r="AT548" s="364">
        <v>43100</v>
      </c>
      <c r="AU548" s="91">
        <f t="shared" si="39"/>
        <v>24510000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4"/>
      <c r="K549" s="237"/>
      <c r="L549" s="367"/>
      <c r="M549" s="179"/>
      <c r="N549" s="364"/>
      <c r="O549" s="179"/>
      <c r="P549" s="369"/>
      <c r="Q549" s="86">
        <f t="shared" si="37"/>
        <v>0</v>
      </c>
      <c r="R549" s="287"/>
      <c r="S549" s="364"/>
      <c r="T549" s="179"/>
      <c r="U549" s="364"/>
      <c r="V549" s="179"/>
      <c r="W549" s="364"/>
      <c r="X549" s="179"/>
      <c r="Y549" s="364"/>
      <c r="Z549" s="357"/>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4">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c r="J550" s="364"/>
      <c r="K550" s="237"/>
      <c r="L550" s="367"/>
      <c r="M550" s="179"/>
      <c r="N550" s="364"/>
      <c r="O550" s="179"/>
      <c r="P550" s="369"/>
      <c r="Q550" s="86">
        <f t="shared" si="37"/>
        <v>0</v>
      </c>
      <c r="R550" s="287"/>
      <c r="S550" s="364"/>
      <c r="T550" s="179"/>
      <c r="U550" s="364"/>
      <c r="V550" s="179"/>
      <c r="W550" s="364"/>
      <c r="X550" s="179"/>
      <c r="Y550" s="364"/>
      <c r="Z550" s="357"/>
      <c r="AA550" s="89">
        <f t="shared" si="38"/>
        <v>0</v>
      </c>
      <c r="AB550" s="237">
        <v>525000</v>
      </c>
      <c r="AC550" s="237">
        <v>2250000</v>
      </c>
      <c r="AD550" s="237">
        <v>2250000</v>
      </c>
      <c r="AE550" s="237">
        <v>2250000</v>
      </c>
      <c r="AF550" s="237">
        <v>2250000</v>
      </c>
      <c r="AG550" s="237"/>
      <c r="AH550" s="237"/>
      <c r="AI550" s="237"/>
      <c r="AJ550" s="237"/>
      <c r="AK550" s="237"/>
      <c r="AL550" s="237"/>
      <c r="AM550" s="237"/>
      <c r="AN550" s="237"/>
      <c r="AO550" s="237"/>
      <c r="AP550" s="237"/>
      <c r="AQ550" s="237"/>
      <c r="AR550" s="237"/>
      <c r="AS550" s="237"/>
      <c r="AT550" s="364">
        <v>43100</v>
      </c>
      <c r="AU550" s="91">
        <f t="shared" si="39"/>
        <v>9525000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4"/>
      <c r="K551" s="237"/>
      <c r="L551" s="367"/>
      <c r="M551" s="179"/>
      <c r="N551" s="364"/>
      <c r="O551" s="179"/>
      <c r="P551" s="369"/>
      <c r="Q551" s="86">
        <f t="shared" si="37"/>
        <v>0</v>
      </c>
      <c r="R551" s="287"/>
      <c r="S551" s="364"/>
      <c r="T551" s="179"/>
      <c r="U551" s="364"/>
      <c r="V551" s="179"/>
      <c r="W551" s="364"/>
      <c r="X551" s="179"/>
      <c r="Y551" s="364"/>
      <c r="Z551" s="357"/>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4">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4"/>
      <c r="K552" s="237"/>
      <c r="L552" s="367"/>
      <c r="M552" s="179"/>
      <c r="N552" s="364"/>
      <c r="O552" s="179"/>
      <c r="P552" s="369"/>
      <c r="Q552" s="86">
        <f t="shared" si="37"/>
        <v>0</v>
      </c>
      <c r="R552" s="287"/>
      <c r="S552" s="364"/>
      <c r="T552" s="179"/>
      <c r="U552" s="364"/>
      <c r="V552" s="179"/>
      <c r="W552" s="364"/>
      <c r="X552" s="179"/>
      <c r="Y552" s="364"/>
      <c r="Z552" s="357"/>
      <c r="AA552" s="89">
        <f t="shared" si="38"/>
        <v>0</v>
      </c>
      <c r="AB552" s="237"/>
      <c r="AC552" s="237"/>
      <c r="AD552" s="237"/>
      <c r="AE552" s="237"/>
      <c r="AF552" s="237"/>
      <c r="AG552" s="237"/>
      <c r="AH552" s="237"/>
      <c r="AI552" s="237"/>
      <c r="AJ552" s="237"/>
      <c r="AK552" s="237"/>
      <c r="AL552" s="237"/>
      <c r="AM552" s="237"/>
      <c r="AN552" s="237"/>
      <c r="AO552" s="237"/>
      <c r="AP552" s="237"/>
      <c r="AQ552" s="237"/>
      <c r="AR552" s="237"/>
      <c r="AS552" s="237"/>
      <c r="AT552" s="364"/>
      <c r="AU552" s="91">
        <f t="shared" si="39"/>
        <v>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4"/>
      <c r="K553" s="237"/>
      <c r="L553" s="367"/>
      <c r="M553" s="179"/>
      <c r="N553" s="364"/>
      <c r="O553" s="179"/>
      <c r="P553" s="369"/>
      <c r="Q553" s="86">
        <f t="shared" si="37"/>
        <v>0</v>
      </c>
      <c r="R553" s="287"/>
      <c r="S553" s="364"/>
      <c r="T553" s="179"/>
      <c r="U553" s="364"/>
      <c r="V553" s="179"/>
      <c r="W553" s="364"/>
      <c r="X553" s="179"/>
      <c r="Y553" s="364"/>
      <c r="Z553" s="357"/>
      <c r="AA553" s="89">
        <f t="shared" si="38"/>
        <v>0</v>
      </c>
      <c r="AB553" s="237"/>
      <c r="AC553" s="237"/>
      <c r="AD553" s="237"/>
      <c r="AE553" s="237"/>
      <c r="AF553" s="237"/>
      <c r="AG553" s="237"/>
      <c r="AH553" s="237"/>
      <c r="AI553" s="237"/>
      <c r="AJ553" s="237"/>
      <c r="AK553" s="237"/>
      <c r="AL553" s="237"/>
      <c r="AM553" s="237"/>
      <c r="AN553" s="237"/>
      <c r="AO553" s="237"/>
      <c r="AP553" s="237"/>
      <c r="AQ553" s="237"/>
      <c r="AR553" s="237"/>
      <c r="AS553" s="237"/>
      <c r="AT553" s="364"/>
      <c r="AU553" s="91">
        <f t="shared" si="39"/>
        <v>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4"/>
      <c r="K554" s="237"/>
      <c r="L554" s="367"/>
      <c r="M554" s="179"/>
      <c r="N554" s="364"/>
      <c r="O554" s="179"/>
      <c r="P554" s="369"/>
      <c r="Q554" s="86">
        <f t="shared" si="37"/>
        <v>0</v>
      </c>
      <c r="R554" s="287"/>
      <c r="S554" s="364"/>
      <c r="T554" s="179"/>
      <c r="U554" s="364"/>
      <c r="V554" s="179"/>
      <c r="W554" s="364"/>
      <c r="X554" s="179"/>
      <c r="Y554" s="364"/>
      <c r="Z554" s="357"/>
      <c r="AA554" s="89">
        <f t="shared" si="38"/>
        <v>0</v>
      </c>
      <c r="AB554" s="237"/>
      <c r="AC554" s="237"/>
      <c r="AD554" s="237"/>
      <c r="AE554" s="237"/>
      <c r="AF554" s="237"/>
      <c r="AG554" s="237"/>
      <c r="AH554" s="237"/>
      <c r="AI554" s="237"/>
      <c r="AJ554" s="237"/>
      <c r="AK554" s="237"/>
      <c r="AL554" s="237"/>
      <c r="AM554" s="237"/>
      <c r="AN554" s="237"/>
      <c r="AO554" s="237"/>
      <c r="AP554" s="237"/>
      <c r="AQ554" s="237"/>
      <c r="AR554" s="237"/>
      <c r="AS554" s="237"/>
      <c r="AT554" s="364"/>
      <c r="AU554" s="91">
        <f t="shared" si="39"/>
        <v>0</v>
      </c>
      <c r="AV554" s="14"/>
      <c r="AW554" s="1"/>
    </row>
    <row r="555" spans="1:49" s="57" customFormat="1" ht="90" hidden="1" x14ac:dyDescent="0.25">
      <c r="A555" s="59"/>
      <c r="B555" s="2" t="str">
        <f>+'Base de Datos'!E555</f>
        <v>170221-0-2017</v>
      </c>
      <c r="C555" s="2" t="str">
        <f>+'Base de Datos'!F555</f>
        <v>GENESIS CONSTRUCCIONES SAS</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43324</v>
      </c>
      <c r="I555" s="179"/>
      <c r="J555" s="364"/>
      <c r="K555" s="237"/>
      <c r="L555" s="367"/>
      <c r="M555" s="179"/>
      <c r="N555" s="364"/>
      <c r="O555" s="179"/>
      <c r="P555" s="369"/>
      <c r="Q555" s="86">
        <f t="shared" si="37"/>
        <v>0</v>
      </c>
      <c r="R555" s="287"/>
      <c r="S555" s="364"/>
      <c r="T555" s="179"/>
      <c r="U555" s="364"/>
      <c r="V555" s="179"/>
      <c r="W555" s="364"/>
      <c r="X555" s="179"/>
      <c r="Y555" s="364"/>
      <c r="Z555" s="357"/>
      <c r="AA555" s="89">
        <f t="shared" si="38"/>
        <v>0</v>
      </c>
      <c r="AB555" s="237">
        <v>9084052</v>
      </c>
      <c r="AC555" s="237"/>
      <c r="AD555" s="237"/>
      <c r="AE555" s="237"/>
      <c r="AF555" s="237"/>
      <c r="AG555" s="237"/>
      <c r="AH555" s="237"/>
      <c r="AI555" s="237"/>
      <c r="AJ555" s="237"/>
      <c r="AK555" s="237"/>
      <c r="AL555" s="237"/>
      <c r="AM555" s="237"/>
      <c r="AN555" s="237"/>
      <c r="AO555" s="237"/>
      <c r="AP555" s="237"/>
      <c r="AQ555" s="237"/>
      <c r="AR555" s="237"/>
      <c r="AS555" s="237"/>
      <c r="AT555" s="364">
        <v>43061</v>
      </c>
      <c r="AU555" s="91">
        <f t="shared" si="39"/>
        <v>9084052</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4"/>
      <c r="K556" s="237"/>
      <c r="L556" s="367"/>
      <c r="M556" s="179"/>
      <c r="N556" s="364"/>
      <c r="O556" s="179"/>
      <c r="P556" s="369"/>
      <c r="Q556" s="86">
        <f t="shared" si="37"/>
        <v>0</v>
      </c>
      <c r="R556" s="287"/>
      <c r="S556" s="364"/>
      <c r="T556" s="179"/>
      <c r="U556" s="364"/>
      <c r="V556" s="179"/>
      <c r="W556" s="364"/>
      <c r="X556" s="179"/>
      <c r="Y556" s="364"/>
      <c r="Z556" s="357"/>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4">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4"/>
      <c r="K557" s="237"/>
      <c r="L557" s="367"/>
      <c r="M557" s="179"/>
      <c r="N557" s="364"/>
      <c r="O557" s="179"/>
      <c r="P557" s="369"/>
      <c r="Q557" s="86">
        <f t="shared" si="37"/>
        <v>0</v>
      </c>
      <c r="R557" s="287"/>
      <c r="S557" s="364"/>
      <c r="T557" s="179"/>
      <c r="U557" s="364"/>
      <c r="V557" s="179"/>
      <c r="W557" s="364"/>
      <c r="X557" s="179"/>
      <c r="Y557" s="364"/>
      <c r="Z557" s="357"/>
      <c r="AA557" s="89">
        <f t="shared" si="38"/>
        <v>0</v>
      </c>
      <c r="AB557" s="237"/>
      <c r="AC557" s="237"/>
      <c r="AD557" s="237"/>
      <c r="AE557" s="237"/>
      <c r="AF557" s="237"/>
      <c r="AG557" s="237"/>
      <c r="AH557" s="237"/>
      <c r="AI557" s="237"/>
      <c r="AJ557" s="237"/>
      <c r="AK557" s="237"/>
      <c r="AL557" s="237"/>
      <c r="AM557" s="237"/>
      <c r="AN557" s="237"/>
      <c r="AO557" s="237"/>
      <c r="AP557" s="237"/>
      <c r="AQ557" s="237"/>
      <c r="AR557" s="237"/>
      <c r="AS557" s="237"/>
      <c r="AT557" s="364"/>
      <c r="AU557" s="91">
        <f t="shared" si="39"/>
        <v>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4"/>
      <c r="K558" s="237"/>
      <c r="L558" s="367"/>
      <c r="M558" s="179"/>
      <c r="N558" s="364"/>
      <c r="O558" s="179"/>
      <c r="P558" s="369"/>
      <c r="Q558" s="86">
        <f t="shared" si="37"/>
        <v>0</v>
      </c>
      <c r="R558" s="287"/>
      <c r="S558" s="364"/>
      <c r="T558" s="179"/>
      <c r="U558" s="364"/>
      <c r="V558" s="179"/>
      <c r="W558" s="364"/>
      <c r="X558" s="179"/>
      <c r="Y558" s="364"/>
      <c r="Z558" s="357"/>
      <c r="AA558" s="89">
        <f t="shared" si="38"/>
        <v>0</v>
      </c>
      <c r="AB558" s="237">
        <v>2280000</v>
      </c>
      <c r="AC558" s="237">
        <v>5700000</v>
      </c>
      <c r="AD558" s="237">
        <v>5700000</v>
      </c>
      <c r="AE558" s="237">
        <v>5700000</v>
      </c>
      <c r="AF558" s="237"/>
      <c r="AG558" s="237"/>
      <c r="AH558" s="237"/>
      <c r="AI558" s="237"/>
      <c r="AJ558" s="237"/>
      <c r="AK558" s="237"/>
      <c r="AL558" s="237"/>
      <c r="AM558" s="237"/>
      <c r="AN558" s="237"/>
      <c r="AO558" s="237"/>
      <c r="AP558" s="237"/>
      <c r="AQ558" s="237"/>
      <c r="AR558" s="237"/>
      <c r="AS558" s="237"/>
      <c r="AT558" s="364">
        <v>43100</v>
      </c>
      <c r="AU558" s="91">
        <f t="shared" si="39"/>
        <v>19380000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4"/>
      <c r="K559" s="237"/>
      <c r="L559" s="367"/>
      <c r="M559" s="179"/>
      <c r="N559" s="364"/>
      <c r="O559" s="179"/>
      <c r="P559" s="369"/>
      <c r="Q559" s="86">
        <f t="shared" si="37"/>
        <v>0</v>
      </c>
      <c r="R559" s="287"/>
      <c r="S559" s="364"/>
      <c r="T559" s="179"/>
      <c r="U559" s="364"/>
      <c r="V559" s="179"/>
      <c r="W559" s="364"/>
      <c r="X559" s="179"/>
      <c r="Y559" s="364"/>
      <c r="Z559" s="357"/>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4">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4"/>
      <c r="K560" s="237"/>
      <c r="L560" s="367"/>
      <c r="M560" s="179"/>
      <c r="N560" s="364"/>
      <c r="O560" s="179"/>
      <c r="P560" s="369"/>
      <c r="Q560" s="86">
        <f t="shared" si="37"/>
        <v>0</v>
      </c>
      <c r="R560" s="287"/>
      <c r="S560" s="364"/>
      <c r="T560" s="179"/>
      <c r="U560" s="364"/>
      <c r="V560" s="179"/>
      <c r="W560" s="364"/>
      <c r="X560" s="179"/>
      <c r="Y560" s="364"/>
      <c r="Z560" s="357"/>
      <c r="AA560" s="89">
        <f t="shared" si="38"/>
        <v>0</v>
      </c>
      <c r="AB560" s="237">
        <v>3213000</v>
      </c>
      <c r="AC560" s="237"/>
      <c r="AD560" s="237"/>
      <c r="AE560" s="237"/>
      <c r="AF560" s="237"/>
      <c r="AG560" s="237"/>
      <c r="AH560" s="237"/>
      <c r="AI560" s="237"/>
      <c r="AJ560" s="237"/>
      <c r="AK560" s="237"/>
      <c r="AL560" s="237"/>
      <c r="AM560" s="237"/>
      <c r="AN560" s="237"/>
      <c r="AO560" s="237"/>
      <c r="AP560" s="237"/>
      <c r="AQ560" s="237"/>
      <c r="AR560" s="237"/>
      <c r="AS560" s="237"/>
      <c r="AT560" s="364">
        <v>43069</v>
      </c>
      <c r="AU560" s="91">
        <f t="shared" si="39"/>
        <v>3213000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4"/>
      <c r="K561" s="237"/>
      <c r="L561" s="367"/>
      <c r="M561" s="179"/>
      <c r="N561" s="364"/>
      <c r="O561" s="179"/>
      <c r="P561" s="369"/>
      <c r="Q561" s="86">
        <f t="shared" si="37"/>
        <v>0</v>
      </c>
      <c r="R561" s="287"/>
      <c r="S561" s="364"/>
      <c r="T561" s="179"/>
      <c r="U561" s="364"/>
      <c r="V561" s="179"/>
      <c r="W561" s="364"/>
      <c r="X561" s="179"/>
      <c r="Y561" s="364"/>
      <c r="Z561" s="357"/>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4">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4"/>
      <c r="K562" s="237"/>
      <c r="L562" s="367"/>
      <c r="M562" s="179"/>
      <c r="N562" s="364"/>
      <c r="O562" s="179"/>
      <c r="P562" s="369"/>
      <c r="Q562" s="86">
        <f t="shared" si="37"/>
        <v>0</v>
      </c>
      <c r="R562" s="878" t="s">
        <v>3791</v>
      </c>
      <c r="S562" s="364">
        <v>43125</v>
      </c>
      <c r="T562" s="179"/>
      <c r="U562" s="364"/>
      <c r="V562" s="179"/>
      <c r="W562" s="364"/>
      <c r="X562" s="179"/>
      <c r="Y562" s="364"/>
      <c r="Z562" s="357" t="s">
        <v>3791</v>
      </c>
      <c r="AA562" s="89">
        <f t="shared" si="38"/>
        <v>43125</v>
      </c>
      <c r="AB562" s="237">
        <v>187500</v>
      </c>
      <c r="AC562" s="237">
        <v>1875000</v>
      </c>
      <c r="AD562" s="237">
        <v>1875000</v>
      </c>
      <c r="AE562" s="237">
        <v>1875000</v>
      </c>
      <c r="AF562" s="237"/>
      <c r="AG562" s="237"/>
      <c r="AH562" s="237"/>
      <c r="AI562" s="237"/>
      <c r="AJ562" s="237"/>
      <c r="AK562" s="237"/>
      <c r="AL562" s="237"/>
      <c r="AM562" s="237"/>
      <c r="AN562" s="237"/>
      <c r="AO562" s="237"/>
      <c r="AP562" s="237"/>
      <c r="AQ562" s="237"/>
      <c r="AR562" s="237"/>
      <c r="AS562" s="237"/>
      <c r="AT562" s="364">
        <v>43100</v>
      </c>
      <c r="AU562" s="91">
        <f t="shared" si="39"/>
        <v>5812500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c r="J563" s="364"/>
      <c r="K563" s="237"/>
      <c r="L563" s="367"/>
      <c r="M563" s="179"/>
      <c r="N563" s="364"/>
      <c r="O563" s="179"/>
      <c r="P563" s="369"/>
      <c r="Q563" s="86">
        <f t="shared" si="37"/>
        <v>0</v>
      </c>
      <c r="R563" s="287"/>
      <c r="S563" s="364"/>
      <c r="T563" s="179"/>
      <c r="U563" s="364"/>
      <c r="V563" s="179"/>
      <c r="W563" s="364"/>
      <c r="X563" s="179"/>
      <c r="Y563" s="364"/>
      <c r="Z563" s="357"/>
      <c r="AA563" s="89">
        <f t="shared" si="38"/>
        <v>0</v>
      </c>
      <c r="AB563" s="237"/>
      <c r="AC563" s="237"/>
      <c r="AD563" s="237"/>
      <c r="AE563" s="237"/>
      <c r="AF563" s="237"/>
      <c r="AG563" s="237"/>
      <c r="AH563" s="237"/>
      <c r="AI563" s="237"/>
      <c r="AJ563" s="237"/>
      <c r="AK563" s="237"/>
      <c r="AL563" s="237"/>
      <c r="AM563" s="237"/>
      <c r="AN563" s="237"/>
      <c r="AO563" s="237"/>
      <c r="AP563" s="237"/>
      <c r="AQ563" s="237"/>
      <c r="AR563" s="237"/>
      <c r="AS563" s="237"/>
      <c r="AT563" s="364"/>
      <c r="AU563" s="91">
        <f t="shared" si="39"/>
        <v>0</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4"/>
      <c r="K564" s="237"/>
      <c r="L564" s="367"/>
      <c r="M564" s="179"/>
      <c r="N564" s="364"/>
      <c r="O564" s="179"/>
      <c r="P564" s="369"/>
      <c r="Q564" s="86">
        <f t="shared" si="37"/>
        <v>0</v>
      </c>
      <c r="R564" s="287"/>
      <c r="S564" s="364"/>
      <c r="T564" s="179"/>
      <c r="U564" s="364"/>
      <c r="V564" s="179"/>
      <c r="W564" s="364"/>
      <c r="X564" s="179"/>
      <c r="Y564" s="364"/>
      <c r="Z564" s="357"/>
      <c r="AA564" s="89">
        <f t="shared" si="38"/>
        <v>0</v>
      </c>
      <c r="AB564" s="237"/>
      <c r="AC564" s="237"/>
      <c r="AD564" s="237"/>
      <c r="AE564" s="237"/>
      <c r="AF564" s="237"/>
      <c r="AG564" s="237"/>
      <c r="AH564" s="237"/>
      <c r="AI564" s="237"/>
      <c r="AJ564" s="237"/>
      <c r="AK564" s="237"/>
      <c r="AL564" s="237"/>
      <c r="AM564" s="237"/>
      <c r="AN564" s="237"/>
      <c r="AO564" s="237"/>
      <c r="AP564" s="237"/>
      <c r="AQ564" s="237"/>
      <c r="AR564" s="237"/>
      <c r="AS564" s="237"/>
      <c r="AT564" s="364"/>
      <c r="AU564" s="91">
        <f t="shared" si="39"/>
        <v>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c r="J565" s="364"/>
      <c r="K565" s="237"/>
      <c r="L565" s="367"/>
      <c r="M565" s="179"/>
      <c r="N565" s="364"/>
      <c r="O565" s="179"/>
      <c r="P565" s="369"/>
      <c r="Q565" s="86">
        <f t="shared" si="37"/>
        <v>0</v>
      </c>
      <c r="R565" s="287"/>
      <c r="S565" s="364"/>
      <c r="T565" s="179"/>
      <c r="U565" s="364"/>
      <c r="V565" s="179"/>
      <c r="W565" s="364"/>
      <c r="X565" s="179"/>
      <c r="Y565" s="364"/>
      <c r="Z565" s="357"/>
      <c r="AA565" s="89">
        <f t="shared" si="38"/>
        <v>0</v>
      </c>
      <c r="AB565" s="237"/>
      <c r="AC565" s="237"/>
      <c r="AD565" s="237"/>
      <c r="AE565" s="237"/>
      <c r="AF565" s="237"/>
      <c r="AG565" s="237"/>
      <c r="AH565" s="237"/>
      <c r="AI565" s="237"/>
      <c r="AJ565" s="237"/>
      <c r="AK565" s="237"/>
      <c r="AL565" s="237"/>
      <c r="AM565" s="237"/>
      <c r="AN565" s="237"/>
      <c r="AO565" s="237"/>
      <c r="AP565" s="237"/>
      <c r="AQ565" s="237"/>
      <c r="AR565" s="237"/>
      <c r="AS565" s="237"/>
      <c r="AT565" s="364"/>
      <c r="AU565" s="91">
        <f t="shared" si="39"/>
        <v>0</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4"/>
      <c r="K566" s="237"/>
      <c r="L566" s="367"/>
      <c r="M566" s="179"/>
      <c r="N566" s="364"/>
      <c r="O566" s="179"/>
      <c r="P566" s="369"/>
      <c r="Q566" s="86">
        <f t="shared" si="37"/>
        <v>0</v>
      </c>
      <c r="R566" s="287"/>
      <c r="S566" s="364"/>
      <c r="T566" s="179"/>
      <c r="U566" s="364"/>
      <c r="V566" s="179"/>
      <c r="W566" s="364"/>
      <c r="X566" s="179"/>
      <c r="Y566" s="364"/>
      <c r="Z566" s="357"/>
      <c r="AA566" s="89">
        <f t="shared" si="38"/>
        <v>0</v>
      </c>
      <c r="AB566" s="237">
        <v>3333333</v>
      </c>
      <c r="AC566" s="237">
        <v>4000000</v>
      </c>
      <c r="AD566" s="237">
        <v>4000000</v>
      </c>
      <c r="AE566" s="237"/>
      <c r="AF566" s="237"/>
      <c r="AG566" s="237"/>
      <c r="AH566" s="237"/>
      <c r="AI566" s="237"/>
      <c r="AJ566" s="237"/>
      <c r="AK566" s="237"/>
      <c r="AL566" s="237"/>
      <c r="AM566" s="237"/>
      <c r="AN566" s="237"/>
      <c r="AO566" s="237"/>
      <c r="AP566" s="237"/>
      <c r="AQ566" s="237"/>
      <c r="AR566" s="237"/>
      <c r="AS566" s="237"/>
      <c r="AT566" s="364">
        <v>43100</v>
      </c>
      <c r="AU566" s="91">
        <f t="shared" si="39"/>
        <v>11333333</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4"/>
      <c r="K567" s="237"/>
      <c r="L567" s="367"/>
      <c r="M567" s="179"/>
      <c r="N567" s="364"/>
      <c r="O567" s="179"/>
      <c r="P567" s="369"/>
      <c r="Q567" s="86">
        <f t="shared" si="37"/>
        <v>0</v>
      </c>
      <c r="R567" s="287"/>
      <c r="S567" s="364"/>
      <c r="T567" s="179"/>
      <c r="U567" s="364"/>
      <c r="V567" s="179"/>
      <c r="W567" s="364"/>
      <c r="X567" s="179"/>
      <c r="Y567" s="364"/>
      <c r="Z567" s="357"/>
      <c r="AA567" s="89">
        <f t="shared" si="38"/>
        <v>0</v>
      </c>
      <c r="AB567" s="237"/>
      <c r="AC567" s="237"/>
      <c r="AD567" s="237"/>
      <c r="AE567" s="237"/>
      <c r="AF567" s="237"/>
      <c r="AG567" s="237"/>
      <c r="AH567" s="237"/>
      <c r="AI567" s="237"/>
      <c r="AJ567" s="237"/>
      <c r="AK567" s="237"/>
      <c r="AL567" s="237"/>
      <c r="AM567" s="237"/>
      <c r="AN567" s="237"/>
      <c r="AO567" s="237"/>
      <c r="AP567" s="237"/>
      <c r="AQ567" s="237"/>
      <c r="AR567" s="237"/>
      <c r="AS567" s="237"/>
      <c r="AT567" s="364"/>
      <c r="AU567" s="91">
        <f t="shared" si="39"/>
        <v>0</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4"/>
      <c r="K568" s="237"/>
      <c r="L568" s="367"/>
      <c r="M568" s="179"/>
      <c r="N568" s="364"/>
      <c r="O568" s="179"/>
      <c r="P568" s="369"/>
      <c r="Q568" s="86">
        <f t="shared" si="37"/>
        <v>0</v>
      </c>
      <c r="R568" s="287"/>
      <c r="S568" s="364"/>
      <c r="T568" s="179"/>
      <c r="U568" s="364"/>
      <c r="V568" s="179"/>
      <c r="W568" s="364"/>
      <c r="X568" s="179"/>
      <c r="Y568" s="364"/>
      <c r="Z568" s="357"/>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4">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4"/>
      <c r="K569" s="237"/>
      <c r="L569" s="367"/>
      <c r="M569" s="179"/>
      <c r="N569" s="364"/>
      <c r="O569" s="179"/>
      <c r="P569" s="369"/>
      <c r="Q569" s="86">
        <f t="shared" si="37"/>
        <v>0</v>
      </c>
      <c r="R569" s="287"/>
      <c r="S569" s="364"/>
      <c r="T569" s="179"/>
      <c r="U569" s="364"/>
      <c r="V569" s="179"/>
      <c r="W569" s="364"/>
      <c r="X569" s="179"/>
      <c r="Y569" s="364"/>
      <c r="Z569" s="357"/>
      <c r="AA569" s="89">
        <f t="shared" si="38"/>
        <v>0</v>
      </c>
      <c r="AB569" s="237"/>
      <c r="AC569" s="237"/>
      <c r="AD569" s="237"/>
      <c r="AE569" s="237"/>
      <c r="AF569" s="237"/>
      <c r="AG569" s="237"/>
      <c r="AH569" s="237"/>
      <c r="AI569" s="237"/>
      <c r="AJ569" s="237"/>
      <c r="AK569" s="237"/>
      <c r="AL569" s="237"/>
      <c r="AM569" s="237"/>
      <c r="AN569" s="237"/>
      <c r="AO569" s="237"/>
      <c r="AP569" s="237"/>
      <c r="AQ569" s="237"/>
      <c r="AR569" s="237"/>
      <c r="AS569" s="237"/>
      <c r="AT569" s="364"/>
      <c r="AU569" s="91">
        <f t="shared" si="39"/>
        <v>0</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4"/>
      <c r="K570" s="237"/>
      <c r="L570" s="367"/>
      <c r="M570" s="179"/>
      <c r="N570" s="364"/>
      <c r="O570" s="179"/>
      <c r="P570" s="369"/>
      <c r="Q570" s="86">
        <f t="shared" si="37"/>
        <v>0</v>
      </c>
      <c r="R570" s="287"/>
      <c r="S570" s="364"/>
      <c r="T570" s="179"/>
      <c r="U570" s="364"/>
      <c r="V570" s="179"/>
      <c r="W570" s="364"/>
      <c r="X570" s="179"/>
      <c r="Y570" s="364"/>
      <c r="Z570" s="357"/>
      <c r="AA570" s="89">
        <f t="shared" si="38"/>
        <v>0</v>
      </c>
      <c r="AB570" s="237"/>
      <c r="AC570" s="237"/>
      <c r="AD570" s="237"/>
      <c r="AE570" s="237"/>
      <c r="AF570" s="237"/>
      <c r="AG570" s="237"/>
      <c r="AH570" s="237"/>
      <c r="AI570" s="237"/>
      <c r="AJ570" s="237"/>
      <c r="AK570" s="237"/>
      <c r="AL570" s="237"/>
      <c r="AM570" s="237"/>
      <c r="AN570" s="237"/>
      <c r="AO570" s="237"/>
      <c r="AP570" s="237"/>
      <c r="AQ570" s="237"/>
      <c r="AR570" s="237"/>
      <c r="AS570" s="237"/>
      <c r="AT570" s="364"/>
      <c r="AU570" s="91">
        <f t="shared" si="39"/>
        <v>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c r="J571" s="364"/>
      <c r="K571" s="237"/>
      <c r="L571" s="367"/>
      <c r="M571" s="179"/>
      <c r="N571" s="364"/>
      <c r="O571" s="179"/>
      <c r="P571" s="369"/>
      <c r="Q571" s="86">
        <f t="shared" si="37"/>
        <v>0</v>
      </c>
      <c r="R571" s="287"/>
      <c r="S571" s="364"/>
      <c r="T571" s="179"/>
      <c r="U571" s="364"/>
      <c r="V571" s="179"/>
      <c r="W571" s="364"/>
      <c r="X571" s="179"/>
      <c r="Y571" s="364"/>
      <c r="Z571" s="357"/>
      <c r="AA571" s="89">
        <f t="shared" si="38"/>
        <v>0</v>
      </c>
      <c r="AB571" s="237"/>
      <c r="AC571" s="237"/>
      <c r="AD571" s="237"/>
      <c r="AE571" s="237"/>
      <c r="AF571" s="237"/>
      <c r="AG571" s="237"/>
      <c r="AH571" s="237"/>
      <c r="AI571" s="237"/>
      <c r="AJ571" s="237"/>
      <c r="AK571" s="237"/>
      <c r="AL571" s="237"/>
      <c r="AM571" s="237"/>
      <c r="AN571" s="237"/>
      <c r="AO571" s="237"/>
      <c r="AP571" s="237"/>
      <c r="AQ571" s="237"/>
      <c r="AR571" s="237"/>
      <c r="AS571" s="237"/>
      <c r="AT571" s="364"/>
      <c r="AU571" s="91">
        <f t="shared" si="39"/>
        <v>0</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4"/>
      <c r="K572" s="237"/>
      <c r="L572" s="367"/>
      <c r="M572" s="179"/>
      <c r="N572" s="364"/>
      <c r="O572" s="179"/>
      <c r="P572" s="369"/>
      <c r="Q572" s="86">
        <f t="shared" si="37"/>
        <v>0</v>
      </c>
      <c r="R572" s="287"/>
      <c r="S572" s="364"/>
      <c r="T572" s="179"/>
      <c r="U572" s="364"/>
      <c r="V572" s="179"/>
      <c r="W572" s="364"/>
      <c r="X572" s="179"/>
      <c r="Y572" s="364"/>
      <c r="Z572" s="357"/>
      <c r="AA572" s="89">
        <f t="shared" si="38"/>
        <v>0</v>
      </c>
      <c r="AB572" s="237"/>
      <c r="AC572" s="237"/>
      <c r="AD572" s="237"/>
      <c r="AE572" s="237"/>
      <c r="AF572" s="237"/>
      <c r="AG572" s="237"/>
      <c r="AH572" s="237"/>
      <c r="AI572" s="237"/>
      <c r="AJ572" s="237"/>
      <c r="AK572" s="237"/>
      <c r="AL572" s="237"/>
      <c r="AM572" s="237"/>
      <c r="AN572" s="237"/>
      <c r="AO572" s="237"/>
      <c r="AP572" s="237"/>
      <c r="AQ572" s="237"/>
      <c r="AR572" s="237"/>
      <c r="AS572" s="237"/>
      <c r="AT572" s="364"/>
      <c r="AU572" s="91">
        <f t="shared" si="39"/>
        <v>0</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4"/>
      <c r="K573" s="237"/>
      <c r="L573" s="367"/>
      <c r="M573" s="179"/>
      <c r="N573" s="364"/>
      <c r="O573" s="179"/>
      <c r="P573" s="369"/>
      <c r="Q573" s="86">
        <f t="shared" si="37"/>
        <v>0</v>
      </c>
      <c r="R573" s="287"/>
      <c r="S573" s="364"/>
      <c r="T573" s="179"/>
      <c r="U573" s="364"/>
      <c r="V573" s="179"/>
      <c r="W573" s="364"/>
      <c r="X573" s="179"/>
      <c r="Y573" s="364"/>
      <c r="Z573" s="357"/>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4"/>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4"/>
      <c r="K574" s="237"/>
      <c r="L574" s="367"/>
      <c r="M574" s="179"/>
      <c r="N574" s="364"/>
      <c r="O574" s="179"/>
      <c r="P574" s="369"/>
      <c r="Q574" s="86">
        <f t="shared" si="37"/>
        <v>0</v>
      </c>
      <c r="R574" s="287"/>
      <c r="S574" s="364"/>
      <c r="T574" s="179"/>
      <c r="U574" s="364"/>
      <c r="V574" s="179"/>
      <c r="W574" s="364"/>
      <c r="X574" s="179"/>
      <c r="Y574" s="364"/>
      <c r="Z574" s="357"/>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4">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4"/>
      <c r="K575" s="237"/>
      <c r="L575" s="367"/>
      <c r="M575" s="179"/>
      <c r="N575" s="364"/>
      <c r="O575" s="179"/>
      <c r="P575" s="369"/>
      <c r="Q575" s="86">
        <f t="shared" si="37"/>
        <v>0</v>
      </c>
      <c r="R575" s="287"/>
      <c r="S575" s="364"/>
      <c r="T575" s="179"/>
      <c r="U575" s="364"/>
      <c r="V575" s="179"/>
      <c r="W575" s="364"/>
      <c r="X575" s="179"/>
      <c r="Y575" s="364"/>
      <c r="Z575" s="357"/>
      <c r="AA575" s="89">
        <f t="shared" si="38"/>
        <v>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4">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4"/>
      <c r="K576" s="237"/>
      <c r="L576" s="367"/>
      <c r="M576" s="179"/>
      <c r="N576" s="364"/>
      <c r="O576" s="179"/>
      <c r="P576" s="369"/>
      <c r="Q576" s="86">
        <f t="shared" si="37"/>
        <v>0</v>
      </c>
      <c r="R576" s="287"/>
      <c r="S576" s="364"/>
      <c r="T576" s="179"/>
      <c r="U576" s="364"/>
      <c r="V576" s="179"/>
      <c r="W576" s="364"/>
      <c r="X576" s="179"/>
      <c r="Y576" s="364"/>
      <c r="Z576" s="357"/>
      <c r="AA576" s="89">
        <f t="shared" si="38"/>
        <v>0</v>
      </c>
      <c r="AB576" s="237"/>
      <c r="AC576" s="237"/>
      <c r="AD576" s="237"/>
      <c r="AE576" s="237"/>
      <c r="AF576" s="237"/>
      <c r="AG576" s="237"/>
      <c r="AH576" s="237"/>
      <c r="AI576" s="237"/>
      <c r="AJ576" s="237"/>
      <c r="AK576" s="237"/>
      <c r="AL576" s="237"/>
      <c r="AM576" s="237"/>
      <c r="AN576" s="237"/>
      <c r="AO576" s="237"/>
      <c r="AP576" s="237"/>
      <c r="AQ576" s="237"/>
      <c r="AR576" s="237"/>
      <c r="AS576" s="237"/>
      <c r="AT576" s="364"/>
      <c r="AU576" s="91">
        <f t="shared" si="39"/>
        <v>0</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4"/>
      <c r="K577" s="237"/>
      <c r="L577" s="367"/>
      <c r="M577" s="179"/>
      <c r="N577" s="364"/>
      <c r="O577" s="179"/>
      <c r="P577" s="369"/>
      <c r="Q577" s="86">
        <f t="shared" ref="Q577:Q588" si="40">SUM(I577,K577,M577,O577)</f>
        <v>0</v>
      </c>
      <c r="R577" s="287"/>
      <c r="S577" s="364"/>
      <c r="T577" s="179"/>
      <c r="U577" s="364"/>
      <c r="V577" s="179"/>
      <c r="W577" s="364"/>
      <c r="X577" s="179"/>
      <c r="Y577" s="364"/>
      <c r="Z577" s="357"/>
      <c r="AA577" s="89">
        <f t="shared" ref="AA577:AA588" si="41">MAX(S577,U577,W577,Y577)</f>
        <v>0</v>
      </c>
      <c r="AB577" s="237">
        <v>2800000</v>
      </c>
      <c r="AC577" s="237"/>
      <c r="AD577" s="237"/>
      <c r="AE577" s="237"/>
      <c r="AF577" s="237"/>
      <c r="AG577" s="237"/>
      <c r="AH577" s="237"/>
      <c r="AI577" s="237"/>
      <c r="AJ577" s="237"/>
      <c r="AK577" s="237"/>
      <c r="AL577" s="237"/>
      <c r="AM577" s="237"/>
      <c r="AN577" s="237"/>
      <c r="AO577" s="237"/>
      <c r="AP577" s="237"/>
      <c r="AQ577" s="237"/>
      <c r="AR577" s="237"/>
      <c r="AS577" s="237"/>
      <c r="AT577" s="364">
        <v>43090</v>
      </c>
      <c r="AU577" s="91">
        <f t="shared" ref="AU577:AU588" si="42">SUM(AB577:AR577)</f>
        <v>2800000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4"/>
      <c r="K578" s="237"/>
      <c r="L578" s="367"/>
      <c r="M578" s="179"/>
      <c r="N578" s="364"/>
      <c r="O578" s="179"/>
      <c r="P578" s="369"/>
      <c r="Q578" s="86">
        <f t="shared" si="40"/>
        <v>0</v>
      </c>
      <c r="R578" s="287"/>
      <c r="S578" s="364"/>
      <c r="T578" s="179"/>
      <c r="U578" s="364"/>
      <c r="V578" s="179"/>
      <c r="W578" s="364"/>
      <c r="X578" s="179"/>
      <c r="Y578" s="364"/>
      <c r="Z578" s="357"/>
      <c r="AA578" s="89">
        <f t="shared" si="41"/>
        <v>0</v>
      </c>
      <c r="AB578" s="237"/>
      <c r="AC578" s="237"/>
      <c r="AD578" s="237"/>
      <c r="AE578" s="237"/>
      <c r="AF578" s="237"/>
      <c r="AG578" s="237"/>
      <c r="AH578" s="237"/>
      <c r="AI578" s="237"/>
      <c r="AJ578" s="237"/>
      <c r="AK578" s="237"/>
      <c r="AL578" s="237"/>
      <c r="AM578" s="237"/>
      <c r="AN578" s="237"/>
      <c r="AO578" s="237"/>
      <c r="AP578" s="237"/>
      <c r="AQ578" s="237"/>
      <c r="AR578" s="237"/>
      <c r="AS578" s="237"/>
      <c r="AT578" s="364"/>
      <c r="AU578" s="91">
        <f t="shared" si="42"/>
        <v>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4"/>
      <c r="K579" s="237"/>
      <c r="L579" s="367"/>
      <c r="M579" s="179"/>
      <c r="N579" s="364"/>
      <c r="O579" s="179"/>
      <c r="P579" s="369"/>
      <c r="Q579" s="86">
        <f t="shared" si="40"/>
        <v>0</v>
      </c>
      <c r="R579" s="287"/>
      <c r="S579" s="364"/>
      <c r="T579" s="179"/>
      <c r="U579" s="364"/>
      <c r="V579" s="179"/>
      <c r="W579" s="364"/>
      <c r="X579" s="179"/>
      <c r="Y579" s="364"/>
      <c r="Z579" s="357"/>
      <c r="AA579" s="89">
        <f t="shared" si="41"/>
        <v>0</v>
      </c>
      <c r="AB579" s="237"/>
      <c r="AC579" s="237"/>
      <c r="AD579" s="237"/>
      <c r="AE579" s="237"/>
      <c r="AF579" s="237"/>
      <c r="AG579" s="237"/>
      <c r="AH579" s="237"/>
      <c r="AI579" s="237"/>
      <c r="AJ579" s="237"/>
      <c r="AK579" s="237"/>
      <c r="AL579" s="237"/>
      <c r="AM579" s="237"/>
      <c r="AN579" s="237"/>
      <c r="AO579" s="237"/>
      <c r="AP579" s="237"/>
      <c r="AQ579" s="237"/>
      <c r="AR579" s="237"/>
      <c r="AS579" s="237"/>
      <c r="AT579" s="364"/>
      <c r="AU579" s="91">
        <f t="shared" si="42"/>
        <v>0</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4"/>
      <c r="K580" s="237"/>
      <c r="L580" s="367"/>
      <c r="M580" s="179"/>
      <c r="N580" s="364"/>
      <c r="O580" s="179"/>
      <c r="P580" s="369"/>
      <c r="Q580" s="86">
        <f t="shared" si="40"/>
        <v>0</v>
      </c>
      <c r="R580" s="287"/>
      <c r="S580" s="364"/>
      <c r="T580" s="179"/>
      <c r="U580" s="364"/>
      <c r="V580" s="179"/>
      <c r="W580" s="364"/>
      <c r="X580" s="179"/>
      <c r="Y580" s="364"/>
      <c r="Z580" s="357"/>
      <c r="AA580" s="89">
        <f t="shared" si="41"/>
        <v>0</v>
      </c>
      <c r="AB580" s="237"/>
      <c r="AC580" s="237"/>
      <c r="AD580" s="237"/>
      <c r="AE580" s="237"/>
      <c r="AF580" s="237"/>
      <c r="AG580" s="237"/>
      <c r="AH580" s="237"/>
      <c r="AI580" s="237"/>
      <c r="AJ580" s="237"/>
      <c r="AK580" s="237"/>
      <c r="AL580" s="237"/>
      <c r="AM580" s="237"/>
      <c r="AN580" s="237"/>
      <c r="AO580" s="237"/>
      <c r="AP580" s="237"/>
      <c r="AQ580" s="237"/>
      <c r="AR580" s="237"/>
      <c r="AS580" s="237"/>
      <c r="AT580" s="364"/>
      <c r="AU580" s="91">
        <f t="shared" si="42"/>
        <v>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4"/>
      <c r="K581" s="237"/>
      <c r="L581" s="367"/>
      <c r="M581" s="179"/>
      <c r="N581" s="364"/>
      <c r="O581" s="179"/>
      <c r="P581" s="369"/>
      <c r="Q581" s="86">
        <f t="shared" si="40"/>
        <v>0</v>
      </c>
      <c r="R581" s="287"/>
      <c r="S581" s="364"/>
      <c r="T581" s="179"/>
      <c r="U581" s="364"/>
      <c r="V581" s="179"/>
      <c r="W581" s="364"/>
      <c r="X581" s="179"/>
      <c r="Y581" s="364"/>
      <c r="Z581" s="357"/>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4"/>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c r="J582" s="364"/>
      <c r="K582" s="237"/>
      <c r="L582" s="367"/>
      <c r="M582" s="179"/>
      <c r="N582" s="364"/>
      <c r="O582" s="179"/>
      <c r="P582" s="369"/>
      <c r="Q582" s="86">
        <f t="shared" si="40"/>
        <v>0</v>
      </c>
      <c r="R582" s="287"/>
      <c r="S582" s="364"/>
      <c r="T582" s="179"/>
      <c r="U582" s="364"/>
      <c r="V582" s="179"/>
      <c r="W582" s="364"/>
      <c r="X582" s="179"/>
      <c r="Y582" s="364"/>
      <c r="Z582" s="357"/>
      <c r="AA582" s="89">
        <f t="shared" si="41"/>
        <v>0</v>
      </c>
      <c r="AB582" s="237"/>
      <c r="AC582" s="237"/>
      <c r="AD582" s="237"/>
      <c r="AE582" s="237"/>
      <c r="AF582" s="237"/>
      <c r="AG582" s="237"/>
      <c r="AH582" s="237"/>
      <c r="AI582" s="237"/>
      <c r="AJ582" s="237"/>
      <c r="AK582" s="237"/>
      <c r="AL582" s="237"/>
      <c r="AM582" s="237"/>
      <c r="AN582" s="237"/>
      <c r="AO582" s="237"/>
      <c r="AP582" s="237"/>
      <c r="AQ582" s="237"/>
      <c r="AR582" s="237"/>
      <c r="AS582" s="237"/>
      <c r="AT582" s="364"/>
      <c r="AU582" s="91">
        <f t="shared" si="42"/>
        <v>0</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4"/>
      <c r="K583" s="237"/>
      <c r="L583" s="367"/>
      <c r="M583" s="179"/>
      <c r="N583" s="364"/>
      <c r="O583" s="179"/>
      <c r="P583" s="369"/>
      <c r="Q583" s="86">
        <f t="shared" si="40"/>
        <v>0</v>
      </c>
      <c r="R583" s="287"/>
      <c r="S583" s="364"/>
      <c r="T583" s="179"/>
      <c r="U583" s="364"/>
      <c r="V583" s="179"/>
      <c r="W583" s="364"/>
      <c r="X583" s="179"/>
      <c r="Y583" s="364"/>
      <c r="Z583" s="357"/>
      <c r="AA583" s="89">
        <f t="shared" si="41"/>
        <v>0</v>
      </c>
      <c r="AB583" s="237"/>
      <c r="AC583" s="237"/>
      <c r="AD583" s="237"/>
      <c r="AE583" s="237"/>
      <c r="AF583" s="237"/>
      <c r="AG583" s="237"/>
      <c r="AH583" s="237"/>
      <c r="AI583" s="237"/>
      <c r="AJ583" s="237"/>
      <c r="AK583" s="237"/>
      <c r="AL583" s="237"/>
      <c r="AM583" s="237"/>
      <c r="AN583" s="237"/>
      <c r="AO583" s="237"/>
      <c r="AP583" s="237"/>
      <c r="AQ583" s="237"/>
      <c r="AR583" s="237"/>
      <c r="AS583" s="237"/>
      <c r="AT583" s="364"/>
      <c r="AU583" s="91">
        <f t="shared" si="42"/>
        <v>0</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4"/>
      <c r="K584" s="237"/>
      <c r="L584" s="367"/>
      <c r="M584" s="179"/>
      <c r="N584" s="364"/>
      <c r="O584" s="179"/>
      <c r="P584" s="369"/>
      <c r="Q584" s="86">
        <f t="shared" si="40"/>
        <v>0</v>
      </c>
      <c r="R584" s="287"/>
      <c r="S584" s="364"/>
      <c r="T584" s="179"/>
      <c r="U584" s="364"/>
      <c r="V584" s="179"/>
      <c r="W584" s="364"/>
      <c r="X584" s="179"/>
      <c r="Y584" s="364"/>
      <c r="Z584" s="357"/>
      <c r="AA584" s="89">
        <f t="shared" si="41"/>
        <v>0</v>
      </c>
      <c r="AB584" s="237"/>
      <c r="AC584" s="237"/>
      <c r="AD584" s="237"/>
      <c r="AE584" s="237"/>
      <c r="AF584" s="237"/>
      <c r="AG584" s="237"/>
      <c r="AH584" s="237"/>
      <c r="AI584" s="237"/>
      <c r="AJ584" s="237"/>
      <c r="AK584" s="237"/>
      <c r="AL584" s="237"/>
      <c r="AM584" s="237"/>
      <c r="AN584" s="237"/>
      <c r="AO584" s="237"/>
      <c r="AP584" s="237"/>
      <c r="AQ584" s="237"/>
      <c r="AR584" s="237"/>
      <c r="AS584" s="237"/>
      <c r="AT584" s="364"/>
      <c r="AU584" s="91">
        <f t="shared" si="42"/>
        <v>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43073</v>
      </c>
      <c r="H585" s="220">
        <f>+'Base de Datos'!N585</f>
        <v>43315</v>
      </c>
      <c r="I585" s="179"/>
      <c r="J585" s="364"/>
      <c r="K585" s="237"/>
      <c r="L585" s="367"/>
      <c r="M585" s="179"/>
      <c r="N585" s="364"/>
      <c r="O585" s="179"/>
      <c r="P585" s="369"/>
      <c r="Q585" s="86">
        <f t="shared" si="40"/>
        <v>0</v>
      </c>
      <c r="R585" s="287"/>
      <c r="S585" s="364"/>
      <c r="T585" s="179"/>
      <c r="U585" s="364"/>
      <c r="V585" s="179"/>
      <c r="W585" s="364"/>
      <c r="X585" s="179"/>
      <c r="Y585" s="364"/>
      <c r="Z585" s="357"/>
      <c r="AA585" s="89">
        <f t="shared" si="41"/>
        <v>0</v>
      </c>
      <c r="AB585" s="237"/>
      <c r="AC585" s="237"/>
      <c r="AD585" s="237"/>
      <c r="AE585" s="237"/>
      <c r="AF585" s="237"/>
      <c r="AG585" s="237"/>
      <c r="AH585" s="237"/>
      <c r="AI585" s="237"/>
      <c r="AJ585" s="237"/>
      <c r="AK585" s="237"/>
      <c r="AL585" s="237"/>
      <c r="AM585" s="237"/>
      <c r="AN585" s="237"/>
      <c r="AO585" s="237"/>
      <c r="AP585" s="237"/>
      <c r="AQ585" s="237"/>
      <c r="AR585" s="237"/>
      <c r="AS585" s="237"/>
      <c r="AT585" s="364"/>
      <c r="AU585" s="91">
        <f t="shared" si="42"/>
        <v>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4"/>
      <c r="K586" s="237"/>
      <c r="L586" s="367"/>
      <c r="M586" s="179"/>
      <c r="N586" s="364"/>
      <c r="O586" s="179"/>
      <c r="P586" s="369"/>
      <c r="Q586" s="86">
        <f t="shared" si="40"/>
        <v>0</v>
      </c>
      <c r="R586" s="287"/>
      <c r="S586" s="364"/>
      <c r="T586" s="179"/>
      <c r="U586" s="364"/>
      <c r="V586" s="179"/>
      <c r="W586" s="364"/>
      <c r="X586" s="179"/>
      <c r="Y586" s="364"/>
      <c r="Z586" s="357"/>
      <c r="AA586" s="89">
        <f t="shared" si="41"/>
        <v>0</v>
      </c>
      <c r="AB586" s="237"/>
      <c r="AC586" s="237"/>
      <c r="AD586" s="237"/>
      <c r="AE586" s="237"/>
      <c r="AF586" s="237"/>
      <c r="AG586" s="237"/>
      <c r="AH586" s="237"/>
      <c r="AI586" s="237"/>
      <c r="AJ586" s="237"/>
      <c r="AK586" s="237"/>
      <c r="AL586" s="237"/>
      <c r="AM586" s="237"/>
      <c r="AN586" s="237"/>
      <c r="AO586" s="237"/>
      <c r="AP586" s="237"/>
      <c r="AQ586" s="237"/>
      <c r="AR586" s="237"/>
      <c r="AS586" s="237"/>
      <c r="AT586" s="364"/>
      <c r="AU586" s="91">
        <f t="shared" si="42"/>
        <v>0</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4"/>
      <c r="K587" s="237"/>
      <c r="L587" s="367"/>
      <c r="M587" s="179"/>
      <c r="N587" s="364"/>
      <c r="O587" s="179"/>
      <c r="P587" s="369"/>
      <c r="Q587" s="86">
        <f t="shared" si="40"/>
        <v>0</v>
      </c>
      <c r="R587" s="287"/>
      <c r="S587" s="364"/>
      <c r="T587" s="179"/>
      <c r="U587" s="364"/>
      <c r="V587" s="179"/>
      <c r="W587" s="364"/>
      <c r="X587" s="179"/>
      <c r="Y587" s="364"/>
      <c r="Z587" s="357"/>
      <c r="AA587" s="89">
        <f t="shared" si="41"/>
        <v>0</v>
      </c>
      <c r="AB587" s="237"/>
      <c r="AC587" s="237"/>
      <c r="AD587" s="237"/>
      <c r="AE587" s="237"/>
      <c r="AF587" s="237"/>
      <c r="AG587" s="237"/>
      <c r="AH587" s="237"/>
      <c r="AI587" s="237"/>
      <c r="AJ587" s="237"/>
      <c r="AK587" s="237"/>
      <c r="AL587" s="237"/>
      <c r="AM587" s="237"/>
      <c r="AN587" s="237"/>
      <c r="AO587" s="237"/>
      <c r="AP587" s="237"/>
      <c r="AQ587" s="237"/>
      <c r="AR587" s="237"/>
      <c r="AS587" s="237"/>
      <c r="AT587" s="364"/>
      <c r="AU587" s="91">
        <f t="shared" si="42"/>
        <v>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4"/>
      <c r="K588" s="237"/>
      <c r="L588" s="367"/>
      <c r="M588" s="179"/>
      <c r="N588" s="364"/>
      <c r="O588" s="179"/>
      <c r="P588" s="369"/>
      <c r="Q588" s="86">
        <f t="shared" si="40"/>
        <v>0</v>
      </c>
      <c r="R588" s="287"/>
      <c r="S588" s="364"/>
      <c r="T588" s="179"/>
      <c r="U588" s="364"/>
      <c r="V588" s="179"/>
      <c r="W588" s="364"/>
      <c r="X588" s="179"/>
      <c r="Y588" s="364"/>
      <c r="Z588" s="357"/>
      <c r="AA588" s="89">
        <f t="shared" si="41"/>
        <v>0</v>
      </c>
      <c r="AB588" s="237"/>
      <c r="AC588" s="237"/>
      <c r="AD588" s="237"/>
      <c r="AE588" s="237"/>
      <c r="AF588" s="237"/>
      <c r="AG588" s="237"/>
      <c r="AH588" s="237"/>
      <c r="AI588" s="237"/>
      <c r="AJ588" s="237"/>
      <c r="AK588" s="237"/>
      <c r="AL588" s="237"/>
      <c r="AM588" s="237"/>
      <c r="AN588" s="237"/>
      <c r="AO588" s="237"/>
      <c r="AP588" s="237"/>
      <c r="AQ588" s="237"/>
      <c r="AR588" s="237"/>
      <c r="AS588" s="237"/>
      <c r="AT588" s="364"/>
      <c r="AU588" s="91">
        <f t="shared" si="42"/>
        <v>0</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4"/>
      <c r="K589" s="237"/>
      <c r="L589" s="367"/>
      <c r="M589" s="179"/>
      <c r="N589" s="364"/>
      <c r="O589" s="179"/>
      <c r="P589" s="369"/>
      <c r="Q589" s="86">
        <f t="shared" ref="Q589:Q601" si="43">SUM(I589,K589,M589,O589)</f>
        <v>0</v>
      </c>
      <c r="R589" s="287"/>
      <c r="S589" s="364"/>
      <c r="T589" s="179"/>
      <c r="U589" s="364"/>
      <c r="V589" s="179"/>
      <c r="W589" s="364"/>
      <c r="X589" s="179"/>
      <c r="Y589" s="364"/>
      <c r="Z589" s="357"/>
      <c r="AA589" s="89">
        <f t="shared" ref="AA589:AA601" si="44">MAX(S589,U589,W589,Y589)</f>
        <v>0</v>
      </c>
      <c r="AB589" s="237"/>
      <c r="AC589" s="237"/>
      <c r="AD589" s="237"/>
      <c r="AE589" s="237"/>
      <c r="AF589" s="237"/>
      <c r="AG589" s="237"/>
      <c r="AH589" s="237"/>
      <c r="AI589" s="237"/>
      <c r="AJ589" s="237"/>
      <c r="AK589" s="237"/>
      <c r="AL589" s="237"/>
      <c r="AM589" s="237"/>
      <c r="AN589" s="237"/>
      <c r="AO589" s="237"/>
      <c r="AP589" s="237"/>
      <c r="AQ589" s="237"/>
      <c r="AR589" s="237"/>
      <c r="AS589" s="237"/>
      <c r="AT589" s="364"/>
      <c r="AU589" s="91">
        <f t="shared" ref="AU589:AU601" si="45">SUM(AB589:AR589)</f>
        <v>0</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4"/>
      <c r="K590" s="237"/>
      <c r="L590" s="367"/>
      <c r="M590" s="179"/>
      <c r="N590" s="364"/>
      <c r="O590" s="179"/>
      <c r="P590" s="369"/>
      <c r="Q590" s="86">
        <f t="shared" si="43"/>
        <v>0</v>
      </c>
      <c r="R590" s="287"/>
      <c r="S590" s="364"/>
      <c r="T590" s="179"/>
      <c r="U590" s="364"/>
      <c r="V590" s="179"/>
      <c r="W590" s="364"/>
      <c r="X590" s="179"/>
      <c r="Y590" s="364"/>
      <c r="Z590" s="357"/>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4"/>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4"/>
      <c r="K591" s="237"/>
      <c r="L591" s="367"/>
      <c r="M591" s="179"/>
      <c r="N591" s="364"/>
      <c r="O591" s="179"/>
      <c r="P591" s="369"/>
      <c r="Q591" s="86">
        <f t="shared" si="43"/>
        <v>0</v>
      </c>
      <c r="R591" s="287"/>
      <c r="S591" s="364"/>
      <c r="T591" s="179"/>
      <c r="U591" s="364"/>
      <c r="V591" s="179"/>
      <c r="W591" s="364"/>
      <c r="X591" s="179"/>
      <c r="Y591" s="364"/>
      <c r="Z591" s="357"/>
      <c r="AA591" s="89">
        <f t="shared" si="44"/>
        <v>0</v>
      </c>
      <c r="AB591" s="237"/>
      <c r="AC591" s="237"/>
      <c r="AD591" s="237"/>
      <c r="AE591" s="237"/>
      <c r="AF591" s="237"/>
      <c r="AG591" s="237"/>
      <c r="AH591" s="237"/>
      <c r="AI591" s="237"/>
      <c r="AJ591" s="237"/>
      <c r="AK591" s="237"/>
      <c r="AL591" s="237"/>
      <c r="AM591" s="237"/>
      <c r="AN591" s="237"/>
      <c r="AO591" s="237"/>
      <c r="AP591" s="237"/>
      <c r="AQ591" s="237"/>
      <c r="AR591" s="237"/>
      <c r="AS591" s="237"/>
      <c r="AT591" s="364"/>
      <c r="AU591" s="91">
        <f t="shared" si="45"/>
        <v>0</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43153</v>
      </c>
      <c r="I592" s="179"/>
      <c r="J592" s="364"/>
      <c r="K592" s="237"/>
      <c r="L592" s="367"/>
      <c r="M592" s="179"/>
      <c r="N592" s="364"/>
      <c r="O592" s="179"/>
      <c r="P592" s="369"/>
      <c r="Q592" s="86">
        <f t="shared" si="43"/>
        <v>0</v>
      </c>
      <c r="R592" s="287"/>
      <c r="S592" s="364"/>
      <c r="T592" s="179"/>
      <c r="U592" s="364"/>
      <c r="V592" s="179"/>
      <c r="W592" s="364"/>
      <c r="X592" s="179"/>
      <c r="Y592" s="364"/>
      <c r="Z592" s="357"/>
      <c r="AA592" s="89">
        <f t="shared" si="44"/>
        <v>0</v>
      </c>
      <c r="AB592" s="237"/>
      <c r="AC592" s="237"/>
      <c r="AD592" s="237"/>
      <c r="AE592" s="237"/>
      <c r="AF592" s="237"/>
      <c r="AG592" s="237"/>
      <c r="AH592" s="237"/>
      <c r="AI592" s="237"/>
      <c r="AJ592" s="237"/>
      <c r="AK592" s="237"/>
      <c r="AL592" s="237"/>
      <c r="AM592" s="237"/>
      <c r="AN592" s="237"/>
      <c r="AO592" s="237"/>
      <c r="AP592" s="237"/>
      <c r="AQ592" s="237"/>
      <c r="AR592" s="237"/>
      <c r="AS592" s="237"/>
      <c r="AT592" s="364"/>
      <c r="AU592" s="91">
        <f t="shared" si="45"/>
        <v>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4"/>
      <c r="K593" s="237"/>
      <c r="L593" s="367"/>
      <c r="M593" s="179"/>
      <c r="N593" s="364"/>
      <c r="O593" s="179"/>
      <c r="P593" s="369"/>
      <c r="Q593" s="86">
        <f t="shared" si="43"/>
        <v>0</v>
      </c>
      <c r="R593" s="287"/>
      <c r="S593" s="364"/>
      <c r="T593" s="179"/>
      <c r="U593" s="364"/>
      <c r="V593" s="179"/>
      <c r="W593" s="364"/>
      <c r="X593" s="179"/>
      <c r="Y593" s="364"/>
      <c r="Z593" s="357"/>
      <c r="AA593" s="89">
        <f t="shared" si="44"/>
        <v>0</v>
      </c>
      <c r="AB593" s="237"/>
      <c r="AC593" s="237"/>
      <c r="AD593" s="237"/>
      <c r="AE593" s="237"/>
      <c r="AF593" s="237"/>
      <c r="AG593" s="237"/>
      <c r="AH593" s="237"/>
      <c r="AI593" s="237"/>
      <c r="AJ593" s="237"/>
      <c r="AK593" s="237"/>
      <c r="AL593" s="237"/>
      <c r="AM593" s="237"/>
      <c r="AN593" s="237"/>
      <c r="AO593" s="237"/>
      <c r="AP593" s="237"/>
      <c r="AQ593" s="237"/>
      <c r="AR593" s="237"/>
      <c r="AS593" s="237"/>
      <c r="AT593" s="364"/>
      <c r="AU593" s="91">
        <f t="shared" si="45"/>
        <v>0</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4"/>
      <c r="K594" s="237"/>
      <c r="L594" s="367"/>
      <c r="M594" s="179"/>
      <c r="N594" s="364"/>
      <c r="O594" s="179"/>
      <c r="P594" s="369"/>
      <c r="Q594" s="86">
        <f t="shared" si="43"/>
        <v>0</v>
      </c>
      <c r="R594" s="287"/>
      <c r="S594" s="364"/>
      <c r="T594" s="179"/>
      <c r="U594" s="364"/>
      <c r="V594" s="179"/>
      <c r="W594" s="364"/>
      <c r="X594" s="179"/>
      <c r="Y594" s="364"/>
      <c r="Z594" s="357"/>
      <c r="AA594" s="89">
        <f t="shared" si="44"/>
        <v>0</v>
      </c>
      <c r="AB594" s="237"/>
      <c r="AC594" s="237"/>
      <c r="AD594" s="237"/>
      <c r="AE594" s="237"/>
      <c r="AF594" s="237"/>
      <c r="AG594" s="237"/>
      <c r="AH594" s="237"/>
      <c r="AI594" s="237"/>
      <c r="AJ594" s="237"/>
      <c r="AK594" s="237"/>
      <c r="AL594" s="237"/>
      <c r="AM594" s="237"/>
      <c r="AN594" s="237"/>
      <c r="AO594" s="237"/>
      <c r="AP594" s="237"/>
      <c r="AQ594" s="237"/>
      <c r="AR594" s="237"/>
      <c r="AS594" s="237"/>
      <c r="AT594" s="364"/>
      <c r="AU594" s="91">
        <f t="shared" si="45"/>
        <v>0</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4"/>
      <c r="K595" s="237"/>
      <c r="L595" s="367"/>
      <c r="M595" s="179"/>
      <c r="N595" s="364"/>
      <c r="O595" s="179"/>
      <c r="P595" s="369"/>
      <c r="Q595" s="86">
        <f t="shared" si="43"/>
        <v>0</v>
      </c>
      <c r="R595" s="287"/>
      <c r="S595" s="364"/>
      <c r="T595" s="179"/>
      <c r="U595" s="364"/>
      <c r="V595" s="179"/>
      <c r="W595" s="364"/>
      <c r="X595" s="179"/>
      <c r="Y595" s="364"/>
      <c r="Z595" s="357"/>
      <c r="AA595" s="89">
        <f t="shared" si="44"/>
        <v>0</v>
      </c>
      <c r="AB595" s="237"/>
      <c r="AC595" s="237"/>
      <c r="AD595" s="237"/>
      <c r="AE595" s="237"/>
      <c r="AF595" s="237"/>
      <c r="AG595" s="237"/>
      <c r="AH595" s="237"/>
      <c r="AI595" s="237"/>
      <c r="AJ595" s="237"/>
      <c r="AK595" s="237"/>
      <c r="AL595" s="237"/>
      <c r="AM595" s="237"/>
      <c r="AN595" s="237"/>
      <c r="AO595" s="237"/>
      <c r="AP595" s="237"/>
      <c r="AQ595" s="237"/>
      <c r="AR595" s="237"/>
      <c r="AS595" s="237"/>
      <c r="AT595" s="364"/>
      <c r="AU595" s="91">
        <f t="shared" si="45"/>
        <v>0</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c r="J596" s="364"/>
      <c r="K596" s="237"/>
      <c r="L596" s="367"/>
      <c r="M596" s="179"/>
      <c r="N596" s="364"/>
      <c r="O596" s="179"/>
      <c r="P596" s="369"/>
      <c r="Q596" s="86">
        <f t="shared" si="43"/>
        <v>0</v>
      </c>
      <c r="R596" s="287"/>
      <c r="S596" s="364"/>
      <c r="T596" s="179"/>
      <c r="U596" s="364"/>
      <c r="V596" s="179"/>
      <c r="W596" s="364"/>
      <c r="X596" s="179"/>
      <c r="Y596" s="364"/>
      <c r="Z596" s="357"/>
      <c r="AA596" s="89">
        <f t="shared" si="44"/>
        <v>0</v>
      </c>
      <c r="AB596" s="237"/>
      <c r="AC596" s="237"/>
      <c r="AD596" s="237"/>
      <c r="AE596" s="237"/>
      <c r="AF596" s="237"/>
      <c r="AG596" s="237"/>
      <c r="AH596" s="237"/>
      <c r="AI596" s="237"/>
      <c r="AJ596" s="237"/>
      <c r="AK596" s="237"/>
      <c r="AL596" s="237"/>
      <c r="AM596" s="237"/>
      <c r="AN596" s="237"/>
      <c r="AO596" s="237"/>
      <c r="AP596" s="237"/>
      <c r="AQ596" s="237"/>
      <c r="AR596" s="237"/>
      <c r="AS596" s="237"/>
      <c r="AT596" s="364"/>
      <c r="AU596" s="91">
        <f t="shared" si="45"/>
        <v>0</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4"/>
      <c r="K597" s="237"/>
      <c r="L597" s="367"/>
      <c r="M597" s="179"/>
      <c r="N597" s="364"/>
      <c r="O597" s="179"/>
      <c r="P597" s="369"/>
      <c r="Q597" s="86">
        <f t="shared" si="43"/>
        <v>0</v>
      </c>
      <c r="R597" s="287"/>
      <c r="S597" s="364"/>
      <c r="T597" s="179"/>
      <c r="U597" s="364"/>
      <c r="V597" s="179"/>
      <c r="W597" s="364"/>
      <c r="X597" s="179"/>
      <c r="Y597" s="364"/>
      <c r="Z597" s="357"/>
      <c r="AA597" s="89">
        <f t="shared" si="44"/>
        <v>0</v>
      </c>
      <c r="AB597" s="237"/>
      <c r="AC597" s="237"/>
      <c r="AD597" s="237"/>
      <c r="AE597" s="237"/>
      <c r="AF597" s="237"/>
      <c r="AG597" s="237"/>
      <c r="AH597" s="237"/>
      <c r="AI597" s="237"/>
      <c r="AJ597" s="237"/>
      <c r="AK597" s="237"/>
      <c r="AL597" s="237"/>
      <c r="AM597" s="237"/>
      <c r="AN597" s="237"/>
      <c r="AO597" s="237"/>
      <c r="AP597" s="237"/>
      <c r="AQ597" s="237"/>
      <c r="AR597" s="237"/>
      <c r="AS597" s="237"/>
      <c r="AT597" s="364"/>
      <c r="AU597" s="91">
        <f t="shared" si="45"/>
        <v>0</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4"/>
      <c r="K598" s="237"/>
      <c r="L598" s="367"/>
      <c r="M598" s="179"/>
      <c r="N598" s="364"/>
      <c r="O598" s="179"/>
      <c r="P598" s="369"/>
      <c r="Q598" s="86">
        <f t="shared" si="43"/>
        <v>0</v>
      </c>
      <c r="R598" s="287"/>
      <c r="S598" s="364"/>
      <c r="T598" s="179"/>
      <c r="U598" s="364"/>
      <c r="V598" s="179"/>
      <c r="W598" s="364"/>
      <c r="X598" s="179"/>
      <c r="Y598" s="364"/>
      <c r="Z598" s="357"/>
      <c r="AA598" s="89">
        <f t="shared" si="44"/>
        <v>0</v>
      </c>
      <c r="AB598" s="237"/>
      <c r="AC598" s="237"/>
      <c r="AD598" s="237"/>
      <c r="AE598" s="237"/>
      <c r="AF598" s="237"/>
      <c r="AG598" s="237"/>
      <c r="AH598" s="237"/>
      <c r="AI598" s="237"/>
      <c r="AJ598" s="237"/>
      <c r="AK598" s="237"/>
      <c r="AL598" s="237"/>
      <c r="AM598" s="237"/>
      <c r="AN598" s="237"/>
      <c r="AO598" s="237"/>
      <c r="AP598" s="237"/>
      <c r="AQ598" s="237"/>
      <c r="AR598" s="237"/>
      <c r="AS598" s="237"/>
      <c r="AT598" s="364"/>
      <c r="AU598" s="91">
        <f t="shared" si="45"/>
        <v>0</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0</v>
      </c>
      <c r="H599" s="220">
        <f>+'Base de Datos'!N599</f>
        <v>0</v>
      </c>
      <c r="I599" s="179"/>
      <c r="J599" s="364"/>
      <c r="K599" s="237"/>
      <c r="L599" s="367"/>
      <c r="M599" s="179"/>
      <c r="N599" s="364"/>
      <c r="O599" s="179"/>
      <c r="P599" s="369"/>
      <c r="Q599" s="86">
        <f t="shared" si="43"/>
        <v>0</v>
      </c>
      <c r="R599" s="287"/>
      <c r="S599" s="364"/>
      <c r="T599" s="179"/>
      <c r="U599" s="364"/>
      <c r="V599" s="179"/>
      <c r="W599" s="364"/>
      <c r="X599" s="179"/>
      <c r="Y599" s="364"/>
      <c r="Z599" s="357"/>
      <c r="AA599" s="89">
        <f t="shared" si="44"/>
        <v>0</v>
      </c>
      <c r="AB599" s="237"/>
      <c r="AC599" s="237"/>
      <c r="AD599" s="237"/>
      <c r="AE599" s="237"/>
      <c r="AF599" s="237"/>
      <c r="AG599" s="237"/>
      <c r="AH599" s="237"/>
      <c r="AI599" s="237"/>
      <c r="AJ599" s="237"/>
      <c r="AK599" s="237"/>
      <c r="AL599" s="237"/>
      <c r="AM599" s="237"/>
      <c r="AN599" s="237"/>
      <c r="AO599" s="237"/>
      <c r="AP599" s="237"/>
      <c r="AQ599" s="237"/>
      <c r="AR599" s="237"/>
      <c r="AS599" s="237"/>
      <c r="AT599" s="364"/>
      <c r="AU599" s="91">
        <f t="shared" si="45"/>
        <v>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0</v>
      </c>
      <c r="H600" s="220">
        <f>+'Base de Datos'!N600</f>
        <v>0</v>
      </c>
      <c r="I600" s="179"/>
      <c r="J600" s="364"/>
      <c r="K600" s="237"/>
      <c r="L600" s="367"/>
      <c r="M600" s="179"/>
      <c r="N600" s="364"/>
      <c r="O600" s="179"/>
      <c r="P600" s="369"/>
      <c r="Q600" s="86">
        <f t="shared" si="43"/>
        <v>0</v>
      </c>
      <c r="R600" s="287"/>
      <c r="S600" s="364"/>
      <c r="T600" s="179"/>
      <c r="U600" s="364"/>
      <c r="V600" s="179"/>
      <c r="W600" s="364"/>
      <c r="X600" s="179"/>
      <c r="Y600" s="364"/>
      <c r="Z600" s="357"/>
      <c r="AA600" s="89">
        <f t="shared" si="44"/>
        <v>0</v>
      </c>
      <c r="AB600" s="237"/>
      <c r="AC600" s="237"/>
      <c r="AD600" s="237"/>
      <c r="AE600" s="237"/>
      <c r="AF600" s="237"/>
      <c r="AG600" s="237"/>
      <c r="AH600" s="237"/>
      <c r="AI600" s="237"/>
      <c r="AJ600" s="237"/>
      <c r="AK600" s="237"/>
      <c r="AL600" s="237"/>
      <c r="AM600" s="237"/>
      <c r="AN600" s="237"/>
      <c r="AO600" s="237"/>
      <c r="AP600" s="237"/>
      <c r="AQ600" s="237"/>
      <c r="AR600" s="237"/>
      <c r="AS600" s="237"/>
      <c r="AT600" s="364"/>
      <c r="AU600" s="91">
        <f t="shared" si="45"/>
        <v>0</v>
      </c>
    </row>
    <row r="601" spans="2:47" hidden="1" x14ac:dyDescent="0.25">
      <c r="B601" s="2">
        <f>+'Base de Datos'!E601</f>
        <v>0</v>
      </c>
      <c r="C601" s="2">
        <f>+'Base de Datos'!F601</f>
        <v>0</v>
      </c>
      <c r="D601" s="2">
        <f>+'Base de Datos'!G601</f>
        <v>0</v>
      </c>
      <c r="E601" s="2">
        <f>+'Base de Datos'!H601</f>
        <v>0</v>
      </c>
      <c r="F601" s="221">
        <f>+'Base de Datos'!I601</f>
        <v>0</v>
      </c>
      <c r="G601" s="220">
        <f>+'Base de Datos'!M601</f>
        <v>0</v>
      </c>
      <c r="H601" s="220">
        <f>+'Base de Datos'!N601</f>
        <v>0</v>
      </c>
      <c r="I601" s="179"/>
      <c r="J601" s="364"/>
      <c r="K601" s="237"/>
      <c r="L601" s="367"/>
      <c r="M601" s="179"/>
      <c r="N601" s="364"/>
      <c r="O601" s="179"/>
      <c r="P601" s="369"/>
      <c r="Q601" s="86">
        <f t="shared" si="43"/>
        <v>0</v>
      </c>
      <c r="R601" s="287"/>
      <c r="S601" s="364"/>
      <c r="T601" s="179"/>
      <c r="U601" s="364"/>
      <c r="V601" s="179"/>
      <c r="W601" s="364"/>
      <c r="X601" s="179"/>
      <c r="Y601" s="364"/>
      <c r="Z601" s="357"/>
      <c r="AA601" s="89">
        <f t="shared" si="44"/>
        <v>0</v>
      </c>
      <c r="AB601" s="237"/>
      <c r="AC601" s="237"/>
      <c r="AD601" s="237"/>
      <c r="AE601" s="237"/>
      <c r="AF601" s="237"/>
      <c r="AG601" s="237"/>
      <c r="AH601" s="237"/>
      <c r="AI601" s="237"/>
      <c r="AJ601" s="237"/>
      <c r="AK601" s="237"/>
      <c r="AL601" s="237"/>
      <c r="AM601" s="237"/>
      <c r="AN601" s="237"/>
      <c r="AO601" s="237"/>
      <c r="AP601" s="237"/>
      <c r="AQ601" s="237"/>
      <c r="AR601" s="237"/>
      <c r="AS601" s="237"/>
      <c r="AT601" s="364"/>
      <c r="AU601" s="91">
        <f t="shared" si="45"/>
        <v>0</v>
      </c>
    </row>
  </sheetData>
  <sheetProtection autoFilter="0" pivotTables="0"/>
  <autoFilter ref="A6:AW601">
    <filterColumn colId="1">
      <filters>
        <filter val="160269-0-2016"/>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workbookViewId="0"/>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094" t="s">
        <v>1256</v>
      </c>
      <c r="B2" s="1094"/>
      <c r="C2" s="1094"/>
      <c r="D2" s="1094"/>
      <c r="E2" s="1094"/>
      <c r="F2" s="1094"/>
      <c r="G2" s="1094"/>
      <c r="H2" s="1094"/>
      <c r="I2" s="1094"/>
      <c r="J2" s="1094"/>
      <c r="K2" s="1094"/>
      <c r="L2" s="1094"/>
      <c r="M2" s="1094"/>
      <c r="N2" s="1094"/>
      <c r="O2" s="1094"/>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094" t="s">
        <v>1459</v>
      </c>
      <c r="B44" s="1094"/>
      <c r="C44" s="1094"/>
      <c r="D44" s="1094"/>
      <c r="E44" s="1094"/>
      <c r="F44" s="1094"/>
      <c r="G44" s="1094"/>
      <c r="H44" s="1094"/>
      <c r="I44" s="1094"/>
      <c r="J44" s="1094"/>
      <c r="K44" s="1094"/>
      <c r="L44" s="1094"/>
      <c r="M44" s="1094"/>
      <c r="N44" s="1094"/>
      <c r="O44" s="1094"/>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094" t="s">
        <v>1460</v>
      </c>
      <c r="B86" s="1094"/>
      <c r="C86" s="1094"/>
      <c r="D86" s="1094"/>
      <c r="E86" s="1094"/>
      <c r="F86" s="1094"/>
      <c r="G86" s="1094"/>
      <c r="H86" s="1094"/>
      <c r="I86" s="1094"/>
      <c r="J86" s="1094"/>
      <c r="K86" s="1094"/>
      <c r="L86" s="1094"/>
      <c r="M86" s="1094"/>
      <c r="N86" s="1094"/>
      <c r="O86" s="1094"/>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094" t="s">
        <v>1461</v>
      </c>
      <c r="B110" s="1094"/>
      <c r="C110" s="1094"/>
      <c r="D110" s="1094"/>
      <c r="E110" s="1094"/>
      <c r="F110" s="1094"/>
      <c r="G110" s="1094"/>
      <c r="H110" s="1094"/>
      <c r="I110" s="1094"/>
      <c r="J110" s="1094"/>
      <c r="K110" s="1094"/>
      <c r="L110" s="1094"/>
      <c r="M110" s="1094"/>
      <c r="N110" s="1094"/>
      <c r="O110" s="1094"/>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2017 (2)</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BRAYAN STEVEN PINTO RIVERA</cp:lastModifiedBy>
  <cp:lastPrinted>2016-05-27T15:48:10Z</cp:lastPrinted>
  <dcterms:created xsi:type="dcterms:W3CDTF">2014-09-03T04:02:05Z</dcterms:created>
  <dcterms:modified xsi:type="dcterms:W3CDTF">2018-01-18T20:13:03Z</dcterms:modified>
</cp:coreProperties>
</file>